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Unidades compartidas\PAN R1268-24_ IMP Panamá 2026 - 2030\6 Modelos\IMP\Vinculado\EDECHI\EDECHI para Cons Pub SV\Base Capital\"/>
    </mc:Choice>
  </mc:AlternateContent>
  <xr:revisionPtr revIDLastSave="0" documentId="13_ncr:1_{FC653C61-31DE-482D-A4B2-86037470B12C}" xr6:coauthVersionLast="47" xr6:coauthVersionMax="47" xr10:uidLastSave="{00000000-0000-0000-0000-000000000000}"/>
  <bookViews>
    <workbookView xWindow="-110" yWindow="-110" windowWidth="22620" windowHeight="13500" tabRatio="809" xr2:uid="{02A250C3-45EC-41F2-B29D-BD205DAEF105}"/>
  </bookViews>
  <sheets>
    <sheet name="AA-01-Resumen" sheetId="11" r:id="rId1"/>
    <sheet name="AA-01-2014" sheetId="10" r:id="rId2"/>
    <sheet name="AA-01-2015" sheetId="9" r:id="rId3"/>
    <sheet name="AA-01-2016" sheetId="13" r:id="rId4"/>
    <sheet name="AA-01-2017" sheetId="14" r:id="rId5"/>
    <sheet name="AA-01-2018" sheetId="15" r:id="rId6"/>
    <sheet name="AA-01-2019" sheetId="19" r:id="rId7"/>
    <sheet name="AA-01-2020" sheetId="18" r:id="rId8"/>
    <sheet name="AA-01-2021" sheetId="17" r:id="rId9"/>
    <sheet name="AA-01-2022" sheetId="20" r:id="rId10"/>
    <sheet name="AA-01-2023" sheetId="21" r:id="rId11"/>
    <sheet name="AA-01-2024" sheetId="22" r:id="rId12"/>
    <sheet name="AA-01-2025" sheetId="2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1" i="11" l="1"/>
  <c r="C70" i="11"/>
  <c r="C69" i="11"/>
  <c r="C68" i="11"/>
  <c r="C65" i="11"/>
  <c r="C64" i="11"/>
  <c r="C63" i="11"/>
  <c r="C62" i="11"/>
  <c r="C59" i="11"/>
  <c r="C58" i="11"/>
  <c r="C57" i="11"/>
  <c r="C56" i="11"/>
  <c r="B71" i="11"/>
  <c r="H71" i="11" s="1"/>
  <c r="H70" i="11"/>
  <c r="B70" i="11"/>
  <c r="B69" i="11"/>
  <c r="H69" i="11" s="1"/>
  <c r="C72" i="11"/>
  <c r="B68" i="11"/>
  <c r="B65" i="11"/>
  <c r="H64" i="11"/>
  <c r="B64" i="11"/>
  <c r="B63" i="11"/>
  <c r="H63" i="11" s="1"/>
  <c r="B62" i="11"/>
  <c r="B59" i="11"/>
  <c r="H59" i="11" s="1"/>
  <c r="H58" i="11"/>
  <c r="B58" i="11"/>
  <c r="B57" i="11"/>
  <c r="H57" i="11" s="1"/>
  <c r="B56" i="11"/>
  <c r="ED57" i="23"/>
  <c r="ED56" i="23"/>
  <c r="ED55" i="23"/>
  <c r="ED54" i="23"/>
  <c r="ED53" i="23"/>
  <c r="ED52" i="23"/>
  <c r="ED51" i="23"/>
  <c r="ED50" i="23"/>
  <c r="ED49" i="23"/>
  <c r="ED48" i="23"/>
  <c r="ED46" i="23"/>
  <c r="ED44" i="23"/>
  <c r="ED43" i="23"/>
  <c r="ED42" i="23"/>
  <c r="ED41" i="23"/>
  <c r="ED40" i="23"/>
  <c r="ED39" i="23"/>
  <c r="ED38" i="23"/>
  <c r="ED37" i="23"/>
  <c r="ED35" i="23"/>
  <c r="ED34" i="23"/>
  <c r="ED33" i="23"/>
  <c r="ED31" i="23"/>
  <c r="ED30" i="23"/>
  <c r="ED29" i="23"/>
  <c r="ED28" i="23"/>
  <c r="ED27" i="23"/>
  <c r="ED26" i="23"/>
  <c r="ED25" i="23"/>
  <c r="ED24" i="23"/>
  <c r="ED23" i="23"/>
  <c r="ED22" i="23"/>
  <c r="ED21" i="23"/>
  <c r="ED20" i="23"/>
  <c r="ED19" i="23"/>
  <c r="ED17" i="23"/>
  <c r="ED16" i="23"/>
  <c r="ED15" i="23"/>
  <c r="ED12" i="23"/>
  <c r="ED11" i="23"/>
  <c r="ED10" i="23"/>
  <c r="ED9" i="23"/>
  <c r="ED8" i="23"/>
  <c r="ED7" i="23"/>
  <c r="ED6" i="23"/>
  <c r="ED5" i="23"/>
  <c r="EB57" i="23"/>
  <c r="EB56" i="23"/>
  <c r="EB55" i="23"/>
  <c r="EB54" i="23"/>
  <c r="EB53" i="23"/>
  <c r="EB52" i="23"/>
  <c r="EB51" i="23"/>
  <c r="EB50" i="23"/>
  <c r="EB49" i="23"/>
  <c r="EB48" i="23"/>
  <c r="EB46" i="23"/>
  <c r="EB44" i="23"/>
  <c r="EB43" i="23"/>
  <c r="EB42" i="23"/>
  <c r="EB41" i="23"/>
  <c r="EB40" i="23"/>
  <c r="EB39" i="23"/>
  <c r="EB38" i="23"/>
  <c r="EB37" i="23"/>
  <c r="EB35" i="23"/>
  <c r="EB34" i="23"/>
  <c r="EB33" i="23"/>
  <c r="EB31" i="23"/>
  <c r="EB30" i="23"/>
  <c r="EB29" i="23"/>
  <c r="EB28" i="23"/>
  <c r="EB27" i="23"/>
  <c r="EB26" i="23"/>
  <c r="EB25" i="23"/>
  <c r="EB24" i="23"/>
  <c r="EB23" i="23"/>
  <c r="EB22" i="23"/>
  <c r="EB21" i="23"/>
  <c r="EB20" i="23"/>
  <c r="EB19" i="23"/>
  <c r="EB17" i="23"/>
  <c r="EB16" i="23"/>
  <c r="EB15" i="23"/>
  <c r="EB12" i="23"/>
  <c r="EB11" i="23"/>
  <c r="EB10" i="23"/>
  <c r="EB9" i="23"/>
  <c r="EB8" i="23"/>
  <c r="EB7" i="23"/>
  <c r="EB6" i="23"/>
  <c r="EB5" i="23"/>
  <c r="DA58" i="23"/>
  <c r="CZ58" i="23"/>
  <c r="CY56" i="23"/>
  <c r="CY55" i="23"/>
  <c r="CY54" i="23"/>
  <c r="CY53" i="23"/>
  <c r="CY50" i="23"/>
  <c r="CY49" i="23"/>
  <c r="CY48" i="23"/>
  <c r="DA47" i="23"/>
  <c r="CZ47" i="23"/>
  <c r="CX47" i="23"/>
  <c r="DA45" i="23"/>
  <c r="CZ45" i="23"/>
  <c r="CY44" i="23"/>
  <c r="CY40" i="23"/>
  <c r="CY39" i="23"/>
  <c r="CY38" i="23"/>
  <c r="DA13" i="23"/>
  <c r="CZ13" i="23"/>
  <c r="CY11" i="23"/>
  <c r="CW58" i="23"/>
  <c r="CV58" i="23"/>
  <c r="CU58" i="23"/>
  <c r="CS58" i="23"/>
  <c r="CR58" i="23"/>
  <c r="CQ58" i="23"/>
  <c r="CO58" i="23"/>
  <c r="CN58" i="23"/>
  <c r="CM58" i="23"/>
  <c r="CK58" i="23"/>
  <c r="CJ58" i="23"/>
  <c r="CI58" i="23"/>
  <c r="CH58" i="23"/>
  <c r="CG58" i="23"/>
  <c r="CF58" i="23"/>
  <c r="CE58" i="23"/>
  <c r="CD58" i="23"/>
  <c r="J69" i="23" s="1"/>
  <c r="CC58" i="23"/>
  <c r="CB58" i="23"/>
  <c r="CA58" i="23"/>
  <c r="BZ58" i="23"/>
  <c r="I69" i="23" s="1"/>
  <c r="BY58" i="23"/>
  <c r="BX58" i="23"/>
  <c r="BW58" i="23"/>
  <c r="BV58" i="23"/>
  <c r="H69" i="23" s="1"/>
  <c r="BU58" i="23"/>
  <c r="BT58" i="23"/>
  <c r="BS58" i="23"/>
  <c r="BR58" i="23"/>
  <c r="BQ58" i="23"/>
  <c r="BP58" i="23"/>
  <c r="BO58" i="23"/>
  <c r="BN58" i="23"/>
  <c r="BM58" i="23"/>
  <c r="BL58" i="23"/>
  <c r="BK58" i="23"/>
  <c r="BJ58" i="23"/>
  <c r="BI58" i="23"/>
  <c r="BH58" i="23"/>
  <c r="BF58" i="23"/>
  <c r="BE58" i="23"/>
  <c r="BD58" i="23"/>
  <c r="BC58" i="23"/>
  <c r="BB58" i="23"/>
  <c r="BA58" i="23"/>
  <c r="AZ58" i="23"/>
  <c r="AY58" i="23"/>
  <c r="AX58" i="23"/>
  <c r="AW58" i="23"/>
  <c r="AV58" i="23"/>
  <c r="AU58" i="23"/>
  <c r="AT58" i="23"/>
  <c r="AS58" i="23"/>
  <c r="AR58" i="23"/>
  <c r="AQ58" i="23"/>
  <c r="AP58" i="23"/>
  <c r="AO58" i="23"/>
  <c r="AN58" i="23"/>
  <c r="AM58" i="23"/>
  <c r="AL58" i="23"/>
  <c r="AK58" i="23"/>
  <c r="AJ58" i="23"/>
  <c r="AI58" i="23"/>
  <c r="AH58" i="23"/>
  <c r="AG58" i="23"/>
  <c r="AF58" i="23"/>
  <c r="AE58" i="23"/>
  <c r="AD58" i="23"/>
  <c r="AC58" i="23"/>
  <c r="AB58" i="23"/>
  <c r="AA58" i="23"/>
  <c r="Z58" i="23"/>
  <c r="Y58" i="23"/>
  <c r="X58" i="23"/>
  <c r="W58" i="23"/>
  <c r="V58" i="23"/>
  <c r="U58" i="23"/>
  <c r="T58" i="23"/>
  <c r="S58" i="23"/>
  <c r="R58" i="23"/>
  <c r="Q58" i="23"/>
  <c r="P58" i="23"/>
  <c r="O58" i="23"/>
  <c r="N58" i="23"/>
  <c r="M58" i="23"/>
  <c r="L58" i="23"/>
  <c r="K58" i="23"/>
  <c r="J58" i="23"/>
  <c r="I58" i="23"/>
  <c r="H58" i="23"/>
  <c r="G58" i="23"/>
  <c r="F58" i="23"/>
  <c r="E58" i="23"/>
  <c r="D58" i="23"/>
  <c r="DQ57" i="23"/>
  <c r="DB57" i="23"/>
  <c r="CY57" i="23"/>
  <c r="DQ56" i="23"/>
  <c r="DB56" i="23"/>
  <c r="DQ55" i="23"/>
  <c r="DB55" i="23"/>
  <c r="DQ54" i="23"/>
  <c r="DB54" i="23"/>
  <c r="DQ53" i="23"/>
  <c r="DB53" i="23"/>
  <c r="DQ52" i="23"/>
  <c r="DB52" i="23"/>
  <c r="CY52" i="23"/>
  <c r="DB51" i="23"/>
  <c r="CY51" i="23"/>
  <c r="BG51" i="23"/>
  <c r="DQ50" i="23"/>
  <c r="DB50" i="23"/>
  <c r="DQ49" i="23"/>
  <c r="DB49" i="23"/>
  <c r="DQ48" i="23"/>
  <c r="DB48" i="23"/>
  <c r="CW47" i="23"/>
  <c r="CV47" i="23"/>
  <c r="CU47" i="23"/>
  <c r="CS47" i="23"/>
  <c r="CR47" i="23"/>
  <c r="CQ47" i="23"/>
  <c r="CO47" i="23"/>
  <c r="CN47" i="23"/>
  <c r="CM47" i="23"/>
  <c r="CK47" i="23"/>
  <c r="CJ47" i="23"/>
  <c r="CI47" i="23"/>
  <c r="CH47" i="23"/>
  <c r="K70" i="23" s="1"/>
  <c r="K77" i="23" s="1"/>
  <c r="CG47" i="23"/>
  <c r="CF47" i="23"/>
  <c r="CE47" i="23"/>
  <c r="CD47" i="23"/>
  <c r="J70" i="23" s="1"/>
  <c r="J77" i="23" s="1"/>
  <c r="CC47" i="23"/>
  <c r="CB47" i="23"/>
  <c r="CA47" i="23"/>
  <c r="BZ47" i="23"/>
  <c r="I70" i="23" s="1"/>
  <c r="I77" i="23" s="1"/>
  <c r="BY47" i="23"/>
  <c r="BX47" i="23"/>
  <c r="BW47" i="23"/>
  <c r="BV47" i="23"/>
  <c r="H70" i="23" s="1"/>
  <c r="H77" i="23" s="1"/>
  <c r="BU47" i="23"/>
  <c r="BT47" i="23"/>
  <c r="BS47" i="23"/>
  <c r="BR47" i="23"/>
  <c r="BQ47" i="23"/>
  <c r="BP47" i="23"/>
  <c r="BO47" i="23"/>
  <c r="BN47" i="23"/>
  <c r="BM47" i="23"/>
  <c r="BL47" i="23"/>
  <c r="BK47" i="23"/>
  <c r="BJ47" i="23"/>
  <c r="BI47" i="23"/>
  <c r="BH47" i="23"/>
  <c r="BG47" i="23"/>
  <c r="BF47" i="23"/>
  <c r="BE47" i="23"/>
  <c r="BD47" i="23"/>
  <c r="BC47" i="23"/>
  <c r="BB47" i="23"/>
  <c r="BA47" i="23"/>
  <c r="AZ47" i="23"/>
  <c r="AY47" i="23"/>
  <c r="AX47" i="23"/>
  <c r="AW47" i="23"/>
  <c r="AV47" i="23"/>
  <c r="AU47" i="23"/>
  <c r="AT47" i="23"/>
  <c r="AS47" i="23"/>
  <c r="AR47" i="23"/>
  <c r="AQ47" i="23"/>
  <c r="AP47" i="23"/>
  <c r="AO47" i="23"/>
  <c r="AN47" i="23"/>
  <c r="AM47" i="23"/>
  <c r="AL47" i="23"/>
  <c r="AK47" i="23"/>
  <c r="AJ47" i="23"/>
  <c r="AI47" i="23"/>
  <c r="AH47" i="23"/>
  <c r="AG47" i="23"/>
  <c r="AF47" i="23"/>
  <c r="AE47" i="23"/>
  <c r="AD47" i="23"/>
  <c r="AC47" i="23"/>
  <c r="AB47" i="23"/>
  <c r="AA47" i="23"/>
  <c r="Z47" i="23"/>
  <c r="Y47" i="23"/>
  <c r="X47" i="23"/>
  <c r="W47" i="23"/>
  <c r="V47" i="23"/>
  <c r="U47" i="23"/>
  <c r="T47" i="23"/>
  <c r="S47" i="23"/>
  <c r="R47" i="23"/>
  <c r="Q47" i="23"/>
  <c r="P47" i="23"/>
  <c r="O47" i="23"/>
  <c r="N47" i="23"/>
  <c r="M47" i="23"/>
  <c r="L47" i="23"/>
  <c r="K47" i="23"/>
  <c r="J47" i="23"/>
  <c r="I47" i="23"/>
  <c r="H47" i="23"/>
  <c r="G47" i="23"/>
  <c r="F47" i="23"/>
  <c r="E47" i="23"/>
  <c r="D47" i="23"/>
  <c r="DQ46" i="23"/>
  <c r="DB46" i="23"/>
  <c r="CT47" i="23"/>
  <c r="CL47" i="23"/>
  <c r="CW45" i="23"/>
  <c r="CV45" i="23"/>
  <c r="CS45" i="23"/>
  <c r="CR45" i="23"/>
  <c r="CO45" i="23"/>
  <c r="CN45" i="23"/>
  <c r="CM45" i="23"/>
  <c r="CK45" i="23"/>
  <c r="CJ45" i="23"/>
  <c r="CI45" i="23"/>
  <c r="CH45" i="23"/>
  <c r="K68" i="23" s="1"/>
  <c r="CG45" i="23"/>
  <c r="CF45" i="23"/>
  <c r="CE45" i="23"/>
  <c r="CD45" i="23"/>
  <c r="J68" i="23" s="1"/>
  <c r="CC45" i="23"/>
  <c r="CB45" i="23"/>
  <c r="CA45" i="23"/>
  <c r="BZ45" i="23"/>
  <c r="I68" i="23" s="1"/>
  <c r="BY45" i="23"/>
  <c r="BX45" i="23"/>
  <c r="BW45" i="23"/>
  <c r="BV45" i="23"/>
  <c r="H68" i="23" s="1"/>
  <c r="BU45" i="23"/>
  <c r="BT45" i="23"/>
  <c r="BS45" i="23"/>
  <c r="BR45" i="23"/>
  <c r="BQ45" i="23"/>
  <c r="BP45" i="23"/>
  <c r="BO45" i="23"/>
  <c r="BN45" i="23"/>
  <c r="BM45" i="23"/>
  <c r="BL45" i="23"/>
  <c r="BK45" i="23"/>
  <c r="BJ45" i="23"/>
  <c r="BH45" i="23"/>
  <c r="BF45" i="23"/>
  <c r="BE45" i="23"/>
  <c r="BD45" i="23"/>
  <c r="BC45" i="23"/>
  <c r="BB45" i="23"/>
  <c r="BA45" i="23"/>
  <c r="AZ45" i="23"/>
  <c r="AY45" i="23"/>
  <c r="AX45" i="23"/>
  <c r="AW45" i="23"/>
  <c r="AV45" i="23"/>
  <c r="AU45" i="23"/>
  <c r="AT45" i="23"/>
  <c r="AS45" i="23"/>
  <c r="AR45" i="23"/>
  <c r="AQ45" i="23"/>
  <c r="AP45" i="23"/>
  <c r="AO45" i="23"/>
  <c r="AN45" i="23"/>
  <c r="AM45" i="23"/>
  <c r="AL45" i="23"/>
  <c r="AK45" i="23"/>
  <c r="AJ45" i="23"/>
  <c r="AI45" i="23"/>
  <c r="AH45" i="23"/>
  <c r="AG45" i="23"/>
  <c r="AF45" i="23"/>
  <c r="AE45" i="23"/>
  <c r="AD45" i="23"/>
  <c r="AC45" i="23"/>
  <c r="AB45" i="23"/>
  <c r="AA45" i="23"/>
  <c r="Z45" i="23"/>
  <c r="Y45" i="23"/>
  <c r="X45" i="23"/>
  <c r="W45" i="23"/>
  <c r="V45" i="23"/>
  <c r="U45" i="23"/>
  <c r="T45" i="23"/>
  <c r="S45" i="23"/>
  <c r="R45" i="23"/>
  <c r="Q45" i="23"/>
  <c r="P45" i="23"/>
  <c r="O45" i="23"/>
  <c r="N45" i="23"/>
  <c r="M45" i="23"/>
  <c r="L45" i="23"/>
  <c r="K45" i="23"/>
  <c r="J45" i="23"/>
  <c r="I45" i="23"/>
  <c r="H45" i="23"/>
  <c r="G45" i="23"/>
  <c r="F45" i="23"/>
  <c r="E45" i="23"/>
  <c r="D45" i="23"/>
  <c r="DQ44" i="23"/>
  <c r="DB44" i="23"/>
  <c r="DQ43" i="23"/>
  <c r="DB43" i="23"/>
  <c r="CY43" i="23"/>
  <c r="DQ42" i="23"/>
  <c r="DB42" i="23"/>
  <c r="CY42" i="23"/>
  <c r="DQ41" i="23"/>
  <c r="DB41" i="23"/>
  <c r="CY41" i="23"/>
  <c r="DQ40" i="23"/>
  <c r="DB40" i="23"/>
  <c r="DQ39" i="23"/>
  <c r="DB39" i="23"/>
  <c r="DQ38" i="23"/>
  <c r="DB38" i="23"/>
  <c r="DQ37" i="23"/>
  <c r="DB37" i="23"/>
  <c r="CY37" i="23"/>
  <c r="CY36" i="23"/>
  <c r="DB35" i="23"/>
  <c r="CY35" i="23"/>
  <c r="BI35" i="23"/>
  <c r="BG35" i="23"/>
  <c r="DQ34" i="23"/>
  <c r="DB34" i="23"/>
  <c r="DB33" i="23"/>
  <c r="BI33" i="23"/>
  <c r="BG33" i="23"/>
  <c r="CY32" i="23"/>
  <c r="DQ31" i="23"/>
  <c r="DB31" i="23"/>
  <c r="CY31" i="23"/>
  <c r="DQ30" i="23"/>
  <c r="DB30" i="23"/>
  <c r="CY30" i="23"/>
  <c r="DB29" i="23"/>
  <c r="CY29" i="23"/>
  <c r="BG29" i="23"/>
  <c r="DQ28" i="23"/>
  <c r="DB28" i="23"/>
  <c r="CY28" i="23"/>
  <c r="DV27" i="23"/>
  <c r="DQ27" i="23"/>
  <c r="DB27" i="23"/>
  <c r="CY27" i="23"/>
  <c r="DB26" i="23"/>
  <c r="CY26" i="23"/>
  <c r="BG26" i="23"/>
  <c r="DB25" i="23"/>
  <c r="CY25" i="23"/>
  <c r="BI25" i="23"/>
  <c r="BG25" i="23"/>
  <c r="DQ24" i="23"/>
  <c r="DB24" i="23"/>
  <c r="CY24" i="23"/>
  <c r="DQ23" i="23"/>
  <c r="DB23" i="23"/>
  <c r="DQ22" i="23"/>
  <c r="DB22" i="23"/>
  <c r="DB21" i="23"/>
  <c r="CY21" i="23"/>
  <c r="DW20" i="23"/>
  <c r="DQ20" i="23"/>
  <c r="DB20" i="23"/>
  <c r="CY20" i="23"/>
  <c r="DB19" i="23"/>
  <c r="CQ45" i="23"/>
  <c r="BI19" i="23"/>
  <c r="BG19" i="23"/>
  <c r="CY18" i="23"/>
  <c r="DQ17" i="23"/>
  <c r="DB17" i="23"/>
  <c r="CY17" i="23"/>
  <c r="DQ16" i="23"/>
  <c r="DB16" i="23"/>
  <c r="CY16" i="23"/>
  <c r="DQ15" i="23"/>
  <c r="DJ15" i="23"/>
  <c r="DB15" i="23"/>
  <c r="CY15" i="23"/>
  <c r="CW13" i="23"/>
  <c r="CV13" i="23"/>
  <c r="CU13" i="23"/>
  <c r="CS13" i="23"/>
  <c r="CS59" i="23" s="1"/>
  <c r="CR13" i="23"/>
  <c r="CQ13" i="23"/>
  <c r="CO13" i="23"/>
  <c r="CN13" i="23"/>
  <c r="CM13" i="23"/>
  <c r="CK13" i="23"/>
  <c r="CJ13" i="23"/>
  <c r="CI13" i="23"/>
  <c r="CH13" i="23"/>
  <c r="K71" i="23" s="1"/>
  <c r="CG13" i="23"/>
  <c r="CF13" i="23"/>
  <c r="CE13" i="23"/>
  <c r="CD13" i="23"/>
  <c r="J71" i="23" s="1"/>
  <c r="CC13" i="23"/>
  <c r="CB13" i="23"/>
  <c r="CA13" i="23"/>
  <c r="BZ13" i="23"/>
  <c r="I71" i="23" s="1"/>
  <c r="BY13" i="23"/>
  <c r="BX13" i="23"/>
  <c r="BW13" i="23"/>
  <c r="BV13" i="23"/>
  <c r="H71" i="23" s="1"/>
  <c r="BU13" i="23"/>
  <c r="BT13" i="23"/>
  <c r="BS13" i="23"/>
  <c r="BR13" i="23"/>
  <c r="BQ13" i="23"/>
  <c r="BP13" i="23"/>
  <c r="BO13" i="23"/>
  <c r="BN13" i="23"/>
  <c r="BM13" i="23"/>
  <c r="BL13" i="23"/>
  <c r="BK13" i="23"/>
  <c r="BJ13" i="23"/>
  <c r="BI13" i="23"/>
  <c r="BH13" i="23"/>
  <c r="BG13" i="23"/>
  <c r="BF13" i="23"/>
  <c r="BE13" i="23"/>
  <c r="BD13" i="23"/>
  <c r="BC13" i="23"/>
  <c r="BB13" i="23"/>
  <c r="BA13" i="23"/>
  <c r="AZ13" i="23"/>
  <c r="AY13" i="23"/>
  <c r="AX13" i="23"/>
  <c r="AW13" i="23"/>
  <c r="AV13" i="23"/>
  <c r="AU13" i="23"/>
  <c r="AU59" i="23" s="1"/>
  <c r="AT13" i="23"/>
  <c r="AS13" i="23"/>
  <c r="AR13" i="23"/>
  <c r="AQ13" i="23"/>
  <c r="AP13" i="23"/>
  <c r="AO13" i="23"/>
  <c r="AN13" i="23"/>
  <c r="AM13" i="23"/>
  <c r="AL13" i="23"/>
  <c r="AK13" i="23"/>
  <c r="AJ13" i="23"/>
  <c r="AI13" i="23"/>
  <c r="AH13" i="23"/>
  <c r="AG13" i="23"/>
  <c r="AF13" i="23"/>
  <c r="AE13" i="23"/>
  <c r="AE59" i="23" s="1"/>
  <c r="AD13" i="23"/>
  <c r="AC13" i="23"/>
  <c r="AB13" i="23"/>
  <c r="AA13" i="23"/>
  <c r="Z13" i="23"/>
  <c r="Y13" i="23"/>
  <c r="X13" i="23"/>
  <c r="W13" i="23"/>
  <c r="V13" i="23"/>
  <c r="U13" i="23"/>
  <c r="T13" i="23"/>
  <c r="S13" i="23"/>
  <c r="R13" i="23"/>
  <c r="Q13" i="23"/>
  <c r="P13" i="23"/>
  <c r="O13" i="23"/>
  <c r="O59" i="23" s="1"/>
  <c r="N13" i="23"/>
  <c r="M13" i="23"/>
  <c r="L13" i="23"/>
  <c r="K13" i="23"/>
  <c r="J13" i="23"/>
  <c r="I13" i="23"/>
  <c r="H13" i="23"/>
  <c r="G13" i="23"/>
  <c r="F13" i="23"/>
  <c r="E13" i="23"/>
  <c r="D13" i="23"/>
  <c r="DQ12" i="23"/>
  <c r="DB12" i="23"/>
  <c r="CY12" i="23"/>
  <c r="DQ11" i="23"/>
  <c r="DM11" i="23"/>
  <c r="DB11" i="23"/>
  <c r="DZ10" i="23"/>
  <c r="DQ10" i="23"/>
  <c r="DB10" i="23"/>
  <c r="CY10" i="23"/>
  <c r="DQ9" i="23"/>
  <c r="DM9" i="23"/>
  <c r="DB9" i="23"/>
  <c r="CY9" i="23"/>
  <c r="DZ8" i="23"/>
  <c r="DQ8" i="23"/>
  <c r="DB8" i="23"/>
  <c r="CY8" i="23"/>
  <c r="DM7" i="23"/>
  <c r="DJ7" i="23"/>
  <c r="DB7" i="23"/>
  <c r="CY7" i="23"/>
  <c r="DM6" i="23"/>
  <c r="DJ6" i="23"/>
  <c r="DB6" i="23"/>
  <c r="CY6" i="23"/>
  <c r="DQ5" i="23"/>
  <c r="DJ5" i="23"/>
  <c r="DB5" i="23"/>
  <c r="CY5" i="23"/>
  <c r="DD41" i="23"/>
  <c r="DY57" i="22"/>
  <c r="DY56" i="22"/>
  <c r="DY55" i="22"/>
  <c r="DY54" i="22"/>
  <c r="DY53" i="22"/>
  <c r="DY52" i="22"/>
  <c r="DY51" i="22"/>
  <c r="DY50" i="22"/>
  <c r="DY49" i="22"/>
  <c r="DY48" i="22"/>
  <c r="DY46" i="22"/>
  <c r="DY44" i="22"/>
  <c r="DY43" i="22"/>
  <c r="DY42" i="22"/>
  <c r="DY41" i="22"/>
  <c r="DY40" i="22"/>
  <c r="DY39" i="22"/>
  <c r="DY38" i="22"/>
  <c r="DY37" i="22"/>
  <c r="DY35" i="22"/>
  <c r="DY34" i="22"/>
  <c r="DY33" i="22"/>
  <c r="DY31" i="22"/>
  <c r="DY30" i="22"/>
  <c r="DY29" i="22"/>
  <c r="DY28" i="22"/>
  <c r="DY27" i="22"/>
  <c r="DY26" i="22"/>
  <c r="DY25" i="22"/>
  <c r="DY24" i="22"/>
  <c r="DY23" i="22"/>
  <c r="DY22" i="22"/>
  <c r="DY21" i="22"/>
  <c r="DY20" i="22"/>
  <c r="DY19" i="22"/>
  <c r="DY17" i="22"/>
  <c r="DY16" i="22"/>
  <c r="DY15" i="22"/>
  <c r="DY12" i="22"/>
  <c r="DY11" i="22"/>
  <c r="DY10" i="22"/>
  <c r="DY9" i="22"/>
  <c r="DY8" i="22"/>
  <c r="DY7" i="22"/>
  <c r="DY6" i="22"/>
  <c r="DY5" i="22"/>
  <c r="DW57" i="22"/>
  <c r="DW56" i="22"/>
  <c r="DW55" i="22"/>
  <c r="DW54" i="22"/>
  <c r="DW53" i="22"/>
  <c r="DW52" i="22"/>
  <c r="DW51" i="22"/>
  <c r="DW50" i="22"/>
  <c r="DW49" i="22"/>
  <c r="DW48" i="22"/>
  <c r="DW46" i="22"/>
  <c r="DW44" i="22"/>
  <c r="DW43" i="22"/>
  <c r="DW42" i="22"/>
  <c r="DW41" i="22"/>
  <c r="DW40" i="22"/>
  <c r="DW39" i="22"/>
  <c r="DW38" i="22"/>
  <c r="DW37" i="22"/>
  <c r="DW35" i="22"/>
  <c r="DW34" i="22"/>
  <c r="DW33" i="22"/>
  <c r="DW31" i="22"/>
  <c r="DW30" i="22"/>
  <c r="DW29" i="22"/>
  <c r="DW28" i="22"/>
  <c r="DW27" i="22"/>
  <c r="DW26" i="22"/>
  <c r="DW25" i="22"/>
  <c r="DW24" i="22"/>
  <c r="DW23" i="22"/>
  <c r="DW22" i="22"/>
  <c r="DW21" i="22"/>
  <c r="DW20" i="22"/>
  <c r="DW19" i="22"/>
  <c r="DW17" i="22"/>
  <c r="DW16" i="22"/>
  <c r="DW15" i="22"/>
  <c r="DW12" i="22"/>
  <c r="DW11" i="22"/>
  <c r="DW10" i="22"/>
  <c r="DW9" i="22"/>
  <c r="DW8" i="22"/>
  <c r="DW7" i="22"/>
  <c r="DW6" i="22"/>
  <c r="DW5" i="22"/>
  <c r="DX2" i="22"/>
  <c r="CW58" i="22"/>
  <c r="CV58" i="22"/>
  <c r="CU58" i="22"/>
  <c r="CW47" i="22"/>
  <c r="CV47" i="22"/>
  <c r="CU47" i="22"/>
  <c r="CT47" i="22"/>
  <c r="CW45" i="22"/>
  <c r="CV45" i="22"/>
  <c r="CW13" i="22"/>
  <c r="CV13" i="22"/>
  <c r="CV59" i="22" s="1"/>
  <c r="CU13" i="22"/>
  <c r="CQ58" i="22"/>
  <c r="CQ47" i="22"/>
  <c r="CQ13" i="22"/>
  <c r="CS58" i="22"/>
  <c r="CR58" i="22"/>
  <c r="CO58" i="22"/>
  <c r="CN58" i="22"/>
  <c r="CM58" i="22"/>
  <c r="CK58" i="22"/>
  <c r="CJ58" i="22"/>
  <c r="CI58" i="22"/>
  <c r="CH58" i="22"/>
  <c r="K69" i="22" s="1"/>
  <c r="CG58" i="22"/>
  <c r="CF58" i="22"/>
  <c r="CE58" i="22"/>
  <c r="CD58" i="22"/>
  <c r="J69" i="22" s="1"/>
  <c r="CC58" i="22"/>
  <c r="CB58" i="22"/>
  <c r="CA58" i="22"/>
  <c r="BZ58" i="22"/>
  <c r="BY58" i="22"/>
  <c r="BX58" i="22"/>
  <c r="BW58" i="22"/>
  <c r="BV58" i="22"/>
  <c r="H69" i="22" s="1"/>
  <c r="BU58" i="22"/>
  <c r="BT58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F58" i="22"/>
  <c r="BE58" i="22"/>
  <c r="BD58" i="22"/>
  <c r="BC58" i="22"/>
  <c r="BB58" i="22"/>
  <c r="BA58" i="22"/>
  <c r="AZ58" i="22"/>
  <c r="AY58" i="22"/>
  <c r="AX58" i="22"/>
  <c r="AW58" i="22"/>
  <c r="AV58" i="22"/>
  <c r="AU58" i="22"/>
  <c r="AT58" i="22"/>
  <c r="AS58" i="22"/>
  <c r="AR58" i="22"/>
  <c r="AQ58" i="22"/>
  <c r="AP58" i="22"/>
  <c r="AO58" i="22"/>
  <c r="AN58" i="22"/>
  <c r="AM58" i="22"/>
  <c r="AL58" i="22"/>
  <c r="AK58" i="22"/>
  <c r="AJ58" i="22"/>
  <c r="AI58" i="22"/>
  <c r="AH58" i="22"/>
  <c r="AG58" i="22"/>
  <c r="AF58" i="22"/>
  <c r="AE58" i="22"/>
  <c r="AD58" i="22"/>
  <c r="AC58" i="22"/>
  <c r="AB58" i="22"/>
  <c r="AA58" i="22"/>
  <c r="Z58" i="22"/>
  <c r="Y58" i="22"/>
  <c r="X58" i="22"/>
  <c r="W58" i="22"/>
  <c r="V58" i="22"/>
  <c r="U58" i="22"/>
  <c r="T58" i="22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DM57" i="22"/>
  <c r="CX57" i="22"/>
  <c r="DM56" i="22"/>
  <c r="CX56" i="22"/>
  <c r="DM55" i="22"/>
  <c r="CX55" i="22"/>
  <c r="DM54" i="22"/>
  <c r="CX54" i="22"/>
  <c r="DM53" i="22"/>
  <c r="CX53" i="22"/>
  <c r="DM52" i="22"/>
  <c r="CX52" i="22"/>
  <c r="CX51" i="22"/>
  <c r="BG51" i="22"/>
  <c r="DM50" i="22"/>
  <c r="CX50" i="22"/>
  <c r="DM49" i="22"/>
  <c r="CX49" i="22"/>
  <c r="DM48" i="22"/>
  <c r="CX48" i="22"/>
  <c r="CS47" i="22"/>
  <c r="CR47" i="22"/>
  <c r="CO47" i="22"/>
  <c r="CN47" i="22"/>
  <c r="CM47" i="22"/>
  <c r="CK47" i="22"/>
  <c r="CJ47" i="22"/>
  <c r="CI47" i="22"/>
  <c r="CH47" i="22"/>
  <c r="CG47" i="22"/>
  <c r="CF47" i="22"/>
  <c r="CE47" i="22"/>
  <c r="CD47" i="22"/>
  <c r="CC47" i="22"/>
  <c r="CB47" i="22"/>
  <c r="CA47" i="22"/>
  <c r="BZ47" i="22"/>
  <c r="I70" i="22" s="1"/>
  <c r="I77" i="22" s="1"/>
  <c r="BY47" i="22"/>
  <c r="BX47" i="22"/>
  <c r="BW47" i="22"/>
  <c r="BV47" i="22"/>
  <c r="H70" i="22" s="1"/>
  <c r="H77" i="22" s="1"/>
  <c r="BU47" i="22"/>
  <c r="BT47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G47" i="22"/>
  <c r="BF47" i="22"/>
  <c r="BE47" i="22"/>
  <c r="BD47" i="22"/>
  <c r="BC47" i="22"/>
  <c r="BB47" i="22"/>
  <c r="BA47" i="22"/>
  <c r="AZ47" i="22"/>
  <c r="AY47" i="22"/>
  <c r="AX47" i="22"/>
  <c r="AW47" i="22"/>
  <c r="AV47" i="22"/>
  <c r="AU47" i="22"/>
  <c r="AT47" i="22"/>
  <c r="AS47" i="22"/>
  <c r="AR47" i="22"/>
  <c r="AQ47" i="22"/>
  <c r="AP47" i="22"/>
  <c r="AO47" i="22"/>
  <c r="AN47" i="22"/>
  <c r="AM47" i="22"/>
  <c r="AL47" i="22"/>
  <c r="AK47" i="22"/>
  <c r="AJ47" i="22"/>
  <c r="AI47" i="22"/>
  <c r="AH47" i="22"/>
  <c r="AG47" i="22"/>
  <c r="AF47" i="22"/>
  <c r="AE47" i="22"/>
  <c r="AD47" i="22"/>
  <c r="AC47" i="22"/>
  <c r="AB47" i="22"/>
  <c r="AA47" i="22"/>
  <c r="Z47" i="22"/>
  <c r="Y47" i="22"/>
  <c r="X47" i="22"/>
  <c r="W47" i="22"/>
  <c r="V47" i="22"/>
  <c r="U47" i="22"/>
  <c r="T47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DM46" i="22"/>
  <c r="CX46" i="22"/>
  <c r="CP47" i="22"/>
  <c r="CS45" i="22"/>
  <c r="CR45" i="22"/>
  <c r="CO45" i="22"/>
  <c r="CN45" i="22"/>
  <c r="CM45" i="22"/>
  <c r="CK45" i="22"/>
  <c r="CJ45" i="22"/>
  <c r="CI45" i="22"/>
  <c r="CH45" i="22"/>
  <c r="K68" i="22" s="1"/>
  <c r="CG45" i="22"/>
  <c r="CF45" i="22"/>
  <c r="CE45" i="22"/>
  <c r="CD45" i="22"/>
  <c r="J68" i="22" s="1"/>
  <c r="CC45" i="22"/>
  <c r="CB45" i="22"/>
  <c r="CA45" i="22"/>
  <c r="BZ45" i="22"/>
  <c r="I68" i="22" s="1"/>
  <c r="BY45" i="22"/>
  <c r="BX45" i="22"/>
  <c r="BW45" i="22"/>
  <c r="BV45" i="22"/>
  <c r="H68" i="22" s="1"/>
  <c r="BU45" i="22"/>
  <c r="BT45" i="22"/>
  <c r="BS45" i="22"/>
  <c r="BR45" i="22"/>
  <c r="BQ45" i="22"/>
  <c r="BP45" i="22"/>
  <c r="BO45" i="22"/>
  <c r="BN45" i="22"/>
  <c r="BM45" i="22"/>
  <c r="BL45" i="22"/>
  <c r="BK45" i="22"/>
  <c r="BJ45" i="22"/>
  <c r="BH45" i="22"/>
  <c r="BF45" i="22"/>
  <c r="BE45" i="22"/>
  <c r="BD45" i="22"/>
  <c r="BC45" i="22"/>
  <c r="BB45" i="22"/>
  <c r="BA45" i="22"/>
  <c r="AZ45" i="22"/>
  <c r="AY45" i="22"/>
  <c r="AX45" i="22"/>
  <c r="AW45" i="22"/>
  <c r="AV45" i="22"/>
  <c r="AU45" i="22"/>
  <c r="AT45" i="22"/>
  <c r="AS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Y45" i="22"/>
  <c r="X45" i="22"/>
  <c r="W45" i="22"/>
  <c r="V45" i="22"/>
  <c r="U45" i="22"/>
  <c r="T45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DM44" i="22"/>
  <c r="CX44" i="22"/>
  <c r="DM43" i="22"/>
  <c r="CX43" i="22"/>
  <c r="DM42" i="22"/>
  <c r="CX42" i="22"/>
  <c r="DM41" i="22"/>
  <c r="CX41" i="22"/>
  <c r="DM40" i="22"/>
  <c r="CX40" i="22"/>
  <c r="DM39" i="22"/>
  <c r="CX39" i="22"/>
  <c r="DM38" i="22"/>
  <c r="CX38" i="22"/>
  <c r="DM37" i="22"/>
  <c r="CX37" i="22"/>
  <c r="CX35" i="22"/>
  <c r="BI35" i="22"/>
  <c r="BG35" i="22"/>
  <c r="DM34" i="22"/>
  <c r="CX34" i="22"/>
  <c r="CX33" i="22"/>
  <c r="BI33" i="22"/>
  <c r="BG33" i="22"/>
  <c r="DM31" i="22"/>
  <c r="CX31" i="22"/>
  <c r="DM30" i="22"/>
  <c r="CX30" i="22"/>
  <c r="CX29" i="22"/>
  <c r="BG29" i="22"/>
  <c r="DM28" i="22"/>
  <c r="CX28" i="22"/>
  <c r="DM27" i="22"/>
  <c r="CX27" i="22"/>
  <c r="CX26" i="22"/>
  <c r="BG26" i="22"/>
  <c r="CX25" i="22"/>
  <c r="BI25" i="22"/>
  <c r="BG25" i="22"/>
  <c r="DM24" i="22"/>
  <c r="CX24" i="22"/>
  <c r="DM23" i="22"/>
  <c r="CX23" i="22"/>
  <c r="DM22" i="22"/>
  <c r="CX22" i="22"/>
  <c r="CX21" i="22"/>
  <c r="DM20" i="22"/>
  <c r="CX20" i="22"/>
  <c r="CX19" i="22"/>
  <c r="BI19" i="22"/>
  <c r="BG19" i="22"/>
  <c r="DM17" i="22"/>
  <c r="CX17" i="22"/>
  <c r="DM16" i="22"/>
  <c r="CX16" i="22"/>
  <c r="DM15" i="22"/>
  <c r="DE15" i="22"/>
  <c r="CX15" i="22"/>
  <c r="CS13" i="22"/>
  <c r="CR13" i="22"/>
  <c r="CO13" i="22"/>
  <c r="CO59" i="22" s="1"/>
  <c r="CN13" i="22"/>
  <c r="CM13" i="22"/>
  <c r="CK13" i="22"/>
  <c r="CJ13" i="22"/>
  <c r="CI13" i="22"/>
  <c r="CH13" i="22"/>
  <c r="K71" i="22" s="1"/>
  <c r="CG13" i="22"/>
  <c r="CG59" i="22" s="1"/>
  <c r="CF13" i="22"/>
  <c r="CE13" i="22"/>
  <c r="CD13" i="22"/>
  <c r="J71" i="22" s="1"/>
  <c r="CC13" i="22"/>
  <c r="CB13" i="22"/>
  <c r="CA13" i="22"/>
  <c r="BZ13" i="22"/>
  <c r="I71" i="22" s="1"/>
  <c r="BY13" i="22"/>
  <c r="BY59" i="22" s="1"/>
  <c r="BX13" i="22"/>
  <c r="BX59" i="22" s="1"/>
  <c r="BW13" i="22"/>
  <c r="BV13" i="22"/>
  <c r="H71" i="22" s="1"/>
  <c r="BU13" i="22"/>
  <c r="BT13" i="22"/>
  <c r="BS13" i="22"/>
  <c r="BR13" i="22"/>
  <c r="BQ13" i="22"/>
  <c r="BQ59" i="22" s="1"/>
  <c r="BP13" i="22"/>
  <c r="BO13" i="22"/>
  <c r="BN13" i="22"/>
  <c r="BM13" i="22"/>
  <c r="BL13" i="22"/>
  <c r="BK13" i="22"/>
  <c r="BJ13" i="22"/>
  <c r="BI13" i="22"/>
  <c r="BH13" i="22"/>
  <c r="BH59" i="22" s="1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S59" i="22" s="1"/>
  <c r="AR13" i="22"/>
  <c r="AR59" i="22" s="1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C59" i="22" s="1"/>
  <c r="AB13" i="22"/>
  <c r="AB59" i="22" s="1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M59" i="22" s="1"/>
  <c r="L13" i="22"/>
  <c r="L59" i="22" s="1"/>
  <c r="K13" i="22"/>
  <c r="J13" i="22"/>
  <c r="I13" i="22"/>
  <c r="H13" i="22"/>
  <c r="G13" i="22"/>
  <c r="F13" i="22"/>
  <c r="E13" i="22"/>
  <c r="D13" i="22"/>
  <c r="DR12" i="22"/>
  <c r="DM12" i="22"/>
  <c r="CX12" i="22"/>
  <c r="DM11" i="22"/>
  <c r="CX11" i="22"/>
  <c r="DM10" i="22"/>
  <c r="CX10" i="22"/>
  <c r="DV9" i="22"/>
  <c r="DM9" i="22"/>
  <c r="CX9" i="22"/>
  <c r="DM8" i="22"/>
  <c r="CX8" i="22"/>
  <c r="DB7" i="22"/>
  <c r="DA7" i="22"/>
  <c r="CX7" i="22"/>
  <c r="CX6" i="22"/>
  <c r="DM5" i="22"/>
  <c r="DE5" i="22"/>
  <c r="CX5" i="22"/>
  <c r="DB54" i="22"/>
  <c r="CQ45" i="21"/>
  <c r="CP47" i="21"/>
  <c r="DT57" i="21"/>
  <c r="DT56" i="21"/>
  <c r="DT55" i="21"/>
  <c r="DT54" i="21"/>
  <c r="DT53" i="21"/>
  <c r="DT52" i="21"/>
  <c r="DT51" i="21"/>
  <c r="DT50" i="21"/>
  <c r="DT49" i="21"/>
  <c r="DT48" i="21"/>
  <c r="DT46" i="21"/>
  <c r="DT44" i="21"/>
  <c r="DT43" i="21"/>
  <c r="DT42" i="21"/>
  <c r="DT41" i="21"/>
  <c r="DT40" i="21"/>
  <c r="DT39" i="21"/>
  <c r="DT38" i="21"/>
  <c r="DT37" i="21"/>
  <c r="DT35" i="21"/>
  <c r="DT34" i="21"/>
  <c r="DT33" i="21"/>
  <c r="DT31" i="21"/>
  <c r="DT30" i="21"/>
  <c r="DT29" i="21"/>
  <c r="DT28" i="21"/>
  <c r="DT27" i="21"/>
  <c r="DT26" i="21"/>
  <c r="DT25" i="21"/>
  <c r="DT24" i="21"/>
  <c r="DT23" i="21"/>
  <c r="DT22" i="21"/>
  <c r="DT21" i="21"/>
  <c r="DT20" i="21"/>
  <c r="DT19" i="21"/>
  <c r="DT17" i="21"/>
  <c r="DT16" i="21"/>
  <c r="DT15" i="21"/>
  <c r="DT12" i="21"/>
  <c r="DT11" i="21"/>
  <c r="DT10" i="21"/>
  <c r="DT9" i="21"/>
  <c r="DT8" i="21"/>
  <c r="DT7" i="21"/>
  <c r="DT6" i="21"/>
  <c r="DT5" i="21"/>
  <c r="DR57" i="21"/>
  <c r="DR56" i="21"/>
  <c r="DR55" i="21"/>
  <c r="DR54" i="21"/>
  <c r="DR53" i="21"/>
  <c r="DR52" i="21"/>
  <c r="DR51" i="21"/>
  <c r="DR50" i="21"/>
  <c r="DR49" i="21"/>
  <c r="DR48" i="21"/>
  <c r="DR46" i="21"/>
  <c r="DR44" i="21"/>
  <c r="DR43" i="21"/>
  <c r="DR42" i="21"/>
  <c r="DR41" i="21"/>
  <c r="DR40" i="21"/>
  <c r="DR39" i="21"/>
  <c r="DR38" i="21"/>
  <c r="DR37" i="21"/>
  <c r="DR35" i="21"/>
  <c r="DR34" i="21"/>
  <c r="DR33" i="21"/>
  <c r="DR31" i="21"/>
  <c r="DR30" i="21"/>
  <c r="DR29" i="21"/>
  <c r="DR28" i="21"/>
  <c r="DR27" i="21"/>
  <c r="DR26" i="21"/>
  <c r="DR25" i="21"/>
  <c r="DR24" i="21"/>
  <c r="DR23" i="21"/>
  <c r="DR22" i="21"/>
  <c r="DR21" i="21"/>
  <c r="DR20" i="21"/>
  <c r="DR19" i="21"/>
  <c r="DR17" i="21"/>
  <c r="DR16" i="21"/>
  <c r="DR15" i="21"/>
  <c r="DR12" i="21"/>
  <c r="DR11" i="21"/>
  <c r="DR10" i="21"/>
  <c r="DR9" i="21"/>
  <c r="DR8" i="21"/>
  <c r="DR7" i="21"/>
  <c r="DR6" i="21"/>
  <c r="DR5" i="21"/>
  <c r="DS2" i="21"/>
  <c r="CS58" i="21"/>
  <c r="CS59" i="21" s="1"/>
  <c r="CR58" i="21"/>
  <c r="CR59" i="21" s="1"/>
  <c r="CQ58" i="21"/>
  <c r="CS47" i="21"/>
  <c r="CR47" i="21"/>
  <c r="CQ47" i="21"/>
  <c r="CS45" i="21"/>
  <c r="CR45" i="21"/>
  <c r="CS13" i="21"/>
  <c r="CR13" i="21"/>
  <c r="CQ13" i="21"/>
  <c r="I69" i="21"/>
  <c r="CO58" i="21"/>
  <c r="CN58" i="21"/>
  <c r="CM58" i="21"/>
  <c r="CK58" i="21"/>
  <c r="CJ58" i="21"/>
  <c r="CI58" i="21"/>
  <c r="CH58" i="21"/>
  <c r="K69" i="21" s="1"/>
  <c r="CG58" i="21"/>
  <c r="CF58" i="21"/>
  <c r="CE58" i="21"/>
  <c r="CD58" i="21"/>
  <c r="CC58" i="21"/>
  <c r="CB58" i="21"/>
  <c r="CA58" i="21"/>
  <c r="BZ58" i="21"/>
  <c r="BY58" i="21"/>
  <c r="BX58" i="21"/>
  <c r="BW58" i="21"/>
  <c r="BV58" i="21"/>
  <c r="BU58" i="21"/>
  <c r="BT58" i="21"/>
  <c r="BS58" i="21"/>
  <c r="BR58" i="21"/>
  <c r="BQ58" i="21"/>
  <c r="BP58" i="21"/>
  <c r="BO58" i="21"/>
  <c r="BN58" i="21"/>
  <c r="BM58" i="21"/>
  <c r="BL58" i="21"/>
  <c r="BK58" i="21"/>
  <c r="BJ58" i="21"/>
  <c r="BI58" i="21"/>
  <c r="BH58" i="21"/>
  <c r="BF58" i="21"/>
  <c r="BE58" i="21"/>
  <c r="BD58" i="21"/>
  <c r="BC58" i="21"/>
  <c r="BB58" i="21"/>
  <c r="BA58" i="21"/>
  <c r="AZ58" i="21"/>
  <c r="AY58" i="21"/>
  <c r="AX58" i="21"/>
  <c r="AW58" i="21"/>
  <c r="AV58" i="21"/>
  <c r="AU58" i="21"/>
  <c r="AU59" i="21" s="1"/>
  <c r="AT58" i="21"/>
  <c r="AS58" i="21"/>
  <c r="AR58" i="21"/>
  <c r="AQ58" i="21"/>
  <c r="AP58" i="21"/>
  <c r="AO58" i="21"/>
  <c r="AN58" i="21"/>
  <c r="AM58" i="21"/>
  <c r="AL58" i="21"/>
  <c r="AK58" i="21"/>
  <c r="AJ58" i="21"/>
  <c r="AI58" i="21"/>
  <c r="AH58" i="21"/>
  <c r="AG58" i="21"/>
  <c r="AF58" i="21"/>
  <c r="AE58" i="21"/>
  <c r="AD58" i="21"/>
  <c r="AC58" i="21"/>
  <c r="AB58" i="21"/>
  <c r="AA58" i="21"/>
  <c r="Z58" i="21"/>
  <c r="Y58" i="21"/>
  <c r="X58" i="21"/>
  <c r="W58" i="21"/>
  <c r="V58" i="21"/>
  <c r="U58" i="21"/>
  <c r="T58" i="21"/>
  <c r="S58" i="21"/>
  <c r="R58" i="21"/>
  <c r="Q58" i="21"/>
  <c r="P58" i="21"/>
  <c r="O58" i="21"/>
  <c r="N58" i="21"/>
  <c r="M58" i="21"/>
  <c r="L58" i="21"/>
  <c r="K58" i="21"/>
  <c r="J58" i="21"/>
  <c r="I58" i="21"/>
  <c r="H58" i="21"/>
  <c r="G58" i="21"/>
  <c r="F58" i="21"/>
  <c r="E58" i="21"/>
  <c r="D58" i="21"/>
  <c r="DQ57" i="21"/>
  <c r="DN57" i="21"/>
  <c r="DI57" i="21"/>
  <c r="CT57" i="21"/>
  <c r="DP56" i="21"/>
  <c r="DO56" i="21"/>
  <c r="DJ56" i="21"/>
  <c r="DI56" i="21"/>
  <c r="DH56" i="21"/>
  <c r="DG56" i="21"/>
  <c r="CT56" i="21"/>
  <c r="DI55" i="21"/>
  <c r="DD55" i="21"/>
  <c r="DC55" i="21"/>
  <c r="CT55" i="21"/>
  <c r="DI54" i="21"/>
  <c r="DF54" i="21"/>
  <c r="CT54" i="21"/>
  <c r="DK53" i="21"/>
  <c r="DJ53" i="21"/>
  <c r="DI53" i="21"/>
  <c r="DH53" i="21"/>
  <c r="CT53" i="21"/>
  <c r="CU53" i="21" s="1"/>
  <c r="DK52" i="21"/>
  <c r="DJ52" i="21"/>
  <c r="DI52" i="21"/>
  <c r="CT52" i="21"/>
  <c r="DF51" i="21"/>
  <c r="DE51" i="21"/>
  <c r="CT51" i="21"/>
  <c r="BG51" i="21"/>
  <c r="DI51" i="21" s="1"/>
  <c r="DO50" i="21"/>
  <c r="DN50" i="21"/>
  <c r="DI50" i="21"/>
  <c r="CV50" i="21"/>
  <c r="CT50" i="21"/>
  <c r="DI49" i="21"/>
  <c r="CZ49" i="21"/>
  <c r="CT49" i="21"/>
  <c r="DJ48" i="21"/>
  <c r="DI48" i="21"/>
  <c r="DB48" i="21"/>
  <c r="DA48" i="21"/>
  <c r="CT48" i="21"/>
  <c r="CU48" i="21" s="1"/>
  <c r="CO47" i="21"/>
  <c r="CN47" i="21"/>
  <c r="CN59" i="21" s="1"/>
  <c r="CM47" i="21"/>
  <c r="CK47" i="21"/>
  <c r="CJ47" i="21"/>
  <c r="CI47" i="21"/>
  <c r="CH47" i="21"/>
  <c r="K70" i="21" s="1"/>
  <c r="K77" i="21" s="1"/>
  <c r="CG47" i="21"/>
  <c r="CF47" i="21"/>
  <c r="CE47" i="21"/>
  <c r="CD47" i="21"/>
  <c r="J70" i="21" s="1"/>
  <c r="J77" i="21" s="1"/>
  <c r="CC47" i="21"/>
  <c r="CB47" i="21"/>
  <c r="CA47" i="21"/>
  <c r="BZ47" i="21"/>
  <c r="I70" i="21" s="1"/>
  <c r="I77" i="21" s="1"/>
  <c r="BY47" i="21"/>
  <c r="BX47" i="21"/>
  <c r="BW47" i="21"/>
  <c r="BV47" i="21"/>
  <c r="H70" i="21" s="1"/>
  <c r="H77" i="21" s="1"/>
  <c r="BU47" i="21"/>
  <c r="BT47" i="21"/>
  <c r="BS47" i="21"/>
  <c r="BR47" i="21"/>
  <c r="BQ47" i="21"/>
  <c r="BP47" i="21"/>
  <c r="BO47" i="21"/>
  <c r="BN47" i="21"/>
  <c r="BM47" i="21"/>
  <c r="BL47" i="21"/>
  <c r="BK47" i="21"/>
  <c r="BJ47" i="21"/>
  <c r="BI47" i="21"/>
  <c r="BH47" i="21"/>
  <c r="BG47" i="21"/>
  <c r="BF47" i="21"/>
  <c r="BE47" i="21"/>
  <c r="BD47" i="21"/>
  <c r="BC47" i="21"/>
  <c r="BB47" i="21"/>
  <c r="BA47" i="21"/>
  <c r="AZ47" i="21"/>
  <c r="AY47" i="21"/>
  <c r="AX47" i="21"/>
  <c r="AW47" i="21"/>
  <c r="AV47" i="21"/>
  <c r="AU47" i="21"/>
  <c r="AT47" i="21"/>
  <c r="AT59" i="21" s="1"/>
  <c r="AS47" i="21"/>
  <c r="AR47" i="21"/>
  <c r="AQ47" i="21"/>
  <c r="AP47" i="21"/>
  <c r="AO47" i="21"/>
  <c r="AN47" i="21"/>
  <c r="AM47" i="21"/>
  <c r="AL47" i="21"/>
  <c r="AK47" i="21"/>
  <c r="AJ47" i="21"/>
  <c r="AI47" i="21"/>
  <c r="AH47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R47" i="21"/>
  <c r="Q47" i="21"/>
  <c r="P47" i="21"/>
  <c r="O47" i="21"/>
  <c r="N47" i="21"/>
  <c r="M47" i="21"/>
  <c r="L47" i="21"/>
  <c r="K47" i="21"/>
  <c r="J47" i="21"/>
  <c r="I47" i="21"/>
  <c r="H47" i="21"/>
  <c r="G47" i="21"/>
  <c r="F47" i="21"/>
  <c r="E47" i="21"/>
  <c r="D47" i="21"/>
  <c r="DP46" i="21"/>
  <c r="DK46" i="21"/>
  <c r="DJ46" i="21"/>
  <c r="DI46" i="21"/>
  <c r="DC46" i="21"/>
  <c r="DB46" i="21"/>
  <c r="CT46" i="21"/>
  <c r="CO45" i="21"/>
  <c r="CN45" i="21"/>
  <c r="CM45" i="21"/>
  <c r="CK45" i="21"/>
  <c r="CJ45" i="21"/>
  <c r="CI45" i="21"/>
  <c r="CH45" i="21"/>
  <c r="K68" i="21" s="1"/>
  <c r="CG45" i="21"/>
  <c r="CF45" i="21"/>
  <c r="CE45" i="21"/>
  <c r="CD45" i="21"/>
  <c r="J68" i="21" s="1"/>
  <c r="CC45" i="21"/>
  <c r="CB45" i="21"/>
  <c r="CA45" i="21"/>
  <c r="BZ45" i="21"/>
  <c r="I68" i="21" s="1"/>
  <c r="I75" i="21" s="1"/>
  <c r="BY45" i="21"/>
  <c r="BX45" i="21"/>
  <c r="BW45" i="21"/>
  <c r="BV45" i="21"/>
  <c r="H68" i="21" s="1"/>
  <c r="BU45" i="21"/>
  <c r="BT45" i="21"/>
  <c r="BS45" i="21"/>
  <c r="BR45" i="21"/>
  <c r="BQ45" i="21"/>
  <c r="BP45" i="21"/>
  <c r="BO45" i="21"/>
  <c r="BN45" i="21"/>
  <c r="BM45" i="21"/>
  <c r="BL45" i="21"/>
  <c r="BK45" i="21"/>
  <c r="BK59" i="21" s="1"/>
  <c r="BJ45" i="21"/>
  <c r="BJ59" i="21" s="1"/>
  <c r="BH45" i="21"/>
  <c r="BF45" i="21"/>
  <c r="BE45" i="21"/>
  <c r="BD45" i="21"/>
  <c r="BC45" i="21"/>
  <c r="BB45" i="21"/>
  <c r="BA45" i="21"/>
  <c r="AZ45" i="21"/>
  <c r="AY45" i="21"/>
  <c r="AX45" i="21"/>
  <c r="AW45" i="21"/>
  <c r="AV45" i="21"/>
  <c r="AU45" i="21"/>
  <c r="AT45" i="21"/>
  <c r="AS45" i="21"/>
  <c r="AR45" i="21"/>
  <c r="AQ45" i="21"/>
  <c r="AP45" i="21"/>
  <c r="AO45" i="21"/>
  <c r="AN45" i="21"/>
  <c r="AM45" i="21"/>
  <c r="AL45" i="21"/>
  <c r="AK45" i="21"/>
  <c r="AJ45" i="21"/>
  <c r="AI45" i="21"/>
  <c r="AH45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R45" i="21"/>
  <c r="Q45" i="21"/>
  <c r="P45" i="21"/>
  <c r="O45" i="21"/>
  <c r="N45" i="21"/>
  <c r="M45" i="21"/>
  <c r="L45" i="21"/>
  <c r="K45" i="21"/>
  <c r="J45" i="21"/>
  <c r="I45" i="21"/>
  <c r="H45" i="21"/>
  <c r="G45" i="21"/>
  <c r="F45" i="21"/>
  <c r="E45" i="21"/>
  <c r="D45" i="21"/>
  <c r="DJ44" i="21"/>
  <c r="DI44" i="21"/>
  <c r="DF44" i="21"/>
  <c r="DE44" i="21"/>
  <c r="DB44" i="21"/>
  <c r="CV44" i="21"/>
  <c r="CT44" i="21"/>
  <c r="CU44" i="21" s="1"/>
  <c r="DI43" i="21"/>
  <c r="DG43" i="21"/>
  <c r="CT43" i="21"/>
  <c r="DK42" i="21"/>
  <c r="DJ42" i="21"/>
  <c r="DI42" i="21"/>
  <c r="DB42" i="21"/>
  <c r="DA42" i="21"/>
  <c r="CZ42" i="21"/>
  <c r="CT42" i="21"/>
  <c r="DI41" i="21"/>
  <c r="DH41" i="21"/>
  <c r="DE41" i="21"/>
  <c r="CY41" i="21"/>
  <c r="CT41" i="21"/>
  <c r="DI40" i="21"/>
  <c r="DA40" i="21"/>
  <c r="CT40" i="21"/>
  <c r="CU40" i="21" s="1"/>
  <c r="DO39" i="21"/>
  <c r="DN39" i="21"/>
  <c r="DM39" i="21"/>
  <c r="DL39" i="21"/>
  <c r="DI39" i="21"/>
  <c r="CT39" i="21"/>
  <c r="DN38" i="21"/>
  <c r="DI38" i="21"/>
  <c r="DH38" i="21"/>
  <c r="DG38" i="21"/>
  <c r="DA38" i="21"/>
  <c r="CZ38" i="21"/>
  <c r="CT38" i="21"/>
  <c r="DI37" i="21"/>
  <c r="DD37" i="21"/>
  <c r="DC37" i="21"/>
  <c r="DB37" i="21"/>
  <c r="CT37" i="21"/>
  <c r="CT35" i="21"/>
  <c r="BI35" i="21"/>
  <c r="BG35" i="21"/>
  <c r="DO34" i="21"/>
  <c r="DI34" i="21"/>
  <c r="DH34" i="21"/>
  <c r="DG34" i="21"/>
  <c r="DF34" i="21"/>
  <c r="CY34" i="21"/>
  <c r="CT34" i="21"/>
  <c r="CV33" i="21"/>
  <c r="CT33" i="21"/>
  <c r="CU33" i="21" s="1"/>
  <c r="BI33" i="21"/>
  <c r="BG33" i="21"/>
  <c r="DI33" i="21" s="1"/>
  <c r="DI31" i="21"/>
  <c r="CZ31" i="21"/>
  <c r="CY31" i="21"/>
  <c r="CX31" i="21"/>
  <c r="CW31" i="21"/>
  <c r="CT31" i="21"/>
  <c r="DI30" i="21"/>
  <c r="CT30" i="21"/>
  <c r="DO29" i="21"/>
  <c r="DN29" i="21"/>
  <c r="DK29" i="21"/>
  <c r="DH29" i="21"/>
  <c r="DG29" i="21"/>
  <c r="DF29" i="21"/>
  <c r="DE29" i="21"/>
  <c r="CV29" i="21"/>
  <c r="CT29" i="21"/>
  <c r="BG29" i="21"/>
  <c r="DI28" i="21"/>
  <c r="DC28" i="21"/>
  <c r="DB28" i="21"/>
  <c r="DA28" i="21"/>
  <c r="CV28" i="21"/>
  <c r="CT28" i="21"/>
  <c r="CU28" i="21" s="1"/>
  <c r="DI27" i="21"/>
  <c r="DF27" i="21"/>
  <c r="DE27" i="21"/>
  <c r="DD27" i="21"/>
  <c r="DA27" i="21"/>
  <c r="CT27" i="21"/>
  <c r="DM26" i="21"/>
  <c r="CW26" i="21"/>
  <c r="CV26" i="21"/>
  <c r="CT26" i="21"/>
  <c r="BG26" i="21"/>
  <c r="DI26" i="21" s="1"/>
  <c r="DQ25" i="21"/>
  <c r="DP25" i="21"/>
  <c r="DO25" i="21"/>
  <c r="DN25" i="21"/>
  <c r="CT25" i="21"/>
  <c r="BI25" i="21"/>
  <c r="BG25" i="21"/>
  <c r="DK24" i="21"/>
  <c r="DI24" i="21"/>
  <c r="DH24" i="21"/>
  <c r="CT24" i="21"/>
  <c r="DQ23" i="21"/>
  <c r="DP23" i="21"/>
  <c r="DI23" i="21"/>
  <c r="DG23" i="21"/>
  <c r="DE23" i="21"/>
  <c r="DD23" i="21"/>
  <c r="DC23" i="21"/>
  <c r="CT23" i="21"/>
  <c r="DI22" i="21"/>
  <c r="DG22" i="21"/>
  <c r="DE22" i="21"/>
  <c r="DD22" i="21"/>
  <c r="DC22" i="21"/>
  <c r="DB22" i="21"/>
  <c r="DA22" i="21"/>
  <c r="CZ22" i="21"/>
  <c r="CT22" i="21"/>
  <c r="DM21" i="21"/>
  <c r="DL21" i="21"/>
  <c r="CZ21" i="21"/>
  <c r="CY21" i="21"/>
  <c r="CX21" i="21"/>
  <c r="CT21" i="21"/>
  <c r="DI20" i="21"/>
  <c r="DH20" i="21"/>
  <c r="DG20" i="21"/>
  <c r="DF20" i="21"/>
  <c r="DE20" i="21"/>
  <c r="DD20" i="21"/>
  <c r="CY20" i="21"/>
  <c r="CT20" i="21"/>
  <c r="DH19" i="21"/>
  <c r="DG19" i="21"/>
  <c r="DF19" i="21"/>
  <c r="DE19" i="21"/>
  <c r="DD19" i="21"/>
  <c r="DC19" i="21"/>
  <c r="DB19" i="21"/>
  <c r="DA19" i="21"/>
  <c r="CT19" i="21"/>
  <c r="CU19" i="21" s="1"/>
  <c r="BI19" i="21"/>
  <c r="BG19" i="21"/>
  <c r="DL17" i="21"/>
  <c r="DK17" i="21"/>
  <c r="DJ17" i="21"/>
  <c r="DI17" i="21"/>
  <c r="DH17" i="21"/>
  <c r="DF17" i="21"/>
  <c r="DE17" i="21"/>
  <c r="DD17" i="21"/>
  <c r="CT17" i="21"/>
  <c r="DP16" i="21"/>
  <c r="DN16" i="21"/>
  <c r="DI16" i="21"/>
  <c r="DF16" i="21"/>
  <c r="DE16" i="21"/>
  <c r="DD16" i="21"/>
  <c r="CT16" i="21"/>
  <c r="DQ15" i="21"/>
  <c r="DP15" i="21"/>
  <c r="DO15" i="21"/>
  <c r="DN15" i="21"/>
  <c r="DM15" i="21"/>
  <c r="DL15" i="21"/>
  <c r="DK15" i="21"/>
  <c r="DI15" i="21"/>
  <c r="CT15" i="21"/>
  <c r="CU15" i="21" s="1"/>
  <c r="CO13" i="21"/>
  <c r="CN13" i="21"/>
  <c r="CM13" i="21"/>
  <c r="CK13" i="21"/>
  <c r="CJ13" i="21"/>
  <c r="CI13" i="21"/>
  <c r="CH13" i="21"/>
  <c r="K71" i="21" s="1"/>
  <c r="CG13" i="21"/>
  <c r="CF13" i="21"/>
  <c r="CE13" i="21"/>
  <c r="CD13" i="21"/>
  <c r="J71" i="21" s="1"/>
  <c r="CC13" i="21"/>
  <c r="CB13" i="21"/>
  <c r="CA13" i="21"/>
  <c r="BZ13" i="21"/>
  <c r="I71" i="21" s="1"/>
  <c r="BY13" i="21"/>
  <c r="BX13" i="21"/>
  <c r="BW13" i="21"/>
  <c r="BV13" i="21"/>
  <c r="H71" i="21" s="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DK12" i="21"/>
  <c r="DI12" i="21"/>
  <c r="DD12" i="21"/>
  <c r="DC12" i="21"/>
  <c r="DB12" i="21"/>
  <c r="CX12" i="21"/>
  <c r="CT12" i="21"/>
  <c r="DJ11" i="21"/>
  <c r="DI11" i="21"/>
  <c r="DH11" i="21"/>
  <c r="DG11" i="21"/>
  <c r="DF11" i="21"/>
  <c r="DE11" i="21"/>
  <c r="CT11" i="21"/>
  <c r="DP10" i="21"/>
  <c r="DO10" i="21"/>
  <c r="DN10" i="21"/>
  <c r="DM10" i="21"/>
  <c r="DL10" i="21"/>
  <c r="DK10" i="21"/>
  <c r="DJ10" i="21"/>
  <c r="DI10" i="21"/>
  <c r="DF10" i="21"/>
  <c r="CV10" i="21"/>
  <c r="CT10" i="21"/>
  <c r="CU10" i="21" s="1"/>
  <c r="DL9" i="21"/>
  <c r="DK9" i="21"/>
  <c r="DI9" i="21"/>
  <c r="DB9" i="21"/>
  <c r="DA9" i="21"/>
  <c r="CZ9" i="21"/>
  <c r="CY9" i="21"/>
  <c r="CW9" i="21"/>
  <c r="CT9" i="21"/>
  <c r="CU9" i="21" s="1"/>
  <c r="DQ8" i="21"/>
  <c r="DI8" i="21"/>
  <c r="DD8" i="21"/>
  <c r="DC8" i="21"/>
  <c r="DB8" i="21"/>
  <c r="DA8" i="21"/>
  <c r="CY8" i="21"/>
  <c r="CX8" i="21"/>
  <c r="CT8" i="21"/>
  <c r="DN7" i="21"/>
  <c r="DM7" i="21"/>
  <c r="DK7" i="21"/>
  <c r="DJ7" i="21"/>
  <c r="DE7" i="21"/>
  <c r="CT7" i="21"/>
  <c r="DQ6" i="21"/>
  <c r="DP6" i="21"/>
  <c r="DO6" i="21"/>
  <c r="DM6" i="21"/>
  <c r="DK6" i="21"/>
  <c r="DJ6" i="21"/>
  <c r="DB6" i="21"/>
  <c r="DA6" i="21"/>
  <c r="CZ6" i="21"/>
  <c r="CT6" i="21"/>
  <c r="DQ5" i="21"/>
  <c r="DI5" i="21"/>
  <c r="DG5" i="21"/>
  <c r="DF5" i="21"/>
  <c r="DE5" i="21"/>
  <c r="DD5" i="21"/>
  <c r="DC5" i="21"/>
  <c r="DB5" i="21"/>
  <c r="DA5" i="21"/>
  <c r="CZ5" i="21"/>
  <c r="CY5" i="21"/>
  <c r="CT5" i="21"/>
  <c r="CW54" i="21"/>
  <c r="DN2" i="20"/>
  <c r="H68" i="11" l="1"/>
  <c r="H62" i="11"/>
  <c r="C60" i="11"/>
  <c r="H72" i="11"/>
  <c r="C66" i="11"/>
  <c r="H65" i="11"/>
  <c r="H66" i="11"/>
  <c r="H56" i="11"/>
  <c r="H60" i="11" s="1"/>
  <c r="CY22" i="23"/>
  <c r="CY23" i="23"/>
  <c r="CX58" i="23"/>
  <c r="CX59" i="23" s="1"/>
  <c r="CY33" i="23"/>
  <c r="CR59" i="23"/>
  <c r="CY34" i="23"/>
  <c r="BL59" i="23"/>
  <c r="CB59" i="23"/>
  <c r="P59" i="23"/>
  <c r="AF59" i="23"/>
  <c r="AV59" i="23"/>
  <c r="CZ59" i="23"/>
  <c r="CY19" i="23"/>
  <c r="CY45" i="23" s="1"/>
  <c r="CY46" i="23"/>
  <c r="CY47" i="23" s="1"/>
  <c r="DA59" i="23"/>
  <c r="CX13" i="23"/>
  <c r="CY13" i="23"/>
  <c r="CX45" i="23"/>
  <c r="CY58" i="23"/>
  <c r="DM8" i="23"/>
  <c r="DM10" i="23"/>
  <c r="DN12" i="23"/>
  <c r="DL22" i="23"/>
  <c r="DZ6" i="23"/>
  <c r="J59" i="23"/>
  <c r="Z59" i="23"/>
  <c r="AP59" i="23"/>
  <c r="BF59" i="23"/>
  <c r="DU25" i="23"/>
  <c r="DO15" i="23"/>
  <c r="DS30" i="23"/>
  <c r="CT13" i="23"/>
  <c r="DJ9" i="23"/>
  <c r="DJ11" i="23"/>
  <c r="DE23" i="23"/>
  <c r="DW28" i="23"/>
  <c r="DP33" i="23"/>
  <c r="DO48" i="23"/>
  <c r="DM5" i="23"/>
  <c r="DZ7" i="23"/>
  <c r="DZ9" i="23"/>
  <c r="DZ11" i="23"/>
  <c r="DQ21" i="23"/>
  <c r="DL26" i="23"/>
  <c r="CW59" i="23"/>
  <c r="CQ59" i="23"/>
  <c r="DZ5" i="23"/>
  <c r="DE16" i="23"/>
  <c r="DW31" i="23"/>
  <c r="BK59" i="23"/>
  <c r="CA59" i="23"/>
  <c r="BQ59" i="23"/>
  <c r="CG59" i="23"/>
  <c r="CP13" i="23"/>
  <c r="DY16" i="23"/>
  <c r="H83" i="23"/>
  <c r="BA59" i="23"/>
  <c r="DJ8" i="23"/>
  <c r="DJ10" i="23"/>
  <c r="DK12" i="23"/>
  <c r="Q59" i="23"/>
  <c r="AG59" i="23"/>
  <c r="AW59" i="23"/>
  <c r="BM59" i="23"/>
  <c r="CC59" i="23"/>
  <c r="DS29" i="23"/>
  <c r="DJ54" i="23"/>
  <c r="CU45" i="22"/>
  <c r="CU59" i="22" s="1"/>
  <c r="CT45" i="23"/>
  <c r="CT58" i="23"/>
  <c r="CT59" i="23" s="1"/>
  <c r="CP45" i="23"/>
  <c r="CP58" i="23"/>
  <c r="CL13" i="23"/>
  <c r="CL58" i="23"/>
  <c r="DI5" i="23"/>
  <c r="DY5" i="23"/>
  <c r="DI6" i="23"/>
  <c r="DY6" i="23"/>
  <c r="DI7" i="23"/>
  <c r="DY7" i="23"/>
  <c r="DI8" i="23"/>
  <c r="DY8" i="23"/>
  <c r="DI9" i="23"/>
  <c r="DY9" i="23"/>
  <c r="DI10" i="23"/>
  <c r="DY10" i="23"/>
  <c r="DI11" i="23"/>
  <c r="DY11" i="23"/>
  <c r="DJ12" i="23"/>
  <c r="EA12" i="23"/>
  <c r="DI15" i="23"/>
  <c r="DX16" i="23"/>
  <c r="DO17" i="23"/>
  <c r="DR20" i="23"/>
  <c r="DP21" i="23"/>
  <c r="DK22" i="23"/>
  <c r="DZ24" i="23"/>
  <c r="DS25" i="23"/>
  <c r="DK26" i="23"/>
  <c r="DV28" i="23"/>
  <c r="DI29" i="23"/>
  <c r="DR30" i="23"/>
  <c r="DV31" i="23"/>
  <c r="DO33" i="23"/>
  <c r="DQ35" i="23"/>
  <c r="DX38" i="23"/>
  <c r="DT42" i="23"/>
  <c r="CV59" i="23"/>
  <c r="DK5" i="23"/>
  <c r="EA5" i="23"/>
  <c r="DK6" i="23"/>
  <c r="EA6" i="23"/>
  <c r="DK7" i="23"/>
  <c r="EA7" i="23"/>
  <c r="DK8" i="23"/>
  <c r="EA8" i="23"/>
  <c r="DK9" i="23"/>
  <c r="EA9" i="23"/>
  <c r="DK10" i="23"/>
  <c r="EA10" i="23"/>
  <c r="DK11" i="23"/>
  <c r="EA11" i="23"/>
  <c r="DL12" i="23"/>
  <c r="DM15" i="23"/>
  <c r="DC16" i="23"/>
  <c r="DZ16" i="23"/>
  <c r="DS17" i="23"/>
  <c r="CU45" i="23"/>
  <c r="DY20" i="23"/>
  <c r="DR21" i="23"/>
  <c r="DN22" i="23"/>
  <c r="DG23" i="23"/>
  <c r="DW25" i="23"/>
  <c r="DV26" i="23"/>
  <c r="DW27" i="23"/>
  <c r="DZ28" i="23"/>
  <c r="DT29" i="23"/>
  <c r="DV30" i="23"/>
  <c r="DX31" i="23"/>
  <c r="DQ33" i="23"/>
  <c r="DD51" i="23"/>
  <c r="DP57" i="23"/>
  <c r="DL5" i="23"/>
  <c r="DL6" i="23"/>
  <c r="DL7" i="23"/>
  <c r="DL8" i="23"/>
  <c r="DL9" i="23"/>
  <c r="DL10" i="23"/>
  <c r="DL11" i="23"/>
  <c r="DM12" i="23"/>
  <c r="DN15" i="23"/>
  <c r="DD16" i="23"/>
  <c r="DT17" i="23"/>
  <c r="EA20" i="23"/>
  <c r="DW21" i="23"/>
  <c r="DO22" i="23"/>
  <c r="DI23" i="23"/>
  <c r="DQ25" i="23"/>
  <c r="DX25" i="23"/>
  <c r="DW26" i="23"/>
  <c r="DZ27" i="23"/>
  <c r="EA28" i="23"/>
  <c r="DW29" i="23"/>
  <c r="DW30" i="23"/>
  <c r="EA33" i="23"/>
  <c r="DC41" i="23"/>
  <c r="DT51" i="23"/>
  <c r="DZ54" i="23"/>
  <c r="BP59" i="23"/>
  <c r="CF59" i="23"/>
  <c r="DU17" i="23"/>
  <c r="DC19" i="23"/>
  <c r="DY21" i="23"/>
  <c r="DP22" i="23"/>
  <c r="DJ23" i="23"/>
  <c r="EA25" i="23"/>
  <c r="DZ26" i="23"/>
  <c r="EA27" i="23"/>
  <c r="DX29" i="23"/>
  <c r="DX30" i="23"/>
  <c r="DE37" i="23"/>
  <c r="H72" i="23"/>
  <c r="H75" i="23"/>
  <c r="D59" i="23"/>
  <c r="T59" i="23"/>
  <c r="AJ59" i="23"/>
  <c r="AZ59" i="23"/>
  <c r="DN57" i="23"/>
  <c r="DN56" i="23"/>
  <c r="EA55" i="23"/>
  <c r="DK55" i="23"/>
  <c r="DX54" i="23"/>
  <c r="DH54" i="23"/>
  <c r="DU53" i="23"/>
  <c r="DE53" i="23"/>
  <c r="DR52" i="23"/>
  <c r="DR51" i="23"/>
  <c r="DS50" i="23"/>
  <c r="DC50" i="23"/>
  <c r="DP49" i="23"/>
  <c r="DM48" i="23"/>
  <c r="DO46" i="23"/>
  <c r="DT44" i="23"/>
  <c r="DD44" i="23"/>
  <c r="DN39" i="23"/>
  <c r="EA38" i="23"/>
  <c r="DK38" i="23"/>
  <c r="DX37" i="23"/>
  <c r="DH37" i="23"/>
  <c r="EA35" i="23"/>
  <c r="DK35" i="23"/>
  <c r="DM34" i="23"/>
  <c r="DN33" i="23"/>
  <c r="DU31" i="23"/>
  <c r="DE31" i="23"/>
  <c r="DU30" i="23"/>
  <c r="DE30" i="23"/>
  <c r="DV29" i="23"/>
  <c r="DF29" i="23"/>
  <c r="DY28" i="23"/>
  <c r="DI28" i="23"/>
  <c r="DY27" i="23"/>
  <c r="DI27" i="23"/>
  <c r="DY26" i="23"/>
  <c r="DI26" i="23"/>
  <c r="DZ25" i="23"/>
  <c r="DJ25" i="23"/>
  <c r="DL24" i="23"/>
  <c r="DL23" i="23"/>
  <c r="DM22" i="23"/>
  <c r="DN21" i="23"/>
  <c r="DN20" i="23"/>
  <c r="DO19" i="23"/>
  <c r="DV17" i="23"/>
  <c r="DF17" i="23"/>
  <c r="DV16" i="23"/>
  <c r="DF16" i="23"/>
  <c r="DV15" i="23"/>
  <c r="DF15" i="23"/>
  <c r="DM57" i="23"/>
  <c r="DM56" i="23"/>
  <c r="DZ55" i="23"/>
  <c r="DJ55" i="23"/>
  <c r="DW54" i="23"/>
  <c r="DG54" i="23"/>
  <c r="DT53" i="23"/>
  <c r="DD53" i="23"/>
  <c r="DQ51" i="23"/>
  <c r="DR50" i="23"/>
  <c r="DO49" i="23"/>
  <c r="DL48" i="23"/>
  <c r="DN46" i="23"/>
  <c r="DS44" i="23"/>
  <c r="DC44" i="23"/>
  <c r="DP43" i="23"/>
  <c r="DP42" i="23"/>
  <c r="DP41" i="23"/>
  <c r="DP40" i="23"/>
  <c r="DM39" i="23"/>
  <c r="DZ38" i="23"/>
  <c r="DJ38" i="23"/>
  <c r="DW37" i="23"/>
  <c r="DG37" i="23"/>
  <c r="DZ35" i="23"/>
  <c r="DJ35" i="23"/>
  <c r="DL34" i="23"/>
  <c r="DM33" i="23"/>
  <c r="DT31" i="23"/>
  <c r="DD31" i="23"/>
  <c r="DT30" i="23"/>
  <c r="DD30" i="23"/>
  <c r="DU29" i="23"/>
  <c r="DE29" i="23"/>
  <c r="DX28" i="23"/>
  <c r="DH28" i="23"/>
  <c r="DX27" i="23"/>
  <c r="DH27" i="23"/>
  <c r="DX26" i="23"/>
  <c r="DH26" i="23"/>
  <c r="DY25" i="23"/>
  <c r="DI25" i="23"/>
  <c r="EA24" i="23"/>
  <c r="DK24" i="23"/>
  <c r="DL57" i="23"/>
  <c r="DL56" i="23"/>
  <c r="DY55" i="23"/>
  <c r="DI55" i="23"/>
  <c r="DV54" i="23"/>
  <c r="DF54" i="23"/>
  <c r="DS53" i="23"/>
  <c r="DC53" i="23"/>
  <c r="DP52" i="23"/>
  <c r="DP51" i="23"/>
  <c r="DN49" i="23"/>
  <c r="EA48" i="23"/>
  <c r="DK48" i="23"/>
  <c r="DM46" i="23"/>
  <c r="DR44" i="23"/>
  <c r="DO43" i="23"/>
  <c r="DO42" i="23"/>
  <c r="DO41" i="23"/>
  <c r="DO40" i="23"/>
  <c r="DL39" i="23"/>
  <c r="DY38" i="23"/>
  <c r="DI38" i="23"/>
  <c r="DV37" i="23"/>
  <c r="DF37" i="23"/>
  <c r="DY35" i="23"/>
  <c r="DI35" i="23"/>
  <c r="EA34" i="23"/>
  <c r="DK34" i="23"/>
  <c r="EA57" i="23"/>
  <c r="DK57" i="23"/>
  <c r="EA56" i="23"/>
  <c r="DK56" i="23"/>
  <c r="DX55" i="23"/>
  <c r="DH55" i="23"/>
  <c r="DU54" i="23"/>
  <c r="DE54" i="23"/>
  <c r="DR53" i="23"/>
  <c r="DO52" i="23"/>
  <c r="DO51" i="23"/>
  <c r="DP50" i="23"/>
  <c r="DM49" i="23"/>
  <c r="DZ48" i="23"/>
  <c r="DJ48" i="23"/>
  <c r="DL46" i="23"/>
  <c r="DN43" i="23"/>
  <c r="DN42" i="23"/>
  <c r="DN41" i="23"/>
  <c r="DN40" i="23"/>
  <c r="EA39" i="23"/>
  <c r="DK39" i="23"/>
  <c r="DZ57" i="23"/>
  <c r="DJ57" i="23"/>
  <c r="DZ56" i="23"/>
  <c r="DJ56" i="23"/>
  <c r="DW55" i="23"/>
  <c r="DG55" i="23"/>
  <c r="DT54" i="23"/>
  <c r="DD54" i="23"/>
  <c r="DN52" i="23"/>
  <c r="DN51" i="23"/>
  <c r="DO50" i="23"/>
  <c r="DL49" i="23"/>
  <c r="DY48" i="23"/>
  <c r="DI48" i="23"/>
  <c r="EA46" i="23"/>
  <c r="DK46" i="23"/>
  <c r="DP44" i="23"/>
  <c r="DM43" i="23"/>
  <c r="DM42" i="23"/>
  <c r="DM41" i="23"/>
  <c r="DM40" i="23"/>
  <c r="DZ39" i="23"/>
  <c r="DJ39" i="23"/>
  <c r="DW38" i="23"/>
  <c r="DG38" i="23"/>
  <c r="DT37" i="23"/>
  <c r="DD37" i="23"/>
  <c r="DW35" i="23"/>
  <c r="DG35" i="23"/>
  <c r="DY34" i="23"/>
  <c r="DI34" i="23"/>
  <c r="DZ33" i="23"/>
  <c r="DJ33" i="23"/>
  <c r="DR29" i="23"/>
  <c r="DU28" i="23"/>
  <c r="DE28" i="23"/>
  <c r="DU27" i="23"/>
  <c r="DE27" i="23"/>
  <c r="DU26" i="23"/>
  <c r="DE26" i="23"/>
  <c r="DV25" i="23"/>
  <c r="DF25" i="23"/>
  <c r="DX24" i="23"/>
  <c r="DH24" i="23"/>
  <c r="DX23" i="23"/>
  <c r="DH23" i="23"/>
  <c r="DY22" i="23"/>
  <c r="DI22" i="23"/>
  <c r="DZ21" i="23"/>
  <c r="DJ21" i="23"/>
  <c r="DZ20" i="23"/>
  <c r="DJ20" i="23"/>
  <c r="EA19" i="23"/>
  <c r="DK19" i="23"/>
  <c r="DR17" i="23"/>
  <c r="DR16" i="23"/>
  <c r="DR15" i="23"/>
  <c r="DY57" i="23"/>
  <c r="DI57" i="23"/>
  <c r="DY56" i="23"/>
  <c r="DI56" i="23"/>
  <c r="DV55" i="23"/>
  <c r="DF55" i="23"/>
  <c r="DS54" i="23"/>
  <c r="DC54" i="23"/>
  <c r="DP53" i="23"/>
  <c r="DM52" i="23"/>
  <c r="DM51" i="23"/>
  <c r="DN50" i="23"/>
  <c r="EA49" i="23"/>
  <c r="DK49" i="23"/>
  <c r="DX48" i="23"/>
  <c r="DH48" i="23"/>
  <c r="DZ46" i="23"/>
  <c r="DJ46" i="23"/>
  <c r="DO44" i="23"/>
  <c r="DL43" i="23"/>
  <c r="DL42" i="23"/>
  <c r="DL41" i="23"/>
  <c r="DL40" i="23"/>
  <c r="DY39" i="23"/>
  <c r="DI39" i="23"/>
  <c r="DV38" i="23"/>
  <c r="DF38" i="23"/>
  <c r="DS37" i="23"/>
  <c r="DC37" i="23"/>
  <c r="DV35" i="23"/>
  <c r="DF35" i="23"/>
  <c r="DX34" i="23"/>
  <c r="DH34" i="23"/>
  <c r="DY33" i="23"/>
  <c r="DI33" i="23"/>
  <c r="DP31" i="23"/>
  <c r="DP30" i="23"/>
  <c r="DQ29" i="23"/>
  <c r="DT28" i="23"/>
  <c r="DD28" i="23"/>
  <c r="DT27" i="23"/>
  <c r="DD27" i="23"/>
  <c r="DT26" i="23"/>
  <c r="DX57" i="23"/>
  <c r="DH57" i="23"/>
  <c r="DX56" i="23"/>
  <c r="DH56" i="23"/>
  <c r="DU55" i="23"/>
  <c r="DE55" i="23"/>
  <c r="DR54" i="23"/>
  <c r="DO53" i="23"/>
  <c r="DL52" i="23"/>
  <c r="DL51" i="23"/>
  <c r="DM50" i="23"/>
  <c r="DZ49" i="23"/>
  <c r="DJ49" i="23"/>
  <c r="DW48" i="23"/>
  <c r="DG48" i="23"/>
  <c r="DY46" i="23"/>
  <c r="DI46" i="23"/>
  <c r="DN44" i="23"/>
  <c r="EA43" i="23"/>
  <c r="DK43" i="23"/>
  <c r="EA42" i="23"/>
  <c r="DK42" i="23"/>
  <c r="EA41" i="23"/>
  <c r="DK41" i="23"/>
  <c r="EA40" i="23"/>
  <c r="DK40" i="23"/>
  <c r="DX39" i="23"/>
  <c r="DH39" i="23"/>
  <c r="DU38" i="23"/>
  <c r="DE38" i="23"/>
  <c r="DR37" i="23"/>
  <c r="DU35" i="23"/>
  <c r="DE35" i="23"/>
  <c r="DW34" i="23"/>
  <c r="DG34" i="23"/>
  <c r="DX33" i="23"/>
  <c r="DH33" i="23"/>
  <c r="DO31" i="23"/>
  <c r="DO30" i="23"/>
  <c r="DP29" i="23"/>
  <c r="DS28" i="23"/>
  <c r="DC28" i="23"/>
  <c r="DS27" i="23"/>
  <c r="DC27" i="23"/>
  <c r="DS26" i="23"/>
  <c r="DC26" i="23"/>
  <c r="DT25" i="23"/>
  <c r="DD25" i="23"/>
  <c r="DV24" i="23"/>
  <c r="DF24" i="23"/>
  <c r="DV23" i="23"/>
  <c r="DF23" i="23"/>
  <c r="DW22" i="23"/>
  <c r="DG22" i="23"/>
  <c r="DX21" i="23"/>
  <c r="DH21" i="23"/>
  <c r="DX20" i="23"/>
  <c r="DH20" i="23"/>
  <c r="DY19" i="23"/>
  <c r="DI19" i="23"/>
  <c r="DP17" i="23"/>
  <c r="DP16" i="23"/>
  <c r="DP15" i="23"/>
  <c r="DU12" i="23"/>
  <c r="DE12" i="23"/>
  <c r="DW57" i="23"/>
  <c r="DG57" i="23"/>
  <c r="DW56" i="23"/>
  <c r="DG56" i="23"/>
  <c r="DT55" i="23"/>
  <c r="DD55" i="23"/>
  <c r="DN53" i="23"/>
  <c r="EA52" i="23"/>
  <c r="DK52" i="23"/>
  <c r="EA51" i="23"/>
  <c r="DK51" i="23"/>
  <c r="DL50" i="23"/>
  <c r="DY49" i="23"/>
  <c r="DI49" i="23"/>
  <c r="DV48" i="23"/>
  <c r="DF48" i="23"/>
  <c r="DX46" i="23"/>
  <c r="DH46" i="23"/>
  <c r="DM44" i="23"/>
  <c r="DZ43" i="23"/>
  <c r="DJ43" i="23"/>
  <c r="DZ42" i="23"/>
  <c r="DJ42" i="23"/>
  <c r="DZ41" i="23"/>
  <c r="DJ41" i="23"/>
  <c r="DZ40" i="23"/>
  <c r="DJ40" i="23"/>
  <c r="DW39" i="23"/>
  <c r="DG39" i="23"/>
  <c r="DT38" i="23"/>
  <c r="DD38" i="23"/>
  <c r="DT35" i="23"/>
  <c r="DD35" i="23"/>
  <c r="DV34" i="23"/>
  <c r="DF34" i="23"/>
  <c r="DW33" i="23"/>
  <c r="DG33" i="23"/>
  <c r="DN31" i="23"/>
  <c r="DN30" i="23"/>
  <c r="DO29" i="23"/>
  <c r="DR28" i="23"/>
  <c r="DR27" i="23"/>
  <c r="DR26" i="23"/>
  <c r="DV57" i="23"/>
  <c r="DF57" i="23"/>
  <c r="DV56" i="23"/>
  <c r="DF56" i="23"/>
  <c r="DS55" i="23"/>
  <c r="DC55" i="23"/>
  <c r="DP54" i="23"/>
  <c r="DM53" i="23"/>
  <c r="DZ52" i="23"/>
  <c r="DJ52" i="23"/>
  <c r="DZ51" i="23"/>
  <c r="DJ51" i="23"/>
  <c r="EA50" i="23"/>
  <c r="DK50" i="23"/>
  <c r="DX49" i="23"/>
  <c r="DH49" i="23"/>
  <c r="DU48" i="23"/>
  <c r="DE48" i="23"/>
  <c r="DW46" i="23"/>
  <c r="DG46" i="23"/>
  <c r="DL44" i="23"/>
  <c r="DY43" i="23"/>
  <c r="DI43" i="23"/>
  <c r="DY42" i="23"/>
  <c r="DI42" i="23"/>
  <c r="DY41" i="23"/>
  <c r="DI41" i="23"/>
  <c r="DY40" i="23"/>
  <c r="DI40" i="23"/>
  <c r="DV39" i="23"/>
  <c r="DF39" i="23"/>
  <c r="DS38" i="23"/>
  <c r="DC38" i="23"/>
  <c r="DP37" i="23"/>
  <c r="DS35" i="23"/>
  <c r="DC35" i="23"/>
  <c r="DU34" i="23"/>
  <c r="DE34" i="23"/>
  <c r="DV33" i="23"/>
  <c r="DF33" i="23"/>
  <c r="DM31" i="23"/>
  <c r="DM30" i="23"/>
  <c r="DN29" i="23"/>
  <c r="DQ26" i="23"/>
  <c r="DR25" i="23"/>
  <c r="DT24" i="23"/>
  <c r="DD24" i="23"/>
  <c r="DT23" i="23"/>
  <c r="DD23" i="23"/>
  <c r="DU22" i="23"/>
  <c r="DE22" i="23"/>
  <c r="DV21" i="23"/>
  <c r="DF21" i="23"/>
  <c r="DV20" i="23"/>
  <c r="DF20" i="23"/>
  <c r="DW19" i="23"/>
  <c r="DG19" i="23"/>
  <c r="DN17" i="23"/>
  <c r="DN16" i="23"/>
  <c r="DU57" i="23"/>
  <c r="DE57" i="23"/>
  <c r="DU56" i="23"/>
  <c r="DE56" i="23"/>
  <c r="DR55" i="23"/>
  <c r="DO54" i="23"/>
  <c r="DL53" i="23"/>
  <c r="DY52" i="23"/>
  <c r="DI52" i="23"/>
  <c r="DY51" i="23"/>
  <c r="DI51" i="23"/>
  <c r="DZ50" i="23"/>
  <c r="DJ50" i="23"/>
  <c r="DW49" i="23"/>
  <c r="DG49" i="23"/>
  <c r="DT48" i="23"/>
  <c r="DD48" i="23"/>
  <c r="DV46" i="23"/>
  <c r="DF46" i="23"/>
  <c r="EA44" i="23"/>
  <c r="DK44" i="23"/>
  <c r="DX43" i="23"/>
  <c r="DH43" i="23"/>
  <c r="DX42" i="23"/>
  <c r="DH42" i="23"/>
  <c r="DX41" i="23"/>
  <c r="DH41" i="23"/>
  <c r="DX40" i="23"/>
  <c r="DH40" i="23"/>
  <c r="DU39" i="23"/>
  <c r="DE39" i="23"/>
  <c r="DR38" i="23"/>
  <c r="DO37" i="23"/>
  <c r="DR35" i="23"/>
  <c r="DT34" i="23"/>
  <c r="DD34" i="23"/>
  <c r="DU33" i="23"/>
  <c r="DE33" i="23"/>
  <c r="DL31" i="23"/>
  <c r="DL30" i="23"/>
  <c r="DM29" i="23"/>
  <c r="DP28" i="23"/>
  <c r="DP27" i="23"/>
  <c r="DP26" i="23"/>
  <c r="DS24" i="23"/>
  <c r="DC24" i="23"/>
  <c r="DS23" i="23"/>
  <c r="DC23" i="23"/>
  <c r="DT22" i="23"/>
  <c r="DD22" i="23"/>
  <c r="DU21" i="23"/>
  <c r="DE21" i="23"/>
  <c r="DU20" i="23"/>
  <c r="DE20" i="23"/>
  <c r="DV19" i="23"/>
  <c r="DF19" i="23"/>
  <c r="DT57" i="23"/>
  <c r="DD57" i="23"/>
  <c r="DT56" i="23"/>
  <c r="DD56" i="23"/>
  <c r="DN54" i="23"/>
  <c r="EA53" i="23"/>
  <c r="DK53" i="23"/>
  <c r="DX52" i="23"/>
  <c r="DH52" i="23"/>
  <c r="DX51" i="23"/>
  <c r="DH51" i="23"/>
  <c r="DY50" i="23"/>
  <c r="DI50" i="23"/>
  <c r="DV49" i="23"/>
  <c r="DF49" i="23"/>
  <c r="DS48" i="23"/>
  <c r="DC48" i="23"/>
  <c r="DU46" i="23"/>
  <c r="DE46" i="23"/>
  <c r="DZ44" i="23"/>
  <c r="DJ44" i="23"/>
  <c r="DW43" i="23"/>
  <c r="DG43" i="23"/>
  <c r="DW42" i="23"/>
  <c r="DG42" i="23"/>
  <c r="DW41" i="23"/>
  <c r="DG41" i="23"/>
  <c r="DW40" i="23"/>
  <c r="DG40" i="23"/>
  <c r="DT39" i="23"/>
  <c r="DD39" i="23"/>
  <c r="DN37" i="23"/>
  <c r="DS34" i="23"/>
  <c r="DC34" i="23"/>
  <c r="DT33" i="23"/>
  <c r="DD33" i="23"/>
  <c r="EA31" i="23"/>
  <c r="DK31" i="23"/>
  <c r="EA30" i="23"/>
  <c r="DK30" i="23"/>
  <c r="DL29" i="23"/>
  <c r="DO28" i="23"/>
  <c r="DO27" i="23"/>
  <c r="DO26" i="23"/>
  <c r="DP25" i="23"/>
  <c r="DR24" i="23"/>
  <c r="DR23" i="23"/>
  <c r="DS22" i="23"/>
  <c r="DC22" i="23"/>
  <c r="DT21" i="23"/>
  <c r="DD21" i="23"/>
  <c r="DT20" i="23"/>
  <c r="DD20" i="23"/>
  <c r="DU19" i="23"/>
  <c r="DE19" i="23"/>
  <c r="DL17" i="23"/>
  <c r="DL16" i="23"/>
  <c r="DL15" i="23"/>
  <c r="DS57" i="23"/>
  <c r="DC57" i="23"/>
  <c r="DS56" i="23"/>
  <c r="DC56" i="23"/>
  <c r="DP55" i="23"/>
  <c r="DM54" i="23"/>
  <c r="DZ53" i="23"/>
  <c r="DJ53" i="23"/>
  <c r="DW52" i="23"/>
  <c r="DG52" i="23"/>
  <c r="DW51" i="23"/>
  <c r="DG51" i="23"/>
  <c r="DX50" i="23"/>
  <c r="DH50" i="23"/>
  <c r="DU49" i="23"/>
  <c r="DE49" i="23"/>
  <c r="DR48" i="23"/>
  <c r="DT46" i="23"/>
  <c r="DD46" i="23"/>
  <c r="DY44" i="23"/>
  <c r="DI44" i="23"/>
  <c r="DV43" i="23"/>
  <c r="DF43" i="23"/>
  <c r="DV42" i="23"/>
  <c r="DF42" i="23"/>
  <c r="DV41" i="23"/>
  <c r="DF41" i="23"/>
  <c r="DV40" i="23"/>
  <c r="DF40" i="23"/>
  <c r="DS39" i="23"/>
  <c r="DC39" i="23"/>
  <c r="DP38" i="23"/>
  <c r="DM37" i="23"/>
  <c r="DP35" i="23"/>
  <c r="DR34" i="23"/>
  <c r="DS33" i="23"/>
  <c r="DC33" i="23"/>
  <c r="DZ31" i="23"/>
  <c r="DJ31" i="23"/>
  <c r="DZ30" i="23"/>
  <c r="DJ30" i="23"/>
  <c r="EA29" i="23"/>
  <c r="DK29" i="23"/>
  <c r="DN28" i="23"/>
  <c r="DN27" i="23"/>
  <c r="DN26" i="23"/>
  <c r="DO25" i="23"/>
  <c r="DR22" i="23"/>
  <c r="DS21" i="23"/>
  <c r="DC21" i="23"/>
  <c r="DS20" i="23"/>
  <c r="DC20" i="23"/>
  <c r="DT19" i="23"/>
  <c r="DD19" i="23"/>
  <c r="EA17" i="23"/>
  <c r="DK17" i="23"/>
  <c r="EA16" i="23"/>
  <c r="DK16" i="23"/>
  <c r="EA15" i="23"/>
  <c r="DK15" i="23"/>
  <c r="DR57" i="23"/>
  <c r="DR56" i="23"/>
  <c r="DO55" i="23"/>
  <c r="DL54" i="23"/>
  <c r="DY53" i="23"/>
  <c r="DI53" i="23"/>
  <c r="DV52" i="23"/>
  <c r="DF52" i="23"/>
  <c r="DV51" i="23"/>
  <c r="DF51" i="23"/>
  <c r="DW50" i="23"/>
  <c r="DG50" i="23"/>
  <c r="DT49" i="23"/>
  <c r="DD49" i="23"/>
  <c r="DS46" i="23"/>
  <c r="DC46" i="23"/>
  <c r="DX44" i="23"/>
  <c r="DH44" i="23"/>
  <c r="DU43" i="23"/>
  <c r="DE43" i="23"/>
  <c r="DU42" i="23"/>
  <c r="DE42" i="23"/>
  <c r="DU41" i="23"/>
  <c r="DE41" i="23"/>
  <c r="DU40" i="23"/>
  <c r="DE40" i="23"/>
  <c r="DR39" i="23"/>
  <c r="DO38" i="23"/>
  <c r="DL37" i="23"/>
  <c r="DO35" i="23"/>
  <c r="DR33" i="23"/>
  <c r="DY31" i="23"/>
  <c r="DI31" i="23"/>
  <c r="DY30" i="23"/>
  <c r="DI30" i="23"/>
  <c r="DZ29" i="23"/>
  <c r="DJ29" i="23"/>
  <c r="DM28" i="23"/>
  <c r="DM27" i="23"/>
  <c r="DM26" i="23"/>
  <c r="DN25" i="23"/>
  <c r="DP24" i="23"/>
  <c r="DP23" i="23"/>
  <c r="DN55" i="23"/>
  <c r="EA54" i="23"/>
  <c r="DK54" i="23"/>
  <c r="DX53" i="23"/>
  <c r="DH53" i="23"/>
  <c r="DU52" i="23"/>
  <c r="DE52" i="23"/>
  <c r="DU51" i="23"/>
  <c r="DE51" i="23"/>
  <c r="DV50" i="23"/>
  <c r="DF50" i="23"/>
  <c r="DS49" i="23"/>
  <c r="DC49" i="23"/>
  <c r="DP48" i="23"/>
  <c r="DR46" i="23"/>
  <c r="DW44" i="23"/>
  <c r="DG44" i="23"/>
  <c r="DO57" i="23"/>
  <c r="DO56" i="23"/>
  <c r="DL55" i="23"/>
  <c r="DY54" i="23"/>
  <c r="DI54" i="23"/>
  <c r="DV53" i="23"/>
  <c r="DF53" i="23"/>
  <c r="DS52" i="23"/>
  <c r="DC52" i="23"/>
  <c r="DS51" i="23"/>
  <c r="DC51" i="23"/>
  <c r="DT50" i="23"/>
  <c r="DD50" i="23"/>
  <c r="DN48" i="23"/>
  <c r="DP46" i="23"/>
  <c r="DU44" i="23"/>
  <c r="DE44" i="23"/>
  <c r="DR43" i="23"/>
  <c r="DR42" i="23"/>
  <c r="DR41" i="23"/>
  <c r="DR40" i="23"/>
  <c r="DO39" i="23"/>
  <c r="DL38" i="23"/>
  <c r="DY37" i="23"/>
  <c r="DI37" i="23"/>
  <c r="DN5" i="23"/>
  <c r="DN6" i="23"/>
  <c r="DN7" i="23"/>
  <c r="DN8" i="23"/>
  <c r="DN9" i="23"/>
  <c r="DN10" i="23"/>
  <c r="DN11" i="23"/>
  <c r="DO12" i="23"/>
  <c r="DG16" i="23"/>
  <c r="DW17" i="23"/>
  <c r="DH19" i="23"/>
  <c r="EA21" i="23"/>
  <c r="DK23" i="23"/>
  <c r="DE24" i="23"/>
  <c r="EA26" i="23"/>
  <c r="DY29" i="23"/>
  <c r="DJ37" i="23"/>
  <c r="DP39" i="23"/>
  <c r="DC43" i="23"/>
  <c r="E59" i="23"/>
  <c r="U59" i="23"/>
  <c r="AK59" i="23"/>
  <c r="BR59" i="23"/>
  <c r="CH59" i="23"/>
  <c r="DO5" i="23"/>
  <c r="DO6" i="23"/>
  <c r="DO7" i="23"/>
  <c r="DO8" i="23"/>
  <c r="DO9" i="23"/>
  <c r="DO10" i="23"/>
  <c r="DO11" i="23"/>
  <c r="DP12" i="23"/>
  <c r="DS15" i="23"/>
  <c r="DH16" i="23"/>
  <c r="DX17" i="23"/>
  <c r="DJ19" i="23"/>
  <c r="DV22" i="23"/>
  <c r="DM23" i="23"/>
  <c r="DG24" i="23"/>
  <c r="DH35" i="23"/>
  <c r="DK37" i="23"/>
  <c r="DS41" i="23"/>
  <c r="DD43" i="23"/>
  <c r="BG45" i="23"/>
  <c r="CM59" i="23"/>
  <c r="DR49" i="23"/>
  <c r="DM55" i="23"/>
  <c r="F59" i="23"/>
  <c r="V59" i="23"/>
  <c r="AL59" i="23"/>
  <c r="BB59" i="23"/>
  <c r="BS59" i="23"/>
  <c r="CI59" i="23"/>
  <c r="DP5" i="23"/>
  <c r="DP6" i="23"/>
  <c r="DP7" i="23"/>
  <c r="DP8" i="23"/>
  <c r="DP9" i="23"/>
  <c r="DP10" i="23"/>
  <c r="DP11" i="23"/>
  <c r="CL45" i="23"/>
  <c r="DT15" i="23"/>
  <c r="DI16" i="23"/>
  <c r="DY17" i="23"/>
  <c r="DL19" i="23"/>
  <c r="DX22" i="23"/>
  <c r="DN23" i="23"/>
  <c r="DI24" i="23"/>
  <c r="DL35" i="23"/>
  <c r="DT41" i="23"/>
  <c r="K59" i="23"/>
  <c r="AA59" i="23"/>
  <c r="AQ59" i="23"/>
  <c r="BW59" i="23"/>
  <c r="G59" i="23"/>
  <c r="W59" i="23"/>
  <c r="AM59" i="23"/>
  <c r="BC59" i="23"/>
  <c r="BT59" i="23"/>
  <c r="CJ59" i="23"/>
  <c r="DQ6" i="23"/>
  <c r="DQ7" i="23"/>
  <c r="DR12" i="23"/>
  <c r="DU15" i="23"/>
  <c r="DJ16" i="23"/>
  <c r="DC17" i="23"/>
  <c r="DZ17" i="23"/>
  <c r="DM19" i="23"/>
  <c r="DG20" i="23"/>
  <c r="DZ22" i="23"/>
  <c r="DO23" i="23"/>
  <c r="DJ24" i="23"/>
  <c r="DM35" i="23"/>
  <c r="DU37" i="23"/>
  <c r="DS43" i="23"/>
  <c r="I72" i="23"/>
  <c r="I75" i="23"/>
  <c r="CO59" i="23"/>
  <c r="DD52" i="23"/>
  <c r="H59" i="23"/>
  <c r="X59" i="23"/>
  <c r="AN59" i="23"/>
  <c r="BD59" i="23"/>
  <c r="BU59" i="23"/>
  <c r="CK59" i="23"/>
  <c r="DR5" i="23"/>
  <c r="DR6" i="23"/>
  <c r="DR7" i="23"/>
  <c r="DR8" i="23"/>
  <c r="DR9" i="23"/>
  <c r="DR10" i="23"/>
  <c r="DR11" i="23"/>
  <c r="DS12" i="23"/>
  <c r="DW15" i="23"/>
  <c r="DM16" i="23"/>
  <c r="DD17" i="23"/>
  <c r="DN19" i="23"/>
  <c r="DI20" i="23"/>
  <c r="EA22" i="23"/>
  <c r="DM24" i="23"/>
  <c r="DC25" i="23"/>
  <c r="DC31" i="23"/>
  <c r="DJ34" i="23"/>
  <c r="DN35" i="23"/>
  <c r="DZ37" i="23"/>
  <c r="DC40" i="23"/>
  <c r="DT43" i="23"/>
  <c r="M59" i="23"/>
  <c r="AC59" i="23"/>
  <c r="AS59" i="23"/>
  <c r="BY59" i="23"/>
  <c r="DE50" i="23"/>
  <c r="I59" i="23"/>
  <c r="Y59" i="23"/>
  <c r="AO59" i="23"/>
  <c r="BE59" i="23"/>
  <c r="H76" i="23"/>
  <c r="DC5" i="23"/>
  <c r="DS5" i="23"/>
  <c r="DC6" i="23"/>
  <c r="DS6" i="23"/>
  <c r="DC7" i="23"/>
  <c r="DS7" i="23"/>
  <c r="DC8" i="23"/>
  <c r="DS8" i="23"/>
  <c r="DC9" i="23"/>
  <c r="DS9" i="23"/>
  <c r="DC10" i="23"/>
  <c r="DS10" i="23"/>
  <c r="DC11" i="23"/>
  <c r="DS11" i="23"/>
  <c r="DC12" i="23"/>
  <c r="DT12" i="23"/>
  <c r="DX15" i="23"/>
  <c r="DO16" i="23"/>
  <c r="DE17" i="23"/>
  <c r="DP19" i="23"/>
  <c r="DK20" i="23"/>
  <c r="DG21" i="23"/>
  <c r="DU23" i="23"/>
  <c r="DN24" i="23"/>
  <c r="DE25" i="23"/>
  <c r="DF28" i="23"/>
  <c r="DF31" i="23"/>
  <c r="DN34" i="23"/>
  <c r="DX35" i="23"/>
  <c r="EA37" i="23"/>
  <c r="DD40" i="23"/>
  <c r="I83" i="23"/>
  <c r="DT52" i="23"/>
  <c r="CN59" i="23"/>
  <c r="DD5" i="23"/>
  <c r="DT5" i="23"/>
  <c r="DD6" i="23"/>
  <c r="DT6" i="23"/>
  <c r="DD7" i="23"/>
  <c r="DT7" i="23"/>
  <c r="DD8" i="23"/>
  <c r="DT8" i="23"/>
  <c r="DD9" i="23"/>
  <c r="DT9" i="23"/>
  <c r="DD10" i="23"/>
  <c r="DT10" i="23"/>
  <c r="DD11" i="23"/>
  <c r="DT11" i="23"/>
  <c r="DD12" i="23"/>
  <c r="DV12" i="23"/>
  <c r="DC15" i="23"/>
  <c r="DY15" i="23"/>
  <c r="DG17" i="23"/>
  <c r="DQ19" i="23"/>
  <c r="DL20" i="23"/>
  <c r="DI21" i="23"/>
  <c r="DW23" i="23"/>
  <c r="DO24" i="23"/>
  <c r="DG25" i="23"/>
  <c r="DF27" i="23"/>
  <c r="DG28" i="23"/>
  <c r="DC30" i="23"/>
  <c r="DG31" i="23"/>
  <c r="DO34" i="23"/>
  <c r="DF44" i="23"/>
  <c r="DU50" i="23"/>
  <c r="DP56" i="23"/>
  <c r="BH59" i="23"/>
  <c r="BX59" i="23"/>
  <c r="I76" i="23"/>
  <c r="DE5" i="23"/>
  <c r="DU5" i="23"/>
  <c r="DE6" i="23"/>
  <c r="DU6" i="23"/>
  <c r="DE7" i="23"/>
  <c r="DU7" i="23"/>
  <c r="DE8" i="23"/>
  <c r="DU8" i="23"/>
  <c r="DE9" i="23"/>
  <c r="DU9" i="23"/>
  <c r="DE10" i="23"/>
  <c r="DU10" i="23"/>
  <c r="DE11" i="23"/>
  <c r="DU11" i="23"/>
  <c r="DF12" i="23"/>
  <c r="DW12" i="23"/>
  <c r="DD15" i="23"/>
  <c r="DZ15" i="23"/>
  <c r="DS16" i="23"/>
  <c r="DH17" i="23"/>
  <c r="DR19" i="23"/>
  <c r="DM20" i="23"/>
  <c r="DK21" i="23"/>
  <c r="DY23" i="23"/>
  <c r="DH25" i="23"/>
  <c r="DD26" i="23"/>
  <c r="DG27" i="23"/>
  <c r="DJ28" i="23"/>
  <c r="DC29" i="23"/>
  <c r="DF30" i="23"/>
  <c r="DH31" i="23"/>
  <c r="DP34" i="23"/>
  <c r="DH38" i="23"/>
  <c r="DS40" i="23"/>
  <c r="DC42" i="23"/>
  <c r="J75" i="23"/>
  <c r="J72" i="23"/>
  <c r="CU59" i="23"/>
  <c r="DG53" i="23"/>
  <c r="L59" i="23"/>
  <c r="AB59" i="23"/>
  <c r="AR59" i="23"/>
  <c r="J76" i="23"/>
  <c r="DF5" i="23"/>
  <c r="DV5" i="23"/>
  <c r="DF6" i="23"/>
  <c r="DV6" i="23"/>
  <c r="DF7" i="23"/>
  <c r="DV7" i="23"/>
  <c r="DF8" i="23"/>
  <c r="DV8" i="23"/>
  <c r="DF9" i="23"/>
  <c r="DV9" i="23"/>
  <c r="DF10" i="23"/>
  <c r="DV10" i="23"/>
  <c r="DF11" i="23"/>
  <c r="DV11" i="23"/>
  <c r="DG12" i="23"/>
  <c r="DX12" i="23"/>
  <c r="DE15" i="23"/>
  <c r="DT16" i="23"/>
  <c r="DI17" i="23"/>
  <c r="BI45" i="23"/>
  <c r="BI59" i="23" s="1"/>
  <c r="DS19" i="23"/>
  <c r="DO20" i="23"/>
  <c r="DL21" i="23"/>
  <c r="DF22" i="23"/>
  <c r="DZ23" i="23"/>
  <c r="DU24" i="23"/>
  <c r="DK25" i="23"/>
  <c r="DF26" i="23"/>
  <c r="DJ27" i="23"/>
  <c r="DK28" i="23"/>
  <c r="DD29" i="23"/>
  <c r="DG30" i="23"/>
  <c r="DM38" i="23"/>
  <c r="DT40" i="23"/>
  <c r="DD42" i="23"/>
  <c r="DV44" i="23"/>
  <c r="BJ59" i="23"/>
  <c r="BZ59" i="23"/>
  <c r="DG5" i="23"/>
  <c r="DW5" i="23"/>
  <c r="DG6" i="23"/>
  <c r="DW6" i="23"/>
  <c r="DG7" i="23"/>
  <c r="DW7" i="23"/>
  <c r="DG8" i="23"/>
  <c r="DW8" i="23"/>
  <c r="DG9" i="23"/>
  <c r="DW9" i="23"/>
  <c r="DG10" i="23"/>
  <c r="DW10" i="23"/>
  <c r="DG11" i="23"/>
  <c r="DW11" i="23"/>
  <c r="DH12" i="23"/>
  <c r="DY12" i="23"/>
  <c r="DG15" i="23"/>
  <c r="DU16" i="23"/>
  <c r="DJ17" i="23"/>
  <c r="DX19" i="23"/>
  <c r="DP20" i="23"/>
  <c r="DM21" i="23"/>
  <c r="DH22" i="23"/>
  <c r="EA23" i="23"/>
  <c r="DW24" i="23"/>
  <c r="DL25" i="23"/>
  <c r="DG26" i="23"/>
  <c r="DK27" i="23"/>
  <c r="DL28" i="23"/>
  <c r="DG29" i="23"/>
  <c r="DH30" i="23"/>
  <c r="DR31" i="23"/>
  <c r="DK33" i="23"/>
  <c r="DZ34" i="23"/>
  <c r="DN38" i="23"/>
  <c r="R59" i="23"/>
  <c r="AH59" i="23"/>
  <c r="AX59" i="23"/>
  <c r="BN59" i="23"/>
  <c r="J83" i="23"/>
  <c r="DW53" i="23"/>
  <c r="N59" i="23"/>
  <c r="AD59" i="23"/>
  <c r="AT59" i="23"/>
  <c r="DH5" i="23"/>
  <c r="DX5" i="23"/>
  <c r="DH6" i="23"/>
  <c r="DX6" i="23"/>
  <c r="DH7" i="23"/>
  <c r="DX7" i="23"/>
  <c r="DH8" i="23"/>
  <c r="DX8" i="23"/>
  <c r="DH9" i="23"/>
  <c r="DX9" i="23"/>
  <c r="DH10" i="23"/>
  <c r="DX10" i="23"/>
  <c r="DH11" i="23"/>
  <c r="DX11" i="23"/>
  <c r="DI12" i="23"/>
  <c r="DZ12" i="23"/>
  <c r="DH15" i="23"/>
  <c r="DW16" i="23"/>
  <c r="DM17" i="23"/>
  <c r="DZ19" i="23"/>
  <c r="DO21" i="23"/>
  <c r="DJ22" i="23"/>
  <c r="DY24" i="23"/>
  <c r="DM25" i="23"/>
  <c r="DJ26" i="23"/>
  <c r="DL27" i="23"/>
  <c r="DH29" i="23"/>
  <c r="DS31" i="23"/>
  <c r="DL33" i="23"/>
  <c r="DS42" i="23"/>
  <c r="S59" i="23"/>
  <c r="AI59" i="23"/>
  <c r="AY59" i="23"/>
  <c r="BO59" i="23"/>
  <c r="CE59" i="23"/>
  <c r="CP59" i="23"/>
  <c r="K69" i="23"/>
  <c r="K76" i="23" s="1"/>
  <c r="CD59" i="23"/>
  <c r="BG58" i="23"/>
  <c r="BG59" i="23" s="1"/>
  <c r="CP47" i="23"/>
  <c r="BV59" i="23"/>
  <c r="CQ45" i="22"/>
  <c r="CP13" i="22"/>
  <c r="DF9" i="22"/>
  <c r="DJ5" i="22"/>
  <c r="DI7" i="22"/>
  <c r="DV15" i="22"/>
  <c r="CY19" i="22"/>
  <c r="DQ7" i="22"/>
  <c r="E59" i="22"/>
  <c r="U59" i="22"/>
  <c r="AK59" i="22"/>
  <c r="BA59" i="22"/>
  <c r="CZ19" i="22"/>
  <c r="DB38" i="22"/>
  <c r="DN5" i="22"/>
  <c r="DB26" i="22"/>
  <c r="DU5" i="22"/>
  <c r="DG10" i="22"/>
  <c r="DV26" i="22"/>
  <c r="DR34" i="22"/>
  <c r="CW59" i="22"/>
  <c r="DD8" i="22"/>
  <c r="DN16" i="22"/>
  <c r="DK20" i="22"/>
  <c r="DM35" i="22"/>
  <c r="P59" i="22"/>
  <c r="AF59" i="22"/>
  <c r="AV59" i="22"/>
  <c r="CT45" i="22"/>
  <c r="DA24" i="22"/>
  <c r="CY6" i="22"/>
  <c r="DS8" i="22"/>
  <c r="CN59" i="22"/>
  <c r="DC24" i="22"/>
  <c r="DL6" i="22"/>
  <c r="DT8" i="22"/>
  <c r="DK11" i="22"/>
  <c r="DS31" i="22"/>
  <c r="DP6" i="22"/>
  <c r="DL11" i="22"/>
  <c r="CZ46" i="22"/>
  <c r="CT58" i="22"/>
  <c r="DQ21" i="22"/>
  <c r="DN44" i="22"/>
  <c r="DL46" i="22"/>
  <c r="DO44" i="22"/>
  <c r="DC49" i="22"/>
  <c r="DE9" i="22"/>
  <c r="CT13" i="22"/>
  <c r="DG6" i="22"/>
  <c r="DC8" i="22"/>
  <c r="DQ12" i="22"/>
  <c r="DD15" i="22"/>
  <c r="DT17" i="22"/>
  <c r="DI20" i="22"/>
  <c r="DD30" i="22"/>
  <c r="DD39" i="22"/>
  <c r="DS54" i="22"/>
  <c r="S59" i="22"/>
  <c r="AI59" i="22"/>
  <c r="AY59" i="22"/>
  <c r="BO59" i="22"/>
  <c r="CE59" i="22"/>
  <c r="DH30" i="22"/>
  <c r="DO6" i="22"/>
  <c r="DK8" i="22"/>
  <c r="DH10" i="22"/>
  <c r="DJ23" i="22"/>
  <c r="AW59" i="22"/>
  <c r="CL13" i="22"/>
  <c r="DK23" i="22"/>
  <c r="DI25" i="22"/>
  <c r="CY33" i="22"/>
  <c r="CL58" i="22"/>
  <c r="DJ25" i="22"/>
  <c r="DB28" i="22"/>
  <c r="CZ33" i="22"/>
  <c r="DB40" i="22"/>
  <c r="CP58" i="22"/>
  <c r="CR59" i="22"/>
  <c r="CY21" i="22"/>
  <c r="DF28" i="22"/>
  <c r="CY31" i="22"/>
  <c r="DC40" i="22"/>
  <c r="CS59" i="22"/>
  <c r="AG59" i="22"/>
  <c r="DF37" i="22"/>
  <c r="CC59" i="22"/>
  <c r="DR21" i="22"/>
  <c r="DR31" i="22"/>
  <c r="DG37" i="22"/>
  <c r="BL59" i="22"/>
  <c r="CB59" i="22"/>
  <c r="BM59" i="22"/>
  <c r="DR19" i="22"/>
  <c r="DD22" i="22"/>
  <c r="DN29" i="22"/>
  <c r="DC38" i="22"/>
  <c r="BP59" i="22"/>
  <c r="CF59" i="22"/>
  <c r="DR7" i="22"/>
  <c r="DU9" i="22"/>
  <c r="CZ17" i="22"/>
  <c r="DS19" i="22"/>
  <c r="DE22" i="22"/>
  <c r="DV24" i="22"/>
  <c r="DO29" i="22"/>
  <c r="CY12" i="22"/>
  <c r="DA17" i="22"/>
  <c r="Q59" i="22"/>
  <c r="CZ12" i="22"/>
  <c r="DJ50" i="22"/>
  <c r="CZ6" i="22"/>
  <c r="DS17" i="22"/>
  <c r="DL27" i="22"/>
  <c r="DL35" i="22"/>
  <c r="DA39" i="22"/>
  <c r="DK50" i="22"/>
  <c r="DR54" i="22"/>
  <c r="DL5" i="22"/>
  <c r="DN6" i="22"/>
  <c r="CZ7" i="22"/>
  <c r="DP7" i="22"/>
  <c r="DB8" i="22"/>
  <c r="DR8" i="22"/>
  <c r="DD9" i="22"/>
  <c r="DT9" i="22"/>
  <c r="DF10" i="22"/>
  <c r="DJ11" i="22"/>
  <c r="DP12" i="22"/>
  <c r="DC15" i="22"/>
  <c r="DU15" i="22"/>
  <c r="DK16" i="22"/>
  <c r="CY17" i="22"/>
  <c r="DR17" i="22"/>
  <c r="DQ19" i="22"/>
  <c r="DF20" i="22"/>
  <c r="DP21" i="22"/>
  <c r="DC22" i="22"/>
  <c r="DV22" i="22"/>
  <c r="DI23" i="22"/>
  <c r="DU24" i="22"/>
  <c r="DH25" i="22"/>
  <c r="DU26" i="22"/>
  <c r="DK27" i="22"/>
  <c r="DA28" i="22"/>
  <c r="DM29" i="22"/>
  <c r="DC30" i="22"/>
  <c r="DQ31" i="22"/>
  <c r="DQ34" i="22"/>
  <c r="DK35" i="22"/>
  <c r="DE37" i="22"/>
  <c r="DA38" i="22"/>
  <c r="CZ39" i="22"/>
  <c r="DA40" i="22"/>
  <c r="DV41" i="22"/>
  <c r="J75" i="22"/>
  <c r="CY46" i="22"/>
  <c r="DI50" i="22"/>
  <c r="CY5" i="22"/>
  <c r="DO5" i="22"/>
  <c r="DA6" i="22"/>
  <c r="DQ6" i="22"/>
  <c r="DC7" i="22"/>
  <c r="DS7" i="22"/>
  <c r="DE8" i="22"/>
  <c r="DU8" i="22"/>
  <c r="DG9" i="22"/>
  <c r="DI10" i="22"/>
  <c r="DA12" i="22"/>
  <c r="DS12" i="22"/>
  <c r="DF15" i="22"/>
  <c r="DO16" i="22"/>
  <c r="DB17" i="22"/>
  <c r="DU17" i="22"/>
  <c r="DA19" i="22"/>
  <c r="DT19" i="22"/>
  <c r="DL20" i="22"/>
  <c r="CZ21" i="22"/>
  <c r="DS21" i="22"/>
  <c r="DF22" i="22"/>
  <c r="DD24" i="22"/>
  <c r="DK25" i="22"/>
  <c r="DD26" i="22"/>
  <c r="DN27" i="22"/>
  <c r="DH28" i="22"/>
  <c r="DP29" i="22"/>
  <c r="DJ30" i="22"/>
  <c r="CZ31" i="22"/>
  <c r="DT31" i="22"/>
  <c r="DF33" i="22"/>
  <c r="DO35" i="22"/>
  <c r="DH37" i="22"/>
  <c r="DI38" i="22"/>
  <c r="DE39" i="22"/>
  <c r="DD40" i="22"/>
  <c r="DG43" i="22"/>
  <c r="DD49" i="22"/>
  <c r="D59" i="22"/>
  <c r="T59" i="22"/>
  <c r="AJ59" i="22"/>
  <c r="AZ59" i="22"/>
  <c r="CZ5" i="22"/>
  <c r="DP5" i="22"/>
  <c r="DB6" i="22"/>
  <c r="DR6" i="22"/>
  <c r="DD7" i="22"/>
  <c r="DT7" i="22"/>
  <c r="DF8" i="22"/>
  <c r="DV8" i="22"/>
  <c r="DH9" i="22"/>
  <c r="DJ10" i="22"/>
  <c r="DN11" i="22"/>
  <c r="DB12" i="22"/>
  <c r="DT12" i="22"/>
  <c r="DI15" i="22"/>
  <c r="DP16" i="22"/>
  <c r="DC17" i="22"/>
  <c r="DV17" i="22"/>
  <c r="DB19" i="22"/>
  <c r="DA21" i="22"/>
  <c r="DT21" i="22"/>
  <c r="DG22" i="22"/>
  <c r="DO23" i="22"/>
  <c r="DE24" i="22"/>
  <c r="DL25" i="22"/>
  <c r="DE26" i="22"/>
  <c r="DO27" i="22"/>
  <c r="DI28" i="22"/>
  <c r="DQ29" i="22"/>
  <c r="DK30" i="22"/>
  <c r="DA31" i="22"/>
  <c r="DU31" i="22"/>
  <c r="DG33" i="22"/>
  <c r="CY34" i="22"/>
  <c r="DP35" i="22"/>
  <c r="DI37" i="22"/>
  <c r="DJ38" i="22"/>
  <c r="DF39" i="22"/>
  <c r="DE40" i="22"/>
  <c r="DH43" i="22"/>
  <c r="K75" i="22"/>
  <c r="DN46" i="22"/>
  <c r="DE49" i="22"/>
  <c r="DJ52" i="22"/>
  <c r="DA5" i="22"/>
  <c r="DQ5" i="22"/>
  <c r="DC6" i="22"/>
  <c r="DS6" i="22"/>
  <c r="DE7" i="22"/>
  <c r="DU7" i="22"/>
  <c r="DG8" i="22"/>
  <c r="DI9" i="22"/>
  <c r="DK10" i="22"/>
  <c r="DO11" i="22"/>
  <c r="DC12" i="22"/>
  <c r="DU12" i="22"/>
  <c r="DJ15" i="22"/>
  <c r="DQ16" i="22"/>
  <c r="DD17" i="22"/>
  <c r="DC19" i="22"/>
  <c r="DN20" i="22"/>
  <c r="DB21" i="22"/>
  <c r="DU21" i="22"/>
  <c r="DH22" i="22"/>
  <c r="DQ23" i="22"/>
  <c r="DF24" i="22"/>
  <c r="DM25" i="22"/>
  <c r="DF26" i="22"/>
  <c r="DP27" i="22"/>
  <c r="DJ28" i="22"/>
  <c r="DR29" i="22"/>
  <c r="DL30" i="22"/>
  <c r="DB31" i="22"/>
  <c r="DV31" i="22"/>
  <c r="DH33" i="22"/>
  <c r="CZ34" i="22"/>
  <c r="DQ35" i="22"/>
  <c r="DL37" i="22"/>
  <c r="DK38" i="22"/>
  <c r="DG39" i="22"/>
  <c r="DH40" i="22"/>
  <c r="DC41" i="22"/>
  <c r="DE42" i="22"/>
  <c r="DI43" i="22"/>
  <c r="DO46" i="22"/>
  <c r="R59" i="22"/>
  <c r="AH59" i="22"/>
  <c r="AX59" i="22"/>
  <c r="BN59" i="22"/>
  <c r="CD59" i="22"/>
  <c r="CY48" i="22"/>
  <c r="DF49" i="22"/>
  <c r="DK52" i="22"/>
  <c r="DF55" i="22"/>
  <c r="BS59" i="22"/>
  <c r="CI59" i="22"/>
  <c r="DB5" i="22"/>
  <c r="DR5" i="22"/>
  <c r="DD6" i="22"/>
  <c r="DT6" i="22"/>
  <c r="DF7" i="22"/>
  <c r="DV7" i="22"/>
  <c r="DH8" i="22"/>
  <c r="DJ9" i="22"/>
  <c r="DL10" i="22"/>
  <c r="CY11" i="22"/>
  <c r="DP11" i="22"/>
  <c r="DD12" i="22"/>
  <c r="DK15" i="22"/>
  <c r="CY16" i="22"/>
  <c r="DR16" i="22"/>
  <c r="DE17" i="22"/>
  <c r="DD19" i="22"/>
  <c r="DO20" i="22"/>
  <c r="DC21" i="22"/>
  <c r="DV21" i="22"/>
  <c r="DI22" i="22"/>
  <c r="DR23" i="22"/>
  <c r="DG24" i="22"/>
  <c r="DQ25" i="22"/>
  <c r="DG26" i="22"/>
  <c r="DT27" i="22"/>
  <c r="DK28" i="22"/>
  <c r="CY29" i="22"/>
  <c r="DV29" i="22"/>
  <c r="DC31" i="22"/>
  <c r="DI33" i="22"/>
  <c r="DA34" i="22"/>
  <c r="DR35" i="22"/>
  <c r="DL38" i="22"/>
  <c r="DI40" i="22"/>
  <c r="DD41" i="22"/>
  <c r="DF42" i="22"/>
  <c r="DJ43" i="22"/>
  <c r="DP46" i="22"/>
  <c r="CZ48" i="22"/>
  <c r="DG49" i="22"/>
  <c r="DG55" i="22"/>
  <c r="G59" i="22"/>
  <c r="W59" i="22"/>
  <c r="AM59" i="22"/>
  <c r="BC59" i="22"/>
  <c r="BT59" i="22"/>
  <c r="CJ59" i="22"/>
  <c r="DC5" i="22"/>
  <c r="DS5" i="22"/>
  <c r="DE6" i="22"/>
  <c r="DU6" i="22"/>
  <c r="DG7" i="22"/>
  <c r="DI8" i="22"/>
  <c r="DK9" i="22"/>
  <c r="CZ11" i="22"/>
  <c r="DQ11" i="22"/>
  <c r="DE12" i="22"/>
  <c r="DL15" i="22"/>
  <c r="CZ16" i="22"/>
  <c r="DS16" i="22"/>
  <c r="DF17" i="22"/>
  <c r="DG19" i="22"/>
  <c r="DP20" i="22"/>
  <c r="DD21" i="22"/>
  <c r="DJ22" i="22"/>
  <c r="CY23" i="22"/>
  <c r="DS23" i="22"/>
  <c r="DH24" i="22"/>
  <c r="DS25" i="22"/>
  <c r="DH26" i="22"/>
  <c r="DV27" i="22"/>
  <c r="DL28" i="22"/>
  <c r="CZ29" i="22"/>
  <c r="DN30" i="22"/>
  <c r="DD31" i="22"/>
  <c r="DJ33" i="22"/>
  <c r="DB34" i="22"/>
  <c r="DN37" i="22"/>
  <c r="DN39" i="22"/>
  <c r="DJ40" i="22"/>
  <c r="DE41" i="22"/>
  <c r="DG42" i="22"/>
  <c r="DK43" i="22"/>
  <c r="DA48" i="22"/>
  <c r="BG58" i="22"/>
  <c r="DM51" i="22"/>
  <c r="H59" i="22"/>
  <c r="X59" i="22"/>
  <c r="AN59" i="22"/>
  <c r="BD59" i="22"/>
  <c r="DD5" i="22"/>
  <c r="DT5" i="22"/>
  <c r="DF6" i="22"/>
  <c r="DV6" i="22"/>
  <c r="DH7" i="22"/>
  <c r="DJ8" i="22"/>
  <c r="DL9" i="22"/>
  <c r="DN10" i="22"/>
  <c r="DA11" i="22"/>
  <c r="DR11" i="22"/>
  <c r="DH12" i="22"/>
  <c r="DA16" i="22"/>
  <c r="DT16" i="22"/>
  <c r="DG17" i="22"/>
  <c r="DI19" i="22"/>
  <c r="DQ20" i="22"/>
  <c r="DE21" i="22"/>
  <c r="DA23" i="22"/>
  <c r="DT23" i="22"/>
  <c r="DI24" i="22"/>
  <c r="DT25" i="22"/>
  <c r="DI26" i="22"/>
  <c r="CY27" i="22"/>
  <c r="DA29" i="22"/>
  <c r="DO30" i="22"/>
  <c r="DE31" i="22"/>
  <c r="DK33" i="22"/>
  <c r="DH34" i="22"/>
  <c r="DO37" i="22"/>
  <c r="DP38" i="22"/>
  <c r="DO39" i="22"/>
  <c r="DK40" i="22"/>
  <c r="DF41" i="22"/>
  <c r="DH42" i="22"/>
  <c r="H72" i="22"/>
  <c r="H75" i="22"/>
  <c r="DB48" i="22"/>
  <c r="DS49" i="22"/>
  <c r="CY53" i="22"/>
  <c r="DV55" i="22"/>
  <c r="H76" i="22"/>
  <c r="CM59" i="22"/>
  <c r="CY10" i="22"/>
  <c r="DO10" i="22"/>
  <c r="DB11" i="22"/>
  <c r="DS11" i="22"/>
  <c r="DI12" i="22"/>
  <c r="CL45" i="22"/>
  <c r="DN15" i="22"/>
  <c r="DB16" i="22"/>
  <c r="DU16" i="22"/>
  <c r="DH17" i="22"/>
  <c r="DJ19" i="22"/>
  <c r="CY20" i="22"/>
  <c r="DR20" i="22"/>
  <c r="DF21" i="22"/>
  <c r="DO22" i="22"/>
  <c r="DB23" i="22"/>
  <c r="DU23" i="22"/>
  <c r="DJ24" i="22"/>
  <c r="DU25" i="22"/>
  <c r="DJ26" i="22"/>
  <c r="CZ27" i="22"/>
  <c r="DN28" i="22"/>
  <c r="DB29" i="22"/>
  <c r="DP30" i="22"/>
  <c r="DF31" i="22"/>
  <c r="DM33" i="22"/>
  <c r="DI34" i="22"/>
  <c r="CY35" i="22"/>
  <c r="DU37" i="22"/>
  <c r="DQ38" i="22"/>
  <c r="DP39" i="22"/>
  <c r="DG41" i="22"/>
  <c r="DI42" i="22"/>
  <c r="F59" i="22"/>
  <c r="V59" i="22"/>
  <c r="AL59" i="22"/>
  <c r="BB59" i="22"/>
  <c r="BR59" i="22"/>
  <c r="K70" i="22"/>
  <c r="K77" i="22" s="1"/>
  <c r="CH59" i="22"/>
  <c r="DC48" i="22"/>
  <c r="DT49" i="22"/>
  <c r="J59" i="22"/>
  <c r="Z59" i="22"/>
  <c r="AP59" i="22"/>
  <c r="BF59" i="22"/>
  <c r="BW59" i="22"/>
  <c r="DF5" i="22"/>
  <c r="DV5" i="22"/>
  <c r="DH6" i="22"/>
  <c r="DJ7" i="22"/>
  <c r="DL8" i="22"/>
  <c r="DN9" i="22"/>
  <c r="CZ10" i="22"/>
  <c r="DP10" i="22"/>
  <c r="DC11" i="22"/>
  <c r="DV11" i="22"/>
  <c r="DJ12" i="22"/>
  <c r="CP45" i="22"/>
  <c r="DO15" i="22"/>
  <c r="DC16" i="22"/>
  <c r="DV16" i="22"/>
  <c r="DI17" i="22"/>
  <c r="DK19" i="22"/>
  <c r="CZ20" i="22"/>
  <c r="DS20" i="22"/>
  <c r="DG21" i="22"/>
  <c r="DP22" i="22"/>
  <c r="DC23" i="22"/>
  <c r="DV23" i="22"/>
  <c r="DK24" i="22"/>
  <c r="DA25" i="22"/>
  <c r="DV25" i="22"/>
  <c r="DK26" i="22"/>
  <c r="DD27" i="22"/>
  <c r="DO28" i="22"/>
  <c r="DF29" i="22"/>
  <c r="DQ30" i="22"/>
  <c r="DJ31" i="22"/>
  <c r="DN33" i="22"/>
  <c r="DJ34" i="22"/>
  <c r="CZ35" i="22"/>
  <c r="DV37" i="22"/>
  <c r="DR38" i="22"/>
  <c r="DQ39" i="22"/>
  <c r="DQ40" i="22"/>
  <c r="DJ41" i="22"/>
  <c r="DU49" i="22"/>
  <c r="DN53" i="22"/>
  <c r="K59" i="22"/>
  <c r="AA59" i="22"/>
  <c r="AQ59" i="22"/>
  <c r="DG5" i="22"/>
  <c r="DI6" i="22"/>
  <c r="DK7" i="22"/>
  <c r="CY9" i="22"/>
  <c r="DO9" i="22"/>
  <c r="DA10" i="22"/>
  <c r="DQ10" i="22"/>
  <c r="DE11" i="22"/>
  <c r="DK12" i="22"/>
  <c r="DP15" i="22"/>
  <c r="DD16" i="22"/>
  <c r="DJ17" i="22"/>
  <c r="BG45" i="22"/>
  <c r="DL19" i="22"/>
  <c r="DA20" i="22"/>
  <c r="DT20" i="22"/>
  <c r="DH21" i="22"/>
  <c r="DQ22" i="22"/>
  <c r="DD23" i="22"/>
  <c r="DL24" i="22"/>
  <c r="DC25" i="22"/>
  <c r="DL26" i="22"/>
  <c r="DF27" i="22"/>
  <c r="DP28" i="22"/>
  <c r="DH29" i="22"/>
  <c r="DR30" i="22"/>
  <c r="DL31" i="22"/>
  <c r="DO33" i="22"/>
  <c r="DK34" i="22"/>
  <c r="DA35" i="22"/>
  <c r="DS38" i="22"/>
  <c r="DT39" i="22"/>
  <c r="DR40" i="22"/>
  <c r="DK41" i="22"/>
  <c r="DU42" i="22"/>
  <c r="DO48" i="22"/>
  <c r="DV49" i="22"/>
  <c r="DH51" i="22"/>
  <c r="DO53" i="22"/>
  <c r="DJ56" i="22"/>
  <c r="CQ59" i="22"/>
  <c r="DH5" i="22"/>
  <c r="DJ6" i="22"/>
  <c r="DL7" i="22"/>
  <c r="DN8" i="22"/>
  <c r="CZ9" i="22"/>
  <c r="DP9" i="22"/>
  <c r="DB10" i="22"/>
  <c r="DS10" i="22"/>
  <c r="DF11" i="22"/>
  <c r="DL12" i="22"/>
  <c r="CY15" i="22"/>
  <c r="DQ15" i="22"/>
  <c r="DE16" i="22"/>
  <c r="BI45" i="22"/>
  <c r="BI59" i="22" s="1"/>
  <c r="DM19" i="22"/>
  <c r="DB20" i="22"/>
  <c r="DU20" i="22"/>
  <c r="DK21" i="22"/>
  <c r="CY22" i="22"/>
  <c r="DR22" i="22"/>
  <c r="DE23" i="22"/>
  <c r="DD25" i="22"/>
  <c r="DM26" i="22"/>
  <c r="DG27" i="22"/>
  <c r="DQ28" i="22"/>
  <c r="DI29" i="22"/>
  <c r="CY30" i="22"/>
  <c r="DS30" i="22"/>
  <c r="DP33" i="22"/>
  <c r="DL34" i="22"/>
  <c r="DB35" i="22"/>
  <c r="DU39" i="22"/>
  <c r="DS40" i="22"/>
  <c r="DV42" i="22"/>
  <c r="I59" i="22"/>
  <c r="Y59" i="22"/>
  <c r="AO59" i="22"/>
  <c r="BE59" i="22"/>
  <c r="BU59" i="22"/>
  <c r="CK59" i="22"/>
  <c r="DP48" i="22"/>
  <c r="DI51" i="22"/>
  <c r="DK56" i="22"/>
  <c r="BJ59" i="22"/>
  <c r="BZ59" i="22"/>
  <c r="DI5" i="22"/>
  <c r="DK6" i="22"/>
  <c r="DM7" i="22"/>
  <c r="CY8" i="22"/>
  <c r="DO8" i="22"/>
  <c r="DA9" i="22"/>
  <c r="DQ9" i="22"/>
  <c r="DC10" i="22"/>
  <c r="DT10" i="22"/>
  <c r="DG11" i="22"/>
  <c r="CZ15" i="22"/>
  <c r="DR15" i="22"/>
  <c r="DF16" i="22"/>
  <c r="DO17" i="22"/>
  <c r="DN19" i="22"/>
  <c r="DC20" i="22"/>
  <c r="DV20" i="22"/>
  <c r="DM21" i="22"/>
  <c r="CZ22" i="22"/>
  <c r="DS22" i="22"/>
  <c r="DF23" i="22"/>
  <c r="DQ24" i="22"/>
  <c r="DE25" i="22"/>
  <c r="DN26" i="22"/>
  <c r="DH27" i="22"/>
  <c r="DR28" i="22"/>
  <c r="DJ29" i="22"/>
  <c r="CZ30" i="22"/>
  <c r="DT30" i="22"/>
  <c r="DN31" i="22"/>
  <c r="DV33" i="22"/>
  <c r="DH35" i="22"/>
  <c r="DV39" i="22"/>
  <c r="DT40" i="22"/>
  <c r="DS41" i="22"/>
  <c r="CY44" i="22"/>
  <c r="H83" i="22"/>
  <c r="CL47" i="22"/>
  <c r="DQ48" i="22"/>
  <c r="DJ51" i="22"/>
  <c r="N59" i="22"/>
  <c r="AD59" i="22"/>
  <c r="AT59" i="22"/>
  <c r="BK59" i="22"/>
  <c r="CA59" i="22"/>
  <c r="DN7" i="22"/>
  <c r="CZ8" i="22"/>
  <c r="DP8" i="22"/>
  <c r="DB9" i="22"/>
  <c r="DR9" i="22"/>
  <c r="DD10" i="22"/>
  <c r="DU10" i="22"/>
  <c r="DH11" i="22"/>
  <c r="DN12" i="22"/>
  <c r="DA15" i="22"/>
  <c r="DS15" i="22"/>
  <c r="DG16" i="22"/>
  <c r="DP17" i="22"/>
  <c r="DO19" i="22"/>
  <c r="DD20" i="22"/>
  <c r="DN21" i="22"/>
  <c r="DA22" i="22"/>
  <c r="DT22" i="22"/>
  <c r="DG23" i="22"/>
  <c r="DS24" i="22"/>
  <c r="DF25" i="22"/>
  <c r="DR26" i="22"/>
  <c r="DI27" i="22"/>
  <c r="CY28" i="22"/>
  <c r="DV28" i="22"/>
  <c r="DK29" i="22"/>
  <c r="DA30" i="22"/>
  <c r="DO31" i="22"/>
  <c r="DO34" i="22"/>
  <c r="DI35" i="22"/>
  <c r="DU40" i="22"/>
  <c r="DT41" i="22"/>
  <c r="DK44" i="22"/>
  <c r="DR48" i="22"/>
  <c r="DG50" i="22"/>
  <c r="DK51" i="22"/>
  <c r="O59" i="22"/>
  <c r="AE59" i="22"/>
  <c r="AU59" i="22"/>
  <c r="J76" i="22"/>
  <c r="DK57" i="22"/>
  <c r="DI56" i="22"/>
  <c r="DU55" i="22"/>
  <c r="DE55" i="22"/>
  <c r="DQ54" i="22"/>
  <c r="DA54" i="22"/>
  <c r="DI52" i="22"/>
  <c r="DG51" i="22"/>
  <c r="DV50" i="22"/>
  <c r="DF50" i="22"/>
  <c r="DR49" i="22"/>
  <c r="DB49" i="22"/>
  <c r="DN48" i="22"/>
  <c r="DK46" i="22"/>
  <c r="DJ44" i="22"/>
  <c r="DV43" i="22"/>
  <c r="DF43" i="22"/>
  <c r="DT42" i="22"/>
  <c r="DD42" i="22"/>
  <c r="DR41" i="22"/>
  <c r="DB41" i="22"/>
  <c r="DP40" i="22"/>
  <c r="CZ40" i="22"/>
  <c r="DL39" i="22"/>
  <c r="DH38" i="22"/>
  <c r="DT37" i="22"/>
  <c r="DD37" i="22"/>
  <c r="DG35" i="22"/>
  <c r="DG34" i="22"/>
  <c r="DU33" i="22"/>
  <c r="DE33" i="22"/>
  <c r="DK31" i="22"/>
  <c r="DI30" i="22"/>
  <c r="DG29" i="22"/>
  <c r="DG28" i="22"/>
  <c r="DU27" i="22"/>
  <c r="DE27" i="22"/>
  <c r="DS26" i="22"/>
  <c r="DC26" i="22"/>
  <c r="DR25" i="22"/>
  <c r="DB25" i="22"/>
  <c r="DR24" i="22"/>
  <c r="DB24" i="22"/>
  <c r="DP23" i="22"/>
  <c r="CZ23" i="22"/>
  <c r="DN22" i="22"/>
  <c r="DL21" i="22"/>
  <c r="DJ20" i="22"/>
  <c r="DH19" i="22"/>
  <c r="DN17" i="22"/>
  <c r="DL16" i="22"/>
  <c r="DJ57" i="22"/>
  <c r="DH56" i="22"/>
  <c r="DT55" i="22"/>
  <c r="DD55" i="22"/>
  <c r="DP54" i="22"/>
  <c r="CZ54" i="22"/>
  <c r="DL53" i="22"/>
  <c r="DH52" i="22"/>
  <c r="DV51" i="22"/>
  <c r="DF51" i="22"/>
  <c r="DU50" i="22"/>
  <c r="DE50" i="22"/>
  <c r="DQ49" i="22"/>
  <c r="DA49" i="22"/>
  <c r="DJ46" i="22"/>
  <c r="DI44" i="22"/>
  <c r="DU43" i="22"/>
  <c r="DE43" i="22"/>
  <c r="DS42" i="22"/>
  <c r="DC42" i="22"/>
  <c r="DQ41" i="22"/>
  <c r="DA41" i="22"/>
  <c r="DO40" i="22"/>
  <c r="CY40" i="22"/>
  <c r="DK39" i="22"/>
  <c r="DG38" i="22"/>
  <c r="DS37" i="22"/>
  <c r="DC37" i="22"/>
  <c r="DV35" i="22"/>
  <c r="DF35" i="22"/>
  <c r="DV34" i="22"/>
  <c r="DF34" i="22"/>
  <c r="DT33" i="22"/>
  <c r="DD33" i="22"/>
  <c r="DI57" i="22"/>
  <c r="DG56" i="22"/>
  <c r="DS55" i="22"/>
  <c r="DC55" i="22"/>
  <c r="DO54" i="22"/>
  <c r="CY54" i="22"/>
  <c r="DK53" i="22"/>
  <c r="DG52" i="22"/>
  <c r="DU51" i="22"/>
  <c r="DE51" i="22"/>
  <c r="DT50" i="22"/>
  <c r="DD50" i="22"/>
  <c r="DP49" i="22"/>
  <c r="CZ49" i="22"/>
  <c r="DL48" i="22"/>
  <c r="DI46" i="22"/>
  <c r="DH44" i="22"/>
  <c r="DT43" i="22"/>
  <c r="DD43" i="22"/>
  <c r="DR42" i="22"/>
  <c r="DB42" i="22"/>
  <c r="DP41" i="22"/>
  <c r="CZ41" i="22"/>
  <c r="DN40" i="22"/>
  <c r="DJ39" i="22"/>
  <c r="DV38" i="22"/>
  <c r="DF38" i="22"/>
  <c r="DR37" i="22"/>
  <c r="DB37" i="22"/>
  <c r="DU35" i="22"/>
  <c r="DE35" i="22"/>
  <c r="DU34" i="22"/>
  <c r="DE34" i="22"/>
  <c r="DS33" i="22"/>
  <c r="DC33" i="22"/>
  <c r="DI31" i="22"/>
  <c r="DG30" i="22"/>
  <c r="DU29" i="22"/>
  <c r="DE29" i="22"/>
  <c r="DU28" i="22"/>
  <c r="DE28" i="22"/>
  <c r="DS27" i="22"/>
  <c r="DC27" i="22"/>
  <c r="DQ26" i="22"/>
  <c r="DA26" i="22"/>
  <c r="DP25" i="22"/>
  <c r="CZ25" i="22"/>
  <c r="DP24" i="22"/>
  <c r="CZ24" i="22"/>
  <c r="DN23" i="22"/>
  <c r="DL22" i="22"/>
  <c r="DJ21" i="22"/>
  <c r="DH20" i="22"/>
  <c r="DV19" i="22"/>
  <c r="DF19" i="22"/>
  <c r="DL17" i="22"/>
  <c r="DJ16" i="22"/>
  <c r="DH15" i="22"/>
  <c r="DG12" i="22"/>
  <c r="DU11" i="22"/>
  <c r="DH57" i="22"/>
  <c r="DV56" i="22"/>
  <c r="DF56" i="22"/>
  <c r="DR55" i="22"/>
  <c r="DB55" i="22"/>
  <c r="DN54" i="22"/>
  <c r="DJ53" i="22"/>
  <c r="DV52" i="22"/>
  <c r="DF52" i="22"/>
  <c r="DT51" i="22"/>
  <c r="DD51" i="22"/>
  <c r="DS50" i="22"/>
  <c r="DC50" i="22"/>
  <c r="DO49" i="22"/>
  <c r="CY49" i="22"/>
  <c r="DK48" i="22"/>
  <c r="DH46" i="22"/>
  <c r="DG44" i="22"/>
  <c r="DS43" i="22"/>
  <c r="DC43" i="22"/>
  <c r="DQ42" i="22"/>
  <c r="DA42" i="22"/>
  <c r="DO41" i="22"/>
  <c r="CY41" i="22"/>
  <c r="DI39" i="22"/>
  <c r="DU38" i="22"/>
  <c r="DE38" i="22"/>
  <c r="DQ37" i="22"/>
  <c r="DA37" i="22"/>
  <c r="DT35" i="22"/>
  <c r="DD35" i="22"/>
  <c r="DT34" i="22"/>
  <c r="DD34" i="22"/>
  <c r="DR33" i="22"/>
  <c r="DB33" i="22"/>
  <c r="DH31" i="22"/>
  <c r="DV30" i="22"/>
  <c r="DF30" i="22"/>
  <c r="DT29" i="22"/>
  <c r="DD29" i="22"/>
  <c r="DT28" i="22"/>
  <c r="DD28" i="22"/>
  <c r="DR27" i="22"/>
  <c r="DB27" i="22"/>
  <c r="DP26" i="22"/>
  <c r="CZ26" i="22"/>
  <c r="DO25" i="22"/>
  <c r="CY25" i="22"/>
  <c r="DO24" i="22"/>
  <c r="CY24" i="22"/>
  <c r="DK22" i="22"/>
  <c r="DI21" i="22"/>
  <c r="DG20" i="22"/>
  <c r="DU19" i="22"/>
  <c r="DE19" i="22"/>
  <c r="DK17" i="22"/>
  <c r="DI16" i="22"/>
  <c r="DG15" i="22"/>
  <c r="DV12" i="22"/>
  <c r="DF12" i="22"/>
  <c r="DT11" i="22"/>
  <c r="DD11" i="22"/>
  <c r="DR10" i="22"/>
  <c r="DG57" i="22"/>
  <c r="DU56" i="22"/>
  <c r="DE56" i="22"/>
  <c r="DQ55" i="22"/>
  <c r="DA55" i="22"/>
  <c r="DI53" i="22"/>
  <c r="DU52" i="22"/>
  <c r="DE52" i="22"/>
  <c r="DS51" i="22"/>
  <c r="DC51" i="22"/>
  <c r="DR50" i="22"/>
  <c r="DB50" i="22"/>
  <c r="DN49" i="22"/>
  <c r="DJ48" i="22"/>
  <c r="DG46" i="22"/>
  <c r="DV44" i="22"/>
  <c r="DF44" i="22"/>
  <c r="DR43" i="22"/>
  <c r="DB43" i="22"/>
  <c r="DP42" i="22"/>
  <c r="CZ42" i="22"/>
  <c r="DN41" i="22"/>
  <c r="DL40" i="22"/>
  <c r="DH39" i="22"/>
  <c r="DT38" i="22"/>
  <c r="DD38" i="22"/>
  <c r="DP37" i="22"/>
  <c r="CZ37" i="22"/>
  <c r="DS35" i="22"/>
  <c r="DC35" i="22"/>
  <c r="DS34" i="22"/>
  <c r="DC34" i="22"/>
  <c r="DQ33" i="22"/>
  <c r="DA33" i="22"/>
  <c r="DG31" i="22"/>
  <c r="DU30" i="22"/>
  <c r="DE30" i="22"/>
  <c r="DS29" i="22"/>
  <c r="DC29" i="22"/>
  <c r="DS28" i="22"/>
  <c r="DC28" i="22"/>
  <c r="DQ27" i="22"/>
  <c r="DA27" i="22"/>
  <c r="DO26" i="22"/>
  <c r="CY26" i="22"/>
  <c r="DN25" i="22"/>
  <c r="DN24" i="22"/>
  <c r="DL23" i="22"/>
  <c r="DV57" i="22"/>
  <c r="DF57" i="22"/>
  <c r="DT56" i="22"/>
  <c r="DD56" i="22"/>
  <c r="DP55" i="22"/>
  <c r="CZ55" i="22"/>
  <c r="DL54" i="22"/>
  <c r="DH53" i="22"/>
  <c r="DT52" i="22"/>
  <c r="DD52" i="22"/>
  <c r="DR51" i="22"/>
  <c r="DB51" i="22"/>
  <c r="DQ50" i="22"/>
  <c r="DA50" i="22"/>
  <c r="DI48" i="22"/>
  <c r="DV46" i="22"/>
  <c r="DF46" i="22"/>
  <c r="DU44" i="22"/>
  <c r="DE44" i="22"/>
  <c r="DQ43" i="22"/>
  <c r="DA43" i="22"/>
  <c r="DO42" i="22"/>
  <c r="CY42" i="22"/>
  <c r="DU57" i="22"/>
  <c r="DE57" i="22"/>
  <c r="DS56" i="22"/>
  <c r="DC56" i="22"/>
  <c r="DO55" i="22"/>
  <c r="CY55" i="22"/>
  <c r="DK54" i="22"/>
  <c r="DG53" i="22"/>
  <c r="DS52" i="22"/>
  <c r="DC52" i="22"/>
  <c r="DQ51" i="22"/>
  <c r="DA51" i="22"/>
  <c r="DP50" i="22"/>
  <c r="CZ50" i="22"/>
  <c r="DL49" i="22"/>
  <c r="DH48" i="22"/>
  <c r="DU46" i="22"/>
  <c r="DE46" i="22"/>
  <c r="DT44" i="22"/>
  <c r="DD44" i="22"/>
  <c r="DP43" i="22"/>
  <c r="CZ43" i="22"/>
  <c r="DN42" i="22"/>
  <c r="DL41" i="22"/>
  <c r="DT57" i="22"/>
  <c r="DD57" i="22"/>
  <c r="DR56" i="22"/>
  <c r="DB56" i="22"/>
  <c r="DN55" i="22"/>
  <c r="DJ54" i="22"/>
  <c r="DV53" i="22"/>
  <c r="DF53" i="22"/>
  <c r="DR52" i="22"/>
  <c r="DB52" i="22"/>
  <c r="DP51" i="22"/>
  <c r="CZ51" i="22"/>
  <c r="DO50" i="22"/>
  <c r="CY50" i="22"/>
  <c r="DK49" i="22"/>
  <c r="DG48" i="22"/>
  <c r="DT46" i="22"/>
  <c r="DD46" i="22"/>
  <c r="DS44" i="22"/>
  <c r="DC44" i="22"/>
  <c r="DO43" i="22"/>
  <c r="CY43" i="22"/>
  <c r="DS57" i="22"/>
  <c r="DC57" i="22"/>
  <c r="DQ56" i="22"/>
  <c r="DA56" i="22"/>
  <c r="DI54" i="22"/>
  <c r="DU53" i="22"/>
  <c r="DE53" i="22"/>
  <c r="DQ52" i="22"/>
  <c r="DA52" i="22"/>
  <c r="DO51" i="22"/>
  <c r="CY51" i="22"/>
  <c r="DN50" i="22"/>
  <c r="DJ49" i="22"/>
  <c r="DV48" i="22"/>
  <c r="DF48" i="22"/>
  <c r="DS46" i="22"/>
  <c r="DC46" i="22"/>
  <c r="DR44" i="22"/>
  <c r="DB44" i="22"/>
  <c r="DN43" i="22"/>
  <c r="DL42" i="22"/>
  <c r="DR57" i="22"/>
  <c r="DB57" i="22"/>
  <c r="DP56" i="22"/>
  <c r="CZ56" i="22"/>
  <c r="DL55" i="22"/>
  <c r="DH54" i="22"/>
  <c r="DT53" i="22"/>
  <c r="DD53" i="22"/>
  <c r="DP52" i="22"/>
  <c r="CZ52" i="22"/>
  <c r="DN51" i="22"/>
  <c r="DI49" i="22"/>
  <c r="DU48" i="22"/>
  <c r="DE48" i="22"/>
  <c r="DR46" i="22"/>
  <c r="DB46" i="22"/>
  <c r="DQ44" i="22"/>
  <c r="DA44" i="22"/>
  <c r="DK42" i="22"/>
  <c r="DI41" i="22"/>
  <c r="DG40" i="22"/>
  <c r="DS39" i="22"/>
  <c r="DC39" i="22"/>
  <c r="DO38" i="22"/>
  <c r="CY38" i="22"/>
  <c r="DK37" i="22"/>
  <c r="DN35" i="22"/>
  <c r="DN34" i="22"/>
  <c r="DL33" i="22"/>
  <c r="DQ57" i="22"/>
  <c r="DA57" i="22"/>
  <c r="DO56" i="22"/>
  <c r="CY56" i="22"/>
  <c r="DK55" i="22"/>
  <c r="DG54" i="22"/>
  <c r="DS53" i="22"/>
  <c r="DC53" i="22"/>
  <c r="DO52" i="22"/>
  <c r="CY52" i="22"/>
  <c r="DL50" i="22"/>
  <c r="DH49" i="22"/>
  <c r="DT48" i="22"/>
  <c r="DD48" i="22"/>
  <c r="DQ46" i="22"/>
  <c r="DA46" i="22"/>
  <c r="DP44" i="22"/>
  <c r="CZ44" i="22"/>
  <c r="DL43" i="22"/>
  <c r="DJ42" i="22"/>
  <c r="DH41" i="22"/>
  <c r="DV40" i="22"/>
  <c r="DF40" i="22"/>
  <c r="DR39" i="22"/>
  <c r="DB39" i="22"/>
  <c r="DN38" i="22"/>
  <c r="DJ37" i="22"/>
  <c r="DP57" i="22"/>
  <c r="CZ57" i="22"/>
  <c r="DN56" i="22"/>
  <c r="DJ55" i="22"/>
  <c r="DV54" i="22"/>
  <c r="DF54" i="22"/>
  <c r="DR53" i="22"/>
  <c r="DB53" i="22"/>
  <c r="DN52" i="22"/>
  <c r="DL51" i="22"/>
  <c r="DO57" i="22"/>
  <c r="CY57" i="22"/>
  <c r="DI55" i="22"/>
  <c r="DU54" i="22"/>
  <c r="DE54" i="22"/>
  <c r="DQ53" i="22"/>
  <c r="DA53" i="22"/>
  <c r="DN57" i="22"/>
  <c r="DL56" i="22"/>
  <c r="DH55" i="22"/>
  <c r="DT54" i="22"/>
  <c r="DD54" i="22"/>
  <c r="DP53" i="22"/>
  <c r="CZ53" i="22"/>
  <c r="DL52" i="22"/>
  <c r="DL57" i="22"/>
  <c r="DK5" i="22"/>
  <c r="DM6" i="22"/>
  <c r="CY7" i="22"/>
  <c r="DO7" i="22"/>
  <c r="DA8" i="22"/>
  <c r="DQ8" i="22"/>
  <c r="DC9" i="22"/>
  <c r="DS9" i="22"/>
  <c r="DE10" i="22"/>
  <c r="DV10" i="22"/>
  <c r="DI11" i="22"/>
  <c r="DO12" i="22"/>
  <c r="DB15" i="22"/>
  <c r="DT15" i="22"/>
  <c r="DH16" i="22"/>
  <c r="DQ17" i="22"/>
  <c r="DP19" i="22"/>
  <c r="DE20" i="22"/>
  <c r="DO21" i="22"/>
  <c r="DB22" i="22"/>
  <c r="DU22" i="22"/>
  <c r="DH23" i="22"/>
  <c r="DT24" i="22"/>
  <c r="DG25" i="22"/>
  <c r="DT26" i="22"/>
  <c r="DJ27" i="22"/>
  <c r="CZ28" i="22"/>
  <c r="DL29" i="22"/>
  <c r="DB30" i="22"/>
  <c r="DP31" i="22"/>
  <c r="DP34" i="22"/>
  <c r="DJ35" i="22"/>
  <c r="CY37" i="22"/>
  <c r="CZ38" i="22"/>
  <c r="CY39" i="22"/>
  <c r="DU41" i="22"/>
  <c r="DL44" i="22"/>
  <c r="DS48" i="22"/>
  <c r="DH50" i="22"/>
  <c r="DC54" i="22"/>
  <c r="K76" i="22"/>
  <c r="I69" i="22"/>
  <c r="I76" i="22" s="1"/>
  <c r="BV59" i="22"/>
  <c r="J70" i="22"/>
  <c r="J77" i="22" s="1"/>
  <c r="J83" i="22" s="1"/>
  <c r="CP58" i="21"/>
  <c r="CP13" i="21"/>
  <c r="DF7" i="21"/>
  <c r="DE8" i="21"/>
  <c r="DN9" i="21"/>
  <c r="DE12" i="21"/>
  <c r="CV15" i="21"/>
  <c r="DG16" i="21"/>
  <c r="DQ17" i="21"/>
  <c r="DA21" i="21"/>
  <c r="DL22" i="21"/>
  <c r="DL24" i="21"/>
  <c r="DJ28" i="21"/>
  <c r="DO30" i="21"/>
  <c r="CW33" i="21"/>
  <c r="DQ35" i="21"/>
  <c r="DO38" i="21"/>
  <c r="DL42" i="21"/>
  <c r="DM49" i="21"/>
  <c r="DG51" i="21"/>
  <c r="DL54" i="21"/>
  <c r="BO59" i="21"/>
  <c r="S59" i="21"/>
  <c r="CA59" i="21"/>
  <c r="DI35" i="21"/>
  <c r="CU6" i="21"/>
  <c r="DG7" i="21"/>
  <c r="DF8" i="21"/>
  <c r="DP9" i="21"/>
  <c r="DB11" i="21"/>
  <c r="DG12" i="21"/>
  <c r="CW15" i="21"/>
  <c r="DH16" i="21"/>
  <c r="CV20" i="21"/>
  <c r="DC21" i="21"/>
  <c r="DM24" i="21"/>
  <c r="DK28" i="21"/>
  <c r="DP30" i="21"/>
  <c r="CX33" i="21"/>
  <c r="DP38" i="21"/>
  <c r="CV41" i="21"/>
  <c r="DM42" i="21"/>
  <c r="DN49" i="21"/>
  <c r="DO54" i="21"/>
  <c r="N59" i="21"/>
  <c r="AD59" i="21"/>
  <c r="CW6" i="21"/>
  <c r="DH7" i="21"/>
  <c r="DH8" i="21"/>
  <c r="DQ9" i="21"/>
  <c r="DC11" i="21"/>
  <c r="CW20" i="21"/>
  <c r="DJ21" i="21"/>
  <c r="CW27" i="21"/>
  <c r="DQ30" i="21"/>
  <c r="DQ38" i="21"/>
  <c r="CW41" i="21"/>
  <c r="DO49" i="21"/>
  <c r="DP54" i="21"/>
  <c r="AE59" i="21"/>
  <c r="CP45" i="21"/>
  <c r="CY6" i="21"/>
  <c r="DI7" i="21"/>
  <c r="DD11" i="21"/>
  <c r="DJ12" i="21"/>
  <c r="DJ15" i="21"/>
  <c r="DM16" i="21"/>
  <c r="CX20" i="21"/>
  <c r="DK21" i="21"/>
  <c r="DB23" i="21"/>
  <c r="CX27" i="21"/>
  <c r="CX41" i="21"/>
  <c r="H83" i="21"/>
  <c r="CL47" i="21"/>
  <c r="DP49" i="21"/>
  <c r="DF52" i="21"/>
  <c r="P59" i="21"/>
  <c r="CQ59" i="21"/>
  <c r="AF59" i="21"/>
  <c r="AV59" i="21"/>
  <c r="CH59" i="21"/>
  <c r="H59" i="21"/>
  <c r="AN59" i="21"/>
  <c r="DQ46" i="21"/>
  <c r="DK48" i="21"/>
  <c r="DN53" i="21"/>
  <c r="DA57" i="21"/>
  <c r="DP11" i="21"/>
  <c r="DM12" i="21"/>
  <c r="CY15" i="21"/>
  <c r="CW16" i="21"/>
  <c r="DJ19" i="21"/>
  <c r="DN22" i="21"/>
  <c r="CU24" i="21"/>
  <c r="DA26" i="21"/>
  <c r="DQ28" i="21"/>
  <c r="DF31" i="21"/>
  <c r="DF37" i="21"/>
  <c r="DL41" i="21"/>
  <c r="T59" i="21"/>
  <c r="CX50" i="21"/>
  <c r="DQ53" i="21"/>
  <c r="DL5" i="21"/>
  <c r="DE6" i="21"/>
  <c r="CX7" i="21"/>
  <c r="DQ7" i="21"/>
  <c r="DK8" i="21"/>
  <c r="DF9" i="21"/>
  <c r="CY10" i="21"/>
  <c r="DN12" i="21"/>
  <c r="AI59" i="21"/>
  <c r="AY59" i="21"/>
  <c r="CE59" i="21"/>
  <c r="CZ15" i="21"/>
  <c r="CY16" i="21"/>
  <c r="CU17" i="21"/>
  <c r="DK19" i="21"/>
  <c r="DN20" i="21"/>
  <c r="DQ21" i="21"/>
  <c r="DP22" i="21"/>
  <c r="CV24" i="21"/>
  <c r="DA25" i="21"/>
  <c r="DB26" i="21"/>
  <c r="DO27" i="21"/>
  <c r="DB30" i="21"/>
  <c r="DG31" i="21"/>
  <c r="DL33" i="21"/>
  <c r="CY39" i="21"/>
  <c r="DD40" i="21"/>
  <c r="DM41" i="21"/>
  <c r="CX43" i="21"/>
  <c r="U59" i="21"/>
  <c r="CY50" i="21"/>
  <c r="DQ51" i="21"/>
  <c r="DC57" i="21"/>
  <c r="L59" i="21"/>
  <c r="AB59" i="21"/>
  <c r="AR59" i="21"/>
  <c r="BH59" i="21"/>
  <c r="BZ59" i="21"/>
  <c r="O59" i="21"/>
  <c r="DC6" i="21"/>
  <c r="CU7" i="21"/>
  <c r="DC9" i="21"/>
  <c r="CW10" i="21"/>
  <c r="DQ10" i="21"/>
  <c r="DN11" i="21"/>
  <c r="DL12" i="21"/>
  <c r="CX15" i="21"/>
  <c r="CL13" i="21"/>
  <c r="DK5" i="21"/>
  <c r="DD6" i="21"/>
  <c r="CW7" i="21"/>
  <c r="DP7" i="21"/>
  <c r="DE9" i="21"/>
  <c r="CX10" i="21"/>
  <c r="DK20" i="21"/>
  <c r="CZ25" i="21"/>
  <c r="DA30" i="21"/>
  <c r="CW43" i="21"/>
  <c r="CU5" i="21"/>
  <c r="DM5" i="21"/>
  <c r="DF6" i="21"/>
  <c r="CY7" i="21"/>
  <c r="DL8" i="21"/>
  <c r="DG9" i="21"/>
  <c r="CZ10" i="21"/>
  <c r="D59" i="21"/>
  <c r="AJ59" i="21"/>
  <c r="AZ59" i="21"/>
  <c r="BP59" i="21"/>
  <c r="CF59" i="21"/>
  <c r="DA15" i="21"/>
  <c r="CZ16" i="21"/>
  <c r="CV17" i="21"/>
  <c r="DP19" i="21"/>
  <c r="DO20" i="21"/>
  <c r="CW24" i="21"/>
  <c r="DF25" i="21"/>
  <c r="DP27" i="21"/>
  <c r="BG45" i="21"/>
  <c r="DC30" i="21"/>
  <c r="DM33" i="21"/>
  <c r="DC35" i="21"/>
  <c r="DK37" i="21"/>
  <c r="CZ39" i="21"/>
  <c r="CY43" i="21"/>
  <c r="DQ55" i="21"/>
  <c r="DD57" i="21"/>
  <c r="M59" i="21"/>
  <c r="AC59" i="21"/>
  <c r="AS59" i="21"/>
  <c r="BY59" i="21"/>
  <c r="BT59" i="21"/>
  <c r="CJ59" i="21"/>
  <c r="X59" i="21"/>
  <c r="BD59" i="21"/>
  <c r="DI19" i="21"/>
  <c r="DN21" i="21"/>
  <c r="DM22" i="21"/>
  <c r="CW25" i="21"/>
  <c r="CZ26" i="21"/>
  <c r="DG27" i="21"/>
  <c r="DL28" i="21"/>
  <c r="DC31" i="21"/>
  <c r="DE33" i="21"/>
  <c r="DE37" i="21"/>
  <c r="DB40" i="21"/>
  <c r="CG59" i="21"/>
  <c r="CW50" i="21"/>
  <c r="DH51" i="21"/>
  <c r="DE55" i="21"/>
  <c r="DO21" i="21"/>
  <c r="DK33" i="21"/>
  <c r="DC40" i="21"/>
  <c r="K75" i="21"/>
  <c r="DQ48" i="21"/>
  <c r="DH55" i="21"/>
  <c r="CV5" i="21"/>
  <c r="DN5" i="21"/>
  <c r="DG6" i="21"/>
  <c r="CZ7" i="21"/>
  <c r="CU8" i="21"/>
  <c r="DM8" i="21"/>
  <c r="DH9" i="21"/>
  <c r="DA10" i="21"/>
  <c r="CY11" i="21"/>
  <c r="CU12" i="21"/>
  <c r="E59" i="21"/>
  <c r="AK59" i="21"/>
  <c r="BA59" i="21"/>
  <c r="BQ59" i="21"/>
  <c r="DB15" i="21"/>
  <c r="DA16" i="21"/>
  <c r="DA17" i="21"/>
  <c r="DQ19" i="21"/>
  <c r="CX24" i="21"/>
  <c r="DG25" i="21"/>
  <c r="DJ26" i="21"/>
  <c r="DQ27" i="21"/>
  <c r="DH30" i="21"/>
  <c r="DL31" i="21"/>
  <c r="DN33" i="21"/>
  <c r="DD35" i="21"/>
  <c r="DL37" i="21"/>
  <c r="DC39" i="21"/>
  <c r="DJ40" i="21"/>
  <c r="CZ43" i="21"/>
  <c r="CW49" i="21"/>
  <c r="DK50" i="21"/>
  <c r="CV54" i="21"/>
  <c r="BX59" i="21"/>
  <c r="DJ8" i="21"/>
  <c r="DN51" i="21"/>
  <c r="DB57" i="21"/>
  <c r="CO59" i="21"/>
  <c r="I76" i="21"/>
  <c r="CW5" i="21"/>
  <c r="DO5" i="21"/>
  <c r="DH6" i="21"/>
  <c r="DB7" i="21"/>
  <c r="CV8" i="21"/>
  <c r="DN8" i="21"/>
  <c r="DB10" i="21"/>
  <c r="CZ11" i="21"/>
  <c r="CV12" i="21"/>
  <c r="F59" i="21"/>
  <c r="V59" i="21"/>
  <c r="AL59" i="21"/>
  <c r="BB59" i="21"/>
  <c r="BR59" i="21"/>
  <c r="DD15" i="21"/>
  <c r="DB16" i="21"/>
  <c r="DB17" i="21"/>
  <c r="CU21" i="21"/>
  <c r="CU23" i="21"/>
  <c r="CY24" i="21"/>
  <c r="DH25" i="21"/>
  <c r="DK26" i="21"/>
  <c r="DM31" i="21"/>
  <c r="DE35" i="21"/>
  <c r="DD39" i="21"/>
  <c r="DK40" i="21"/>
  <c r="CV42" i="21"/>
  <c r="DE43" i="21"/>
  <c r="CX49" i="21"/>
  <c r="DL50" i="21"/>
  <c r="DD54" i="21"/>
  <c r="DL57" i="21"/>
  <c r="BL59" i="21"/>
  <c r="CB59" i="21"/>
  <c r="DO7" i="21"/>
  <c r="CX5" i="21"/>
  <c r="DP5" i="21"/>
  <c r="DI6" i="21"/>
  <c r="DD7" i="21"/>
  <c r="CW8" i="21"/>
  <c r="DO8" i="21"/>
  <c r="DJ9" i="21"/>
  <c r="DD10" i="21"/>
  <c r="DA11" i="21"/>
  <c r="CW12" i="21"/>
  <c r="DC16" i="21"/>
  <c r="DC17" i="21"/>
  <c r="CU20" i="21"/>
  <c r="CW21" i="21"/>
  <c r="CW22" i="21"/>
  <c r="CZ23" i="21"/>
  <c r="DE24" i="21"/>
  <c r="DM25" i="21"/>
  <c r="DL26" i="21"/>
  <c r="CU29" i="21"/>
  <c r="DL30" i="21"/>
  <c r="DH35" i="21"/>
  <c r="DE39" i="21"/>
  <c r="DQ40" i="21"/>
  <c r="CW42" i="21"/>
  <c r="DF43" i="21"/>
  <c r="CY49" i="21"/>
  <c r="DM50" i="21"/>
  <c r="DE52" i="21"/>
  <c r="DE54" i="21"/>
  <c r="DF56" i="21"/>
  <c r="DM57" i="21"/>
  <c r="I78" i="21"/>
  <c r="I59" i="21"/>
  <c r="Y59" i="21"/>
  <c r="AO59" i="21"/>
  <c r="BE59" i="21"/>
  <c r="BU59" i="21"/>
  <c r="CK59" i="21"/>
  <c r="J59" i="21"/>
  <c r="Z59" i="21"/>
  <c r="AP59" i="21"/>
  <c r="BF59" i="21"/>
  <c r="H69" i="21"/>
  <c r="H72" i="21" s="1"/>
  <c r="BV59" i="21"/>
  <c r="CL58" i="21"/>
  <c r="DN24" i="21"/>
  <c r="DI25" i="21"/>
  <c r="DC26" i="21"/>
  <c r="CY27" i="21"/>
  <c r="DL29" i="21"/>
  <c r="DJ30" i="21"/>
  <c r="DD31" i="21"/>
  <c r="DO33" i="21"/>
  <c r="DP34" i="21"/>
  <c r="DJ35" i="21"/>
  <c r="DJ38" i="21"/>
  <c r="DF39" i="21"/>
  <c r="DE40" i="21"/>
  <c r="DF41" i="21"/>
  <c r="DC42" i="21"/>
  <c r="DA43" i="21"/>
  <c r="DC44" i="21"/>
  <c r="CL45" i="21"/>
  <c r="DL46" i="21"/>
  <c r="I83" i="21"/>
  <c r="DO51" i="21"/>
  <c r="DL52" i="21"/>
  <c r="DO53" i="21"/>
  <c r="DM54" i="21"/>
  <c r="DJ55" i="21"/>
  <c r="DM56" i="21"/>
  <c r="DJ57" i="21"/>
  <c r="K59" i="21"/>
  <c r="AA59" i="21"/>
  <c r="AQ59" i="21"/>
  <c r="BG58" i="21"/>
  <c r="BW59" i="21"/>
  <c r="CM59" i="21"/>
  <c r="CV21" i="21"/>
  <c r="DP21" i="21"/>
  <c r="DF22" i="21"/>
  <c r="DA23" i="21"/>
  <c r="DO24" i="21"/>
  <c r="DJ25" i="21"/>
  <c r="DD26" i="21"/>
  <c r="CZ27" i="21"/>
  <c r="DM29" i="21"/>
  <c r="DK30" i="21"/>
  <c r="DE31" i="21"/>
  <c r="DQ34" i="21"/>
  <c r="DK35" i="21"/>
  <c r="DJ37" i="21"/>
  <c r="DK38" i="21"/>
  <c r="DH40" i="21"/>
  <c r="DG41" i="21"/>
  <c r="DD43" i="21"/>
  <c r="DD44" i="21"/>
  <c r="DM46" i="21"/>
  <c r="CU50" i="21"/>
  <c r="DP51" i="21"/>
  <c r="DP53" i="21"/>
  <c r="DN54" i="21"/>
  <c r="DK55" i="21"/>
  <c r="DN56" i="21"/>
  <c r="DK57" i="21"/>
  <c r="K72" i="21"/>
  <c r="J83" i="21"/>
  <c r="DP39" i="21"/>
  <c r="DN41" i="21"/>
  <c r="DP42" i="21"/>
  <c r="DM43" i="21"/>
  <c r="DK44" i="21"/>
  <c r="CU46" i="21"/>
  <c r="DC48" i="21"/>
  <c r="DF49" i="21"/>
  <c r="DB50" i="21"/>
  <c r="CX51" i="21"/>
  <c r="CU52" i="21"/>
  <c r="CX53" i="21"/>
  <c r="Q59" i="21"/>
  <c r="AG59" i="21"/>
  <c r="AW59" i="21"/>
  <c r="BM59" i="21"/>
  <c r="CC59" i="21"/>
  <c r="I72" i="21"/>
  <c r="I79" i="21" s="1"/>
  <c r="BI45" i="21"/>
  <c r="BI59" i="21" s="1"/>
  <c r="DE56" i="21"/>
  <c r="DP55" i="21"/>
  <c r="CZ55" i="21"/>
  <c r="DK54" i="21"/>
  <c r="CU54" i="21"/>
  <c r="DF53" i="21"/>
  <c r="DQ52" i="21"/>
  <c r="DA52" i="21"/>
  <c r="DM51" i="21"/>
  <c r="CW51" i="21"/>
  <c r="DJ50" i="21"/>
  <c r="DE49" i="21"/>
  <c r="DP48" i="21"/>
  <c r="CZ48" i="21"/>
  <c r="DH46" i="21"/>
  <c r="DQ44" i="21"/>
  <c r="DA44" i="21"/>
  <c r="DL43" i="21"/>
  <c r="CV43" i="21"/>
  <c r="DH42" i="21"/>
  <c r="DD41" i="21"/>
  <c r="DP40" i="21"/>
  <c r="CZ40" i="21"/>
  <c r="DK39" i="21"/>
  <c r="CU39" i="21"/>
  <c r="DF38" i="21"/>
  <c r="DQ37" i="21"/>
  <c r="DA37" i="21"/>
  <c r="DP35" i="21"/>
  <c r="CZ35" i="21"/>
  <c r="DN34" i="21"/>
  <c r="CX34" i="21"/>
  <c r="DJ33" i="21"/>
  <c r="DK31" i="21"/>
  <c r="CU31" i="21"/>
  <c r="DG30" i="21"/>
  <c r="DC29" i="21"/>
  <c r="DP28" i="21"/>
  <c r="CZ28" i="21"/>
  <c r="DL27" i="21"/>
  <c r="CV27" i="21"/>
  <c r="DH26" i="21"/>
  <c r="DE25" i="21"/>
  <c r="DC24" i="21"/>
  <c r="DO23" i="21"/>
  <c r="CY23" i="21"/>
  <c r="DK22" i="21"/>
  <c r="CU22" i="21"/>
  <c r="DG21" i="21"/>
  <c r="DC20" i="21"/>
  <c r="DO19" i="21"/>
  <c r="CY19" i="21"/>
  <c r="DP17" i="21"/>
  <c r="CZ17" i="21"/>
  <c r="DL16" i="21"/>
  <c r="CV16" i="21"/>
  <c r="DH15" i="21"/>
  <c r="DQ12" i="21"/>
  <c r="DA12" i="21"/>
  <c r="DM11" i="21"/>
  <c r="CW11" i="21"/>
  <c r="DH57" i="21"/>
  <c r="DD56" i="21"/>
  <c r="DO55" i="21"/>
  <c r="CY55" i="21"/>
  <c r="DJ54" i="21"/>
  <c r="DE53" i="21"/>
  <c r="DP52" i="21"/>
  <c r="CZ52" i="21"/>
  <c r="DL51" i="21"/>
  <c r="CV51" i="21"/>
  <c r="DD49" i="21"/>
  <c r="DO48" i="21"/>
  <c r="CY48" i="21"/>
  <c r="DG46" i="21"/>
  <c r="DP44" i="21"/>
  <c r="CZ44" i="21"/>
  <c r="DK43" i="21"/>
  <c r="CU43" i="21"/>
  <c r="DG42" i="21"/>
  <c r="DC41" i="21"/>
  <c r="DO40" i="21"/>
  <c r="CY40" i="21"/>
  <c r="DJ39" i="21"/>
  <c r="DE38" i="21"/>
  <c r="DP37" i="21"/>
  <c r="CZ37" i="21"/>
  <c r="DO35" i="21"/>
  <c r="CY35" i="21"/>
  <c r="DM34" i="21"/>
  <c r="CW34" i="21"/>
  <c r="DJ31" i="21"/>
  <c r="DF30" i="21"/>
  <c r="DB29" i="21"/>
  <c r="DO28" i="21"/>
  <c r="CY28" i="21"/>
  <c r="DK27" i="21"/>
  <c r="CU27" i="21"/>
  <c r="DG26" i="21"/>
  <c r="DD25" i="21"/>
  <c r="DB24" i="21"/>
  <c r="DN23" i="21"/>
  <c r="CX23" i="21"/>
  <c r="DJ22" i="21"/>
  <c r="DF21" i="21"/>
  <c r="DB20" i="21"/>
  <c r="DN19" i="21"/>
  <c r="CX19" i="21"/>
  <c r="DO17" i="21"/>
  <c r="CY17" i="21"/>
  <c r="DK16" i="21"/>
  <c r="CU16" i="21"/>
  <c r="DG15" i="21"/>
  <c r="DP12" i="21"/>
  <c r="CZ12" i="21"/>
  <c r="DL11" i="21"/>
  <c r="CV11" i="21"/>
  <c r="DH10" i="21"/>
  <c r="DD9" i="21"/>
  <c r="DP8" i="21"/>
  <c r="CZ8" i="21"/>
  <c r="DL7" i="21"/>
  <c r="CV7" i="21"/>
  <c r="DG57" i="21"/>
  <c r="DC56" i="21"/>
  <c r="DN55" i="21"/>
  <c r="CX55" i="21"/>
  <c r="DD53" i="21"/>
  <c r="DO52" i="21"/>
  <c r="CY52" i="21"/>
  <c r="DK51" i="21"/>
  <c r="CU51" i="21"/>
  <c r="DH50" i="21"/>
  <c r="DC49" i="21"/>
  <c r="DN48" i="21"/>
  <c r="CX48" i="21"/>
  <c r="DF46" i="21"/>
  <c r="DO44" i="21"/>
  <c r="CY44" i="21"/>
  <c r="DJ43" i="21"/>
  <c r="DF42" i="21"/>
  <c r="DB41" i="21"/>
  <c r="DN40" i="21"/>
  <c r="CX40" i="21"/>
  <c r="DD38" i="21"/>
  <c r="DO37" i="21"/>
  <c r="CY37" i="21"/>
  <c r="DN35" i="21"/>
  <c r="CX35" i="21"/>
  <c r="DL34" i="21"/>
  <c r="CV34" i="21"/>
  <c r="DH33" i="21"/>
  <c r="DE30" i="21"/>
  <c r="DQ29" i="21"/>
  <c r="DA29" i="21"/>
  <c r="DN28" i="21"/>
  <c r="CX28" i="21"/>
  <c r="DJ27" i="21"/>
  <c r="DF26" i="21"/>
  <c r="DC25" i="21"/>
  <c r="DQ24" i="21"/>
  <c r="DA24" i="21"/>
  <c r="DM23" i="21"/>
  <c r="CW23" i="21"/>
  <c r="DE21" i="21"/>
  <c r="DQ20" i="21"/>
  <c r="DA20" i="21"/>
  <c r="DM19" i="21"/>
  <c r="CW19" i="21"/>
  <c r="DN17" i="21"/>
  <c r="CX17" i="21"/>
  <c r="DJ16" i="21"/>
  <c r="DF15" i="21"/>
  <c r="DO12" i="21"/>
  <c r="CY12" i="21"/>
  <c r="DK11" i="21"/>
  <c r="CU11" i="21"/>
  <c r="DG10" i="21"/>
  <c r="DF57" i="21"/>
  <c r="DB56" i="21"/>
  <c r="DM55" i="21"/>
  <c r="CW55" i="21"/>
  <c r="DH54" i="21"/>
  <c r="DC53" i="21"/>
  <c r="DN52" i="21"/>
  <c r="CX52" i="21"/>
  <c r="DJ51" i="21"/>
  <c r="DG50" i="21"/>
  <c r="DB49" i="21"/>
  <c r="DM48" i="21"/>
  <c r="CW48" i="21"/>
  <c r="DE46" i="21"/>
  <c r="DN44" i="21"/>
  <c r="CX44" i="21"/>
  <c r="DE42" i="21"/>
  <c r="DQ41" i="21"/>
  <c r="DA41" i="21"/>
  <c r="DM40" i="21"/>
  <c r="CW40" i="21"/>
  <c r="DH39" i="21"/>
  <c r="DC38" i="21"/>
  <c r="DN37" i="21"/>
  <c r="CX37" i="21"/>
  <c r="DM35" i="21"/>
  <c r="CW35" i="21"/>
  <c r="DK34" i="21"/>
  <c r="CU34" i="21"/>
  <c r="DG33" i="21"/>
  <c r="DH31" i="21"/>
  <c r="DD30" i="21"/>
  <c r="DP29" i="21"/>
  <c r="CZ29" i="21"/>
  <c r="DM28" i="21"/>
  <c r="CW28" i="21"/>
  <c r="DE26" i="21"/>
  <c r="DB25" i="21"/>
  <c r="DP24" i="21"/>
  <c r="CZ24" i="21"/>
  <c r="DL23" i="21"/>
  <c r="CV23" i="21"/>
  <c r="DH22" i="21"/>
  <c r="DD21" i="21"/>
  <c r="DP20" i="21"/>
  <c r="CZ20" i="21"/>
  <c r="DL19" i="21"/>
  <c r="CV19" i="21"/>
  <c r="DM17" i="21"/>
  <c r="CW17" i="21"/>
  <c r="DE57" i="21"/>
  <c r="DQ56" i="21"/>
  <c r="DA56" i="21"/>
  <c r="DL55" i="21"/>
  <c r="CV55" i="21"/>
  <c r="DG54" i="21"/>
  <c r="DB53" i="21"/>
  <c r="DM52" i="21"/>
  <c r="CW52" i="21"/>
  <c r="DF50" i="21"/>
  <c r="DQ49" i="21"/>
  <c r="DA49" i="21"/>
  <c r="DL48" i="21"/>
  <c r="CV48" i="21"/>
  <c r="DD46" i="21"/>
  <c r="DM44" i="21"/>
  <c r="CW44" i="21"/>
  <c r="DH43" i="21"/>
  <c r="DD42" i="21"/>
  <c r="DP41" i="21"/>
  <c r="CZ41" i="21"/>
  <c r="DL40" i="21"/>
  <c r="CV40" i="21"/>
  <c r="DG39" i="21"/>
  <c r="DB38" i="21"/>
  <c r="DM37" i="21"/>
  <c r="CW37" i="21"/>
  <c r="DL35" i="21"/>
  <c r="CV35" i="21"/>
  <c r="DJ34" i="21"/>
  <c r="DF33" i="21"/>
  <c r="DP57" i="21"/>
  <c r="CZ57" i="21"/>
  <c r="DL56" i="21"/>
  <c r="CV56" i="21"/>
  <c r="DG55" i="21"/>
  <c r="DB54" i="21"/>
  <c r="DM53" i="21"/>
  <c r="CW53" i="21"/>
  <c r="DH52" i="21"/>
  <c r="DD51" i="21"/>
  <c r="DQ50" i="21"/>
  <c r="DA50" i="21"/>
  <c r="DL49" i="21"/>
  <c r="CV49" i="21"/>
  <c r="DG48" i="21"/>
  <c r="DO46" i="21"/>
  <c r="CY46" i="21"/>
  <c r="DH44" i="21"/>
  <c r="DC43" i="21"/>
  <c r="DO42" i="21"/>
  <c r="CY42" i="21"/>
  <c r="DK41" i="21"/>
  <c r="CU41" i="21"/>
  <c r="DG40" i="21"/>
  <c r="DB39" i="21"/>
  <c r="DM38" i="21"/>
  <c r="CW38" i="21"/>
  <c r="DH37" i="21"/>
  <c r="DG35" i="21"/>
  <c r="DE34" i="21"/>
  <c r="DQ33" i="21"/>
  <c r="DA33" i="21"/>
  <c r="DB31" i="21"/>
  <c r="DN30" i="21"/>
  <c r="CX30" i="21"/>
  <c r="DJ29" i="21"/>
  <c r="DG28" i="21"/>
  <c r="DC27" i="21"/>
  <c r="DO26" i="21"/>
  <c r="CY26" i="21"/>
  <c r="DL25" i="21"/>
  <c r="CV25" i="21"/>
  <c r="DJ24" i="21"/>
  <c r="DF23" i="21"/>
  <c r="DO57" i="21"/>
  <c r="CY57" i="21"/>
  <c r="DK56" i="21"/>
  <c r="CU56" i="21"/>
  <c r="DF55" i="21"/>
  <c r="DQ54" i="21"/>
  <c r="DA54" i="21"/>
  <c r="DL53" i="21"/>
  <c r="CV53" i="21"/>
  <c r="DG52" i="21"/>
  <c r="DC51" i="21"/>
  <c r="DP50" i="21"/>
  <c r="CZ50" i="21"/>
  <c r="DK49" i="21"/>
  <c r="CU49" i="21"/>
  <c r="DF48" i="21"/>
  <c r="DN46" i="21"/>
  <c r="CX46" i="21"/>
  <c r="DG44" i="21"/>
  <c r="DB43" i="21"/>
  <c r="DN42" i="21"/>
  <c r="CX42" i="21"/>
  <c r="DJ41" i="21"/>
  <c r="DF40" i="21"/>
  <c r="DQ39" i="21"/>
  <c r="DA39" i="21"/>
  <c r="DL38" i="21"/>
  <c r="CV38" i="21"/>
  <c r="DG37" i="21"/>
  <c r="DF35" i="21"/>
  <c r="DD34" i="21"/>
  <c r="DP33" i="21"/>
  <c r="CZ33" i="21"/>
  <c r="DQ31" i="21"/>
  <c r="DA31" i="21"/>
  <c r="DM30" i="21"/>
  <c r="CW30" i="21"/>
  <c r="DF28" i="21"/>
  <c r="DB27" i="21"/>
  <c r="DN26" i="21"/>
  <c r="CX26" i="21"/>
  <c r="DK25" i="21"/>
  <c r="DH5" i="21"/>
  <c r="CV6" i="21"/>
  <c r="DL6" i="21"/>
  <c r="DA7" i="21"/>
  <c r="DG8" i="21"/>
  <c r="CV9" i="21"/>
  <c r="DM9" i="21"/>
  <c r="DC10" i="21"/>
  <c r="DO11" i="21"/>
  <c r="DF12" i="21"/>
  <c r="DC15" i="21"/>
  <c r="DO16" i="21"/>
  <c r="DG17" i="21"/>
  <c r="DJ20" i="21"/>
  <c r="DB21" i="21"/>
  <c r="CV22" i="21"/>
  <c r="DO22" i="21"/>
  <c r="DH23" i="21"/>
  <c r="DD24" i="21"/>
  <c r="CU25" i="21"/>
  <c r="DP26" i="21"/>
  <c r="DH27" i="21"/>
  <c r="DD28" i="21"/>
  <c r="CW29" i="21"/>
  <c r="CU30" i="21"/>
  <c r="DN31" i="21"/>
  <c r="CY33" i="21"/>
  <c r="CZ34" i="21"/>
  <c r="DO41" i="21"/>
  <c r="DQ42" i="21"/>
  <c r="DN43" i="21"/>
  <c r="DL44" i="21"/>
  <c r="CV46" i="21"/>
  <c r="DD48" i="21"/>
  <c r="DG49" i="21"/>
  <c r="DC50" i="21"/>
  <c r="CY51" i="21"/>
  <c r="CV52" i="21"/>
  <c r="CY53" i="21"/>
  <c r="CX54" i="21"/>
  <c r="CW56" i="21"/>
  <c r="CU57" i="21"/>
  <c r="R59" i="21"/>
  <c r="AH59" i="21"/>
  <c r="AX59" i="21"/>
  <c r="BN59" i="21"/>
  <c r="CD59" i="21"/>
  <c r="DQ26" i="21"/>
  <c r="DE28" i="21"/>
  <c r="CX29" i="21"/>
  <c r="CV30" i="21"/>
  <c r="DO31" i="21"/>
  <c r="DB33" i="21"/>
  <c r="DA34" i="21"/>
  <c r="CU35" i="21"/>
  <c r="CU38" i="21"/>
  <c r="CV39" i="21"/>
  <c r="DO43" i="21"/>
  <c r="CW46" i="21"/>
  <c r="DE48" i="21"/>
  <c r="DH49" i="21"/>
  <c r="DD50" i="21"/>
  <c r="CZ51" i="21"/>
  <c r="DB52" i="21"/>
  <c r="CZ53" i="21"/>
  <c r="CY54" i="21"/>
  <c r="CU55" i="21"/>
  <c r="CX56" i="21"/>
  <c r="CV57" i="21"/>
  <c r="J69" i="21"/>
  <c r="DJ5" i="21"/>
  <c r="CX6" i="21"/>
  <c r="DN6" i="21"/>
  <c r="DC7" i="21"/>
  <c r="CX9" i="21"/>
  <c r="DO9" i="21"/>
  <c r="DE10" i="21"/>
  <c r="CX11" i="21"/>
  <c r="DQ11" i="21"/>
  <c r="DH12" i="21"/>
  <c r="DE15" i="21"/>
  <c r="CX16" i="21"/>
  <c r="DQ16" i="21"/>
  <c r="CZ19" i="21"/>
  <c r="DL20" i="21"/>
  <c r="DH21" i="21"/>
  <c r="CX22" i="21"/>
  <c r="DQ22" i="21"/>
  <c r="DJ23" i="21"/>
  <c r="DF24" i="21"/>
  <c r="CX25" i="21"/>
  <c r="DM27" i="21"/>
  <c r="DH28" i="21"/>
  <c r="CY29" i="21"/>
  <c r="CY30" i="21"/>
  <c r="DP31" i="21"/>
  <c r="DC33" i="21"/>
  <c r="DB34" i="21"/>
  <c r="DA35" i="21"/>
  <c r="CU37" i="21"/>
  <c r="CX38" i="21"/>
  <c r="CW39" i="21"/>
  <c r="DP43" i="21"/>
  <c r="CZ46" i="21"/>
  <c r="G59" i="21"/>
  <c r="W59" i="21"/>
  <c r="AM59" i="21"/>
  <c r="BC59" i="21"/>
  <c r="BS59" i="21"/>
  <c r="CI59" i="21"/>
  <c r="DH48" i="21"/>
  <c r="DE50" i="21"/>
  <c r="DA51" i="21"/>
  <c r="DC52" i="21"/>
  <c r="DA53" i="21"/>
  <c r="CZ54" i="21"/>
  <c r="DA55" i="21"/>
  <c r="CY56" i="21"/>
  <c r="CW57" i="21"/>
  <c r="K76" i="21"/>
  <c r="DI29" i="21"/>
  <c r="DM20" i="21"/>
  <c r="DI21" i="21"/>
  <c r="CY22" i="21"/>
  <c r="DK23" i="21"/>
  <c r="DG24" i="21"/>
  <c r="CY25" i="21"/>
  <c r="CU26" i="21"/>
  <c r="DN27" i="21"/>
  <c r="DD29" i="21"/>
  <c r="CZ30" i="21"/>
  <c r="CV31" i="21"/>
  <c r="DD33" i="21"/>
  <c r="DC34" i="21"/>
  <c r="DB35" i="21"/>
  <c r="CV37" i="21"/>
  <c r="CY38" i="21"/>
  <c r="CX39" i="21"/>
  <c r="CU42" i="21"/>
  <c r="DQ43" i="21"/>
  <c r="DA46" i="21"/>
  <c r="DJ49" i="21"/>
  <c r="DB51" i="21"/>
  <c r="DD52" i="21"/>
  <c r="DG53" i="21"/>
  <c r="DC54" i="21"/>
  <c r="DB55" i="21"/>
  <c r="CZ56" i="21"/>
  <c r="CX57" i="21"/>
  <c r="CY59" i="23" l="1"/>
  <c r="CL59" i="23"/>
  <c r="J78" i="23"/>
  <c r="J79" i="23" s="1"/>
  <c r="K72" i="23"/>
  <c r="I81" i="23"/>
  <c r="I78" i="23"/>
  <c r="I79" i="23" s="1"/>
  <c r="I82" i="23"/>
  <c r="J82" i="23"/>
  <c r="K75" i="23"/>
  <c r="J81" i="23" s="1"/>
  <c r="H82" i="23"/>
  <c r="H81" i="23"/>
  <c r="H78" i="23"/>
  <c r="H79" i="23" s="1"/>
  <c r="ED47" i="23"/>
  <c r="CP59" i="22"/>
  <c r="CT59" i="22"/>
  <c r="I82" i="22"/>
  <c r="J72" i="22"/>
  <c r="J82" i="22"/>
  <c r="I75" i="22"/>
  <c r="I72" i="22"/>
  <c r="I83" i="22"/>
  <c r="H82" i="22"/>
  <c r="K72" i="22"/>
  <c r="BG59" i="22"/>
  <c r="K78" i="22"/>
  <c r="CL59" i="22"/>
  <c r="J81" i="22"/>
  <c r="J84" i="22" s="1"/>
  <c r="J78" i="22"/>
  <c r="H81" i="22"/>
  <c r="H84" i="22" s="1"/>
  <c r="H78" i="22"/>
  <c r="H79" i="22" s="1"/>
  <c r="DY47" i="22"/>
  <c r="CP59" i="21"/>
  <c r="BG59" i="21"/>
  <c r="K78" i="21"/>
  <c r="K79" i="21" s="1"/>
  <c r="J76" i="21"/>
  <c r="J72" i="21"/>
  <c r="DT47" i="21"/>
  <c r="CL59" i="21"/>
  <c r="J75" i="21"/>
  <c r="H75" i="21"/>
  <c r="H76" i="21"/>
  <c r="H82" i="21" s="1"/>
  <c r="J84" i="23" l="1"/>
  <c r="ED13" i="23"/>
  <c r="ED58" i="23"/>
  <c r="H84" i="23"/>
  <c r="I84" i="23"/>
  <c r="K78" i="23"/>
  <c r="K79" i="23" s="1"/>
  <c r="K79" i="22"/>
  <c r="I81" i="22"/>
  <c r="I84" i="22" s="1"/>
  <c r="I78" i="22"/>
  <c r="DY58" i="22"/>
  <c r="I79" i="22"/>
  <c r="DY13" i="22"/>
  <c r="DY45" i="22"/>
  <c r="J79" i="22"/>
  <c r="DT13" i="21"/>
  <c r="DT58" i="21"/>
  <c r="J81" i="21"/>
  <c r="J78" i="21"/>
  <c r="I81" i="21"/>
  <c r="J79" i="21"/>
  <c r="H81" i="21"/>
  <c r="H84" i="21" s="1"/>
  <c r="H78" i="21"/>
  <c r="H79" i="21" s="1"/>
  <c r="J82" i="21"/>
  <c r="I82" i="21"/>
  <c r="DY59" i="22" l="1"/>
  <c r="J84" i="21"/>
  <c r="I84" i="21"/>
  <c r="CE58" i="20" l="1"/>
  <c r="CA58" i="20"/>
  <c r="BW58" i="20"/>
  <c r="CA47" i="20"/>
  <c r="BW47" i="20"/>
  <c r="CM47" i="20"/>
  <c r="CI58" i="20"/>
  <c r="CI47" i="20"/>
  <c r="CI45" i="20"/>
  <c r="CE45" i="20"/>
  <c r="CA45" i="20"/>
  <c r="CA13" i="20"/>
  <c r="BW13" i="20"/>
  <c r="CE58" i="17"/>
  <c r="BW58" i="17"/>
  <c r="CI47" i="17"/>
  <c r="CA47" i="17"/>
  <c r="BW47" i="17"/>
  <c r="CI45" i="17"/>
  <c r="CI13" i="17"/>
  <c r="CE45" i="17"/>
  <c r="CE59" i="17" s="1"/>
  <c r="CE13" i="17"/>
  <c r="CA45" i="17"/>
  <c r="CA13" i="17"/>
  <c r="BW45" i="17"/>
  <c r="DI6" i="17"/>
  <c r="BW13" i="17"/>
  <c r="CE58" i="18"/>
  <c r="CA58" i="18"/>
  <c r="BW58" i="18"/>
  <c r="CA47" i="18"/>
  <c r="BW47" i="18"/>
  <c r="CE45" i="18"/>
  <c r="CE59" i="18" s="1"/>
  <c r="CE13" i="18"/>
  <c r="CA13" i="18"/>
  <c r="BW45" i="18"/>
  <c r="CA58" i="19"/>
  <c r="BW58" i="19"/>
  <c r="BW59" i="19" s="1"/>
  <c r="CA47" i="19"/>
  <c r="CA13" i="19"/>
  <c r="CY33" i="19"/>
  <c r="BW45" i="19"/>
  <c r="DA16" i="19"/>
  <c r="BW13" i="19"/>
  <c r="CV31" i="15"/>
  <c r="CV27" i="15"/>
  <c r="CV26" i="15"/>
  <c r="CT17" i="15"/>
  <c r="CX17" i="15" s="1"/>
  <c r="CV12" i="15"/>
  <c r="CT9" i="15"/>
  <c r="CV8" i="15"/>
  <c r="CL58" i="20"/>
  <c r="C53" i="11" s="1"/>
  <c r="CL47" i="20"/>
  <c r="CH47" i="20"/>
  <c r="CH58" i="17"/>
  <c r="C47" i="11" s="1"/>
  <c r="CH47" i="17"/>
  <c r="C46" i="11" s="1"/>
  <c r="CH45" i="17"/>
  <c r="C45" i="11" s="1"/>
  <c r="CH13" i="17"/>
  <c r="C44" i="11" s="1"/>
  <c r="CD58" i="20"/>
  <c r="CD47" i="20"/>
  <c r="CD45" i="20"/>
  <c r="J68" i="20" s="1"/>
  <c r="CD13" i="20"/>
  <c r="CD58" i="17"/>
  <c r="CD59" i="17" s="1"/>
  <c r="CD47" i="17"/>
  <c r="CD45" i="17"/>
  <c r="CD13" i="17"/>
  <c r="CD58" i="18"/>
  <c r="C41" i="11" s="1"/>
  <c r="CD47" i="18"/>
  <c r="DD25" i="18"/>
  <c r="BZ47" i="20"/>
  <c r="I70" i="20" s="1"/>
  <c r="I77" i="20" s="1"/>
  <c r="BZ45" i="20"/>
  <c r="I68" i="20" s="1"/>
  <c r="BZ58" i="17"/>
  <c r="BZ47" i="17"/>
  <c r="BZ45" i="17"/>
  <c r="BZ58" i="18"/>
  <c r="BZ47" i="18"/>
  <c r="BZ13" i="18"/>
  <c r="BZ58" i="19"/>
  <c r="BZ47" i="19"/>
  <c r="DA42" i="19"/>
  <c r="BZ45" i="19"/>
  <c r="C33" i="11" s="1"/>
  <c r="DA34" i="19"/>
  <c r="DA21" i="19"/>
  <c r="BV58" i="20"/>
  <c r="BV47" i="17"/>
  <c r="BV45" i="17"/>
  <c r="BV13" i="17"/>
  <c r="BV45" i="18"/>
  <c r="BV13" i="18"/>
  <c r="DA20" i="19"/>
  <c r="CY19" i="19"/>
  <c r="BV13" i="19"/>
  <c r="BV58" i="15"/>
  <c r="C29" i="11" s="1"/>
  <c r="BV45" i="15"/>
  <c r="C27" i="11" s="1"/>
  <c r="CV24" i="15"/>
  <c r="CT23" i="15"/>
  <c r="CX23" i="15" s="1"/>
  <c r="CT5" i="15"/>
  <c r="DE39" i="18"/>
  <c r="DE28" i="18"/>
  <c r="DE27" i="18"/>
  <c r="CM58" i="20"/>
  <c r="CH58" i="20"/>
  <c r="BZ58" i="20"/>
  <c r="I69" i="20" s="1"/>
  <c r="BV47" i="20"/>
  <c r="BV58" i="17"/>
  <c r="BV47" i="19"/>
  <c r="BV47" i="15"/>
  <c r="CE47" i="17"/>
  <c r="B47" i="11"/>
  <c r="B46" i="11"/>
  <c r="B44" i="11"/>
  <c r="CE47" i="18"/>
  <c r="B34" i="11"/>
  <c r="B35" i="11"/>
  <c r="DM57" i="20"/>
  <c r="DM56" i="20"/>
  <c r="DM55" i="20"/>
  <c r="DM54" i="20"/>
  <c r="DM53" i="20"/>
  <c r="DM52" i="20"/>
  <c r="DM51" i="20"/>
  <c r="DM50" i="20"/>
  <c r="DM49" i="20"/>
  <c r="DM48" i="20"/>
  <c r="DM46" i="20"/>
  <c r="DM44" i="20"/>
  <c r="DM43" i="20"/>
  <c r="DM42" i="20"/>
  <c r="DM41" i="20"/>
  <c r="DM40" i="20"/>
  <c r="DM39" i="20"/>
  <c r="DM38" i="20"/>
  <c r="DM37" i="20"/>
  <c r="DM35" i="20"/>
  <c r="DM34" i="20"/>
  <c r="DM33" i="20"/>
  <c r="DM31" i="20"/>
  <c r="DM30" i="20"/>
  <c r="DM29" i="20"/>
  <c r="DM28" i="20"/>
  <c r="DM27" i="20"/>
  <c r="DM26" i="20"/>
  <c r="DM25" i="20"/>
  <c r="DM24" i="20"/>
  <c r="DM23" i="20"/>
  <c r="DM22" i="20"/>
  <c r="DM21" i="20"/>
  <c r="DM20" i="20"/>
  <c r="DM19" i="20"/>
  <c r="DM17" i="20"/>
  <c r="DM16" i="20"/>
  <c r="DM15" i="20"/>
  <c r="DM12" i="20"/>
  <c r="DM11" i="20"/>
  <c r="DM10" i="20"/>
  <c r="DM9" i="20"/>
  <c r="DM8" i="20"/>
  <c r="DM7" i="20"/>
  <c r="DM6" i="20"/>
  <c r="DM5" i="20"/>
  <c r="CO58" i="20"/>
  <c r="CN58" i="20"/>
  <c r="CN59" i="20"/>
  <c r="CO47" i="20"/>
  <c r="CN47" i="20"/>
  <c r="CO45" i="20"/>
  <c r="CN45" i="20"/>
  <c r="CO13" i="20"/>
  <c r="CN13" i="20"/>
  <c r="CK58" i="20"/>
  <c r="CJ58" i="20"/>
  <c r="CJ59" i="20"/>
  <c r="CG58" i="20"/>
  <c r="CF58" i="20"/>
  <c r="CF59" i="20"/>
  <c r="CC58" i="20"/>
  <c r="CB58" i="20"/>
  <c r="BY58" i="20"/>
  <c r="BX58" i="20"/>
  <c r="BU58" i="20"/>
  <c r="BT58" i="20"/>
  <c r="BS58" i="20"/>
  <c r="BQ58" i="20"/>
  <c r="BP58" i="20"/>
  <c r="BO58" i="20"/>
  <c r="BM58" i="20"/>
  <c r="BL58" i="20"/>
  <c r="BK58" i="20"/>
  <c r="BI58" i="20"/>
  <c r="BH58" i="20"/>
  <c r="BH59" i="20"/>
  <c r="BF58" i="20"/>
  <c r="BE58" i="20"/>
  <c r="BD58" i="20"/>
  <c r="BB58" i="20"/>
  <c r="BA58" i="20"/>
  <c r="AZ58" i="20"/>
  <c r="AY58" i="20"/>
  <c r="AX58" i="20"/>
  <c r="AW58" i="20"/>
  <c r="AV58" i="20"/>
  <c r="AU58" i="20"/>
  <c r="AT58" i="20"/>
  <c r="AS58" i="20"/>
  <c r="AR58" i="20"/>
  <c r="AQ58" i="20"/>
  <c r="AQ59" i="20"/>
  <c r="AP58" i="20"/>
  <c r="AP59" i="20"/>
  <c r="AO58" i="20"/>
  <c r="AN58" i="20"/>
  <c r="AM58" i="20"/>
  <c r="AM59" i="20"/>
  <c r="AL58" i="20"/>
  <c r="AK58" i="20"/>
  <c r="AJ58" i="20"/>
  <c r="AI58" i="20"/>
  <c r="AH58" i="20"/>
  <c r="AG58" i="20"/>
  <c r="AF58" i="20"/>
  <c r="AE58" i="20"/>
  <c r="AD58" i="20"/>
  <c r="AC58" i="20"/>
  <c r="AB58" i="20"/>
  <c r="AA58" i="20"/>
  <c r="Z58" i="20"/>
  <c r="Y58" i="20"/>
  <c r="Y59" i="20"/>
  <c r="X58" i="20"/>
  <c r="W58" i="20"/>
  <c r="V58" i="20"/>
  <c r="U58" i="20"/>
  <c r="T58" i="20"/>
  <c r="S58" i="20"/>
  <c r="R58" i="20"/>
  <c r="R59" i="20"/>
  <c r="Q58" i="20"/>
  <c r="P58" i="20"/>
  <c r="O58" i="20"/>
  <c r="N58" i="20"/>
  <c r="M58" i="20"/>
  <c r="L58" i="20"/>
  <c r="K58" i="20"/>
  <c r="K59" i="20"/>
  <c r="J58" i="20"/>
  <c r="I58" i="20"/>
  <c r="H58" i="20"/>
  <c r="H59" i="20"/>
  <c r="G58" i="20"/>
  <c r="F58" i="20"/>
  <c r="E58" i="20"/>
  <c r="D58" i="20"/>
  <c r="DL57" i="20"/>
  <c r="DK57" i="20"/>
  <c r="DJ57" i="20"/>
  <c r="DI57" i="20"/>
  <c r="DH57" i="20"/>
  <c r="DG57" i="20"/>
  <c r="DF57" i="20"/>
  <c r="DE57" i="20"/>
  <c r="DD57" i="20"/>
  <c r="DC57" i="20"/>
  <c r="DB57" i="20"/>
  <c r="DA57" i="20"/>
  <c r="CZ57" i="20"/>
  <c r="CY57" i="20"/>
  <c r="CX57" i="20"/>
  <c r="CW57" i="20"/>
  <c r="CV57" i="20"/>
  <c r="CU57" i="20"/>
  <c r="CT57" i="20"/>
  <c r="CS57" i="20"/>
  <c r="CR57" i="20"/>
  <c r="CP57" i="20"/>
  <c r="CQ57" i="20"/>
  <c r="DO57" i="20" s="1"/>
  <c r="DL56" i="20"/>
  <c r="DK56" i="20"/>
  <c r="DJ56" i="20"/>
  <c r="DI56" i="20"/>
  <c r="DH56" i="20"/>
  <c r="DG56" i="20"/>
  <c r="DF56" i="20"/>
  <c r="DE56" i="20"/>
  <c r="DD56" i="20"/>
  <c r="DC56" i="20"/>
  <c r="DB56" i="20"/>
  <c r="DA56" i="20"/>
  <c r="CZ56" i="20"/>
  <c r="CY56" i="20"/>
  <c r="CX56" i="20"/>
  <c r="CW56" i="20"/>
  <c r="CV56" i="20"/>
  <c r="CU56" i="20"/>
  <c r="CT56" i="20"/>
  <c r="CS56" i="20"/>
  <c r="CR56" i="20"/>
  <c r="CP56" i="20"/>
  <c r="CQ56" i="20"/>
  <c r="DO56" i="20" s="1"/>
  <c r="DL55" i="20"/>
  <c r="DK55" i="20"/>
  <c r="DJ55" i="20"/>
  <c r="DI55" i="20"/>
  <c r="DH55" i="20"/>
  <c r="DG55" i="20"/>
  <c r="DF55" i="20"/>
  <c r="DE55" i="20"/>
  <c r="DD55" i="20"/>
  <c r="DC55" i="20"/>
  <c r="DB55" i="20"/>
  <c r="DA55" i="20"/>
  <c r="CZ55" i="20"/>
  <c r="CY55" i="20"/>
  <c r="CX55" i="20"/>
  <c r="CW55" i="20"/>
  <c r="CV55" i="20"/>
  <c r="CU55" i="20"/>
  <c r="CT55" i="20"/>
  <c r="CS55" i="20"/>
  <c r="CR55" i="20"/>
  <c r="CP55" i="20"/>
  <c r="CQ55" i="20"/>
  <c r="DO55" i="20" s="1"/>
  <c r="DL54" i="20"/>
  <c r="DK54" i="20"/>
  <c r="DJ54" i="20"/>
  <c r="DI54" i="20"/>
  <c r="DH54" i="20"/>
  <c r="DG54" i="20"/>
  <c r="DF54" i="20"/>
  <c r="DE54" i="20"/>
  <c r="DD54" i="20"/>
  <c r="DC54" i="20"/>
  <c r="DB54" i="20"/>
  <c r="DA54" i="20"/>
  <c r="CZ54" i="20"/>
  <c r="CY54" i="20"/>
  <c r="CX54" i="20"/>
  <c r="CW54" i="20"/>
  <c r="CV54" i="20"/>
  <c r="CU54" i="20"/>
  <c r="CT54" i="20"/>
  <c r="CS54" i="20"/>
  <c r="CR54" i="20"/>
  <c r="CP54" i="20"/>
  <c r="CQ54" i="20"/>
  <c r="DO54" i="20" s="1"/>
  <c r="DL53" i="20"/>
  <c r="DK53" i="20"/>
  <c r="DJ53" i="20"/>
  <c r="DI53" i="20"/>
  <c r="DH53" i="20"/>
  <c r="DG53" i="20"/>
  <c r="DF53" i="20"/>
  <c r="DE53" i="20"/>
  <c r="DD53" i="20"/>
  <c r="DC53" i="20"/>
  <c r="DB53" i="20"/>
  <c r="DA53" i="20"/>
  <c r="CZ53" i="20"/>
  <c r="CY53" i="20"/>
  <c r="CX53" i="20"/>
  <c r="CW53" i="20"/>
  <c r="CV53" i="20"/>
  <c r="CU53" i="20"/>
  <c r="CT53" i="20"/>
  <c r="DO53" i="20" s="1"/>
  <c r="CS53" i="20"/>
  <c r="CR53" i="20"/>
  <c r="CP53" i="20"/>
  <c r="CQ53" i="20"/>
  <c r="DL52" i="20"/>
  <c r="DK52" i="20"/>
  <c r="DJ52" i="20"/>
  <c r="DI52" i="20"/>
  <c r="DH52" i="20"/>
  <c r="DG52" i="20"/>
  <c r="DF52" i="20"/>
  <c r="DE52" i="20"/>
  <c r="DD52" i="20"/>
  <c r="DC52" i="20"/>
  <c r="DB52" i="20"/>
  <c r="DA52" i="20"/>
  <c r="CZ52" i="20"/>
  <c r="CY52" i="20"/>
  <c r="CX52" i="20"/>
  <c r="CW52" i="20"/>
  <c r="CV52" i="20"/>
  <c r="CU52" i="20"/>
  <c r="CT52" i="20"/>
  <c r="DO52" i="20" s="1"/>
  <c r="CS52" i="20"/>
  <c r="CR52" i="20"/>
  <c r="CP52" i="20"/>
  <c r="CQ52" i="20"/>
  <c r="DL51" i="20"/>
  <c r="DK51" i="20"/>
  <c r="DJ51" i="20"/>
  <c r="DI51" i="20"/>
  <c r="DH51" i="20"/>
  <c r="DG51" i="20"/>
  <c r="DF51" i="20"/>
  <c r="DD51" i="20"/>
  <c r="DC51" i="20"/>
  <c r="DB51" i="20"/>
  <c r="DA51" i="20"/>
  <c r="CZ51" i="20"/>
  <c r="CY51" i="20"/>
  <c r="CX51" i="20"/>
  <c r="CW51" i="20"/>
  <c r="CV51" i="20"/>
  <c r="CU51" i="20"/>
  <c r="CT51" i="20"/>
  <c r="CS51" i="20"/>
  <c r="CR51" i="20"/>
  <c r="DO51" i="20" s="1"/>
  <c r="CP51" i="20"/>
  <c r="CQ51" i="20"/>
  <c r="BG51" i="20"/>
  <c r="DL50" i="20"/>
  <c r="DK50" i="20"/>
  <c r="DJ50" i="20"/>
  <c r="DI50" i="20"/>
  <c r="DH50" i="20"/>
  <c r="DG50" i="20"/>
  <c r="DF50" i="20"/>
  <c r="DE50" i="20"/>
  <c r="DD50" i="20"/>
  <c r="DC50" i="20"/>
  <c r="DB50" i="20"/>
  <c r="DA50" i="20"/>
  <c r="CZ50" i="20"/>
  <c r="CY50" i="20"/>
  <c r="CX50" i="20"/>
  <c r="CW50" i="20"/>
  <c r="CV50" i="20"/>
  <c r="CU50" i="20"/>
  <c r="CT50" i="20"/>
  <c r="CS50" i="20"/>
  <c r="CR50" i="20"/>
  <c r="CP50" i="20"/>
  <c r="CQ50" i="20"/>
  <c r="DO50" i="20" s="1"/>
  <c r="DL49" i="20"/>
  <c r="DK49" i="20"/>
  <c r="DJ49" i="20"/>
  <c r="DI49" i="20"/>
  <c r="DH49" i="20"/>
  <c r="DG49" i="20"/>
  <c r="DF49" i="20"/>
  <c r="DE49" i="20"/>
  <c r="DD49" i="20"/>
  <c r="DC49" i="20"/>
  <c r="DB49" i="20"/>
  <c r="DA49" i="20"/>
  <c r="CZ49" i="20"/>
  <c r="CY49" i="20"/>
  <c r="CX49" i="20"/>
  <c r="CW49" i="20"/>
  <c r="CV49" i="20"/>
  <c r="CU49" i="20"/>
  <c r="CT49" i="20"/>
  <c r="CS49" i="20"/>
  <c r="CR49" i="20"/>
  <c r="CP49" i="20"/>
  <c r="CQ49" i="20"/>
  <c r="DL48" i="20"/>
  <c r="DK48" i="20"/>
  <c r="DJ48" i="20"/>
  <c r="DI48" i="20"/>
  <c r="DH48" i="20"/>
  <c r="DG48" i="20"/>
  <c r="DF48" i="20"/>
  <c r="DE48" i="20"/>
  <c r="DD48" i="20"/>
  <c r="DC48" i="20"/>
  <c r="DB48" i="20"/>
  <c r="DA48" i="20"/>
  <c r="CZ48" i="20"/>
  <c r="CY48" i="20"/>
  <c r="CX48" i="20"/>
  <c r="CW48" i="20"/>
  <c r="CV48" i="20"/>
  <c r="CU48" i="20"/>
  <c r="CT48" i="20"/>
  <c r="CS48" i="20"/>
  <c r="CR48" i="20"/>
  <c r="CP48" i="20"/>
  <c r="CQ48" i="20"/>
  <c r="CK47" i="20"/>
  <c r="CJ47" i="20"/>
  <c r="CG47" i="20"/>
  <c r="CF47" i="20"/>
  <c r="CE47" i="20"/>
  <c r="CC47" i="20"/>
  <c r="CB47" i="20"/>
  <c r="BY47" i="20"/>
  <c r="BX47" i="20"/>
  <c r="BU47" i="20"/>
  <c r="BU59" i="20"/>
  <c r="BT47" i="20"/>
  <c r="BS47" i="20"/>
  <c r="BS59" i="20"/>
  <c r="BQ47" i="20"/>
  <c r="BQ59" i="20"/>
  <c r="BP47" i="20"/>
  <c r="BO47" i="20"/>
  <c r="BM47" i="20"/>
  <c r="BL47" i="20"/>
  <c r="BK47" i="20"/>
  <c r="BI47" i="20"/>
  <c r="BH47" i="20"/>
  <c r="BG47" i="20"/>
  <c r="BF47" i="20"/>
  <c r="BE47" i="20"/>
  <c r="BD47" i="20"/>
  <c r="BB47" i="20"/>
  <c r="BB59" i="20"/>
  <c r="BA47" i="20"/>
  <c r="AZ47" i="20"/>
  <c r="AY47" i="20"/>
  <c r="AY59" i="20"/>
  <c r="AX47" i="20"/>
  <c r="AX59" i="20"/>
  <c r="AW47" i="20"/>
  <c r="AV47" i="20"/>
  <c r="AV59" i="20"/>
  <c r="AU47" i="20"/>
  <c r="AT47" i="20"/>
  <c r="AS47" i="20"/>
  <c r="AR47" i="20"/>
  <c r="AQ47" i="20"/>
  <c r="AP47" i="20"/>
  <c r="AO47" i="20"/>
  <c r="AN47" i="20"/>
  <c r="AM47" i="20"/>
  <c r="AL47" i="20"/>
  <c r="AK47" i="20"/>
  <c r="AJ47" i="20"/>
  <c r="AI47" i="20"/>
  <c r="AI59" i="20"/>
  <c r="AH47" i="20"/>
  <c r="AH59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V59" i="20"/>
  <c r="U47" i="20"/>
  <c r="U59" i="20"/>
  <c r="T47" i="20"/>
  <c r="S47" i="20"/>
  <c r="S59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G59" i="20"/>
  <c r="F47" i="20"/>
  <c r="F59" i="20"/>
  <c r="E47" i="20"/>
  <c r="E59" i="20"/>
  <c r="D47" i="20"/>
  <c r="DL46" i="20"/>
  <c r="DK46" i="20"/>
  <c r="DJ46" i="20"/>
  <c r="DI46" i="20"/>
  <c r="DH46" i="20"/>
  <c r="DG46" i="20"/>
  <c r="DF46" i="20"/>
  <c r="DE46" i="20"/>
  <c r="DD46" i="20"/>
  <c r="DC46" i="20"/>
  <c r="DB46" i="20"/>
  <c r="DA46" i="20"/>
  <c r="CZ46" i="20"/>
  <c r="CY46" i="20"/>
  <c r="CX46" i="20"/>
  <c r="CW46" i="20"/>
  <c r="CV46" i="20"/>
  <c r="CU46" i="20"/>
  <c r="CT46" i="20"/>
  <c r="CS46" i="20"/>
  <c r="CR46" i="20"/>
  <c r="DO46" i="20" s="1"/>
  <c r="DO47" i="20" s="1"/>
  <c r="CP46" i="20"/>
  <c r="CQ46" i="20"/>
  <c r="CK45" i="20"/>
  <c r="CJ45" i="20"/>
  <c r="CG45" i="20"/>
  <c r="CF45" i="20"/>
  <c r="CC45" i="20"/>
  <c r="CB45" i="20"/>
  <c r="BY45" i="20"/>
  <c r="BY59" i="20"/>
  <c r="BX45" i="20"/>
  <c r="BU45" i="20"/>
  <c r="BT45" i="20"/>
  <c r="BT59" i="20"/>
  <c r="BQ45" i="20"/>
  <c r="BP45" i="20"/>
  <c r="BO45" i="20"/>
  <c r="BM45" i="20"/>
  <c r="BL45" i="20"/>
  <c r="BK45" i="20"/>
  <c r="BH45" i="20"/>
  <c r="BF45" i="20"/>
  <c r="BF59" i="20"/>
  <c r="BE45" i="20"/>
  <c r="BD45" i="20"/>
  <c r="BD59" i="20"/>
  <c r="BB45" i="20"/>
  <c r="BA45" i="20"/>
  <c r="AZ45" i="20"/>
  <c r="AY45" i="20"/>
  <c r="AX45" i="20"/>
  <c r="AW45" i="20"/>
  <c r="AV45" i="20"/>
  <c r="AU45" i="20"/>
  <c r="AT45" i="20"/>
  <c r="AS45" i="20"/>
  <c r="AR45" i="20"/>
  <c r="AQ45" i="20"/>
  <c r="AP45" i="20"/>
  <c r="AO45" i="20"/>
  <c r="AN45" i="20"/>
  <c r="AM45" i="20"/>
  <c r="AL45" i="20"/>
  <c r="AK45" i="20"/>
  <c r="AK59" i="20"/>
  <c r="AJ45" i="20"/>
  <c r="AI45" i="20"/>
  <c r="AH45" i="20"/>
  <c r="AG45" i="20"/>
  <c r="AF45" i="20"/>
  <c r="AE45" i="20"/>
  <c r="AD45" i="20"/>
  <c r="AC45" i="20"/>
  <c r="AB45" i="20"/>
  <c r="AB59" i="20"/>
  <c r="AA45" i="20"/>
  <c r="Z45" i="20"/>
  <c r="Y45" i="20"/>
  <c r="X45" i="20"/>
  <c r="X59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L59" i="20"/>
  <c r="K45" i="20"/>
  <c r="J45" i="20"/>
  <c r="I45" i="20"/>
  <c r="H45" i="20"/>
  <c r="G45" i="20"/>
  <c r="F45" i="20"/>
  <c r="E45" i="20"/>
  <c r="D45" i="20"/>
  <c r="DL44" i="20"/>
  <c r="DK44" i="20"/>
  <c r="DJ44" i="20"/>
  <c r="DI44" i="20"/>
  <c r="DH44" i="20"/>
  <c r="DG44" i="20"/>
  <c r="DF44" i="20"/>
  <c r="DE44" i="20"/>
  <c r="DD44" i="20"/>
  <c r="DC44" i="20"/>
  <c r="DB44" i="20"/>
  <c r="DA44" i="20"/>
  <c r="CZ44" i="20"/>
  <c r="CY44" i="20"/>
  <c r="CX44" i="20"/>
  <c r="DO44" i="20" s="1"/>
  <c r="CW44" i="20"/>
  <c r="CV44" i="20"/>
  <c r="CU44" i="20"/>
  <c r="CT44" i="20"/>
  <c r="CS44" i="20"/>
  <c r="CR44" i="20"/>
  <c r="CP44" i="20"/>
  <c r="CQ44" i="20"/>
  <c r="DL43" i="20"/>
  <c r="DK43" i="20"/>
  <c r="DJ43" i="20"/>
  <c r="DI43" i="20"/>
  <c r="DH43" i="20"/>
  <c r="DG43" i="20"/>
  <c r="DF43" i="20"/>
  <c r="DE43" i="20"/>
  <c r="DD43" i="20"/>
  <c r="DC43" i="20"/>
  <c r="DB43" i="20"/>
  <c r="DA43" i="20"/>
  <c r="CZ43" i="20"/>
  <c r="CY43" i="20"/>
  <c r="CX43" i="20"/>
  <c r="CW43" i="20"/>
  <c r="CV43" i="20"/>
  <c r="CU43" i="20"/>
  <c r="CT43" i="20"/>
  <c r="CS43" i="20"/>
  <c r="CR43" i="20"/>
  <c r="CP43" i="20"/>
  <c r="CQ43" i="20"/>
  <c r="DO43" i="20" s="1"/>
  <c r="DL42" i="20"/>
  <c r="DK42" i="20"/>
  <c r="DJ42" i="20"/>
  <c r="DI42" i="20"/>
  <c r="DH42" i="20"/>
  <c r="DG42" i="20"/>
  <c r="DF42" i="20"/>
  <c r="DE42" i="20"/>
  <c r="DD42" i="20"/>
  <c r="DC42" i="20"/>
  <c r="DB42" i="20"/>
  <c r="DA42" i="20"/>
  <c r="CZ42" i="20"/>
  <c r="CY42" i="20"/>
  <c r="CX42" i="20"/>
  <c r="CW42" i="20"/>
  <c r="CV42" i="20"/>
  <c r="CU42" i="20"/>
  <c r="CT42" i="20"/>
  <c r="CS42" i="20"/>
  <c r="CR42" i="20"/>
  <c r="CP42" i="20"/>
  <c r="CQ42" i="20"/>
  <c r="DL41" i="20"/>
  <c r="DK41" i="20"/>
  <c r="DJ41" i="20"/>
  <c r="DI41" i="20"/>
  <c r="DH41" i="20"/>
  <c r="DG41" i="20"/>
  <c r="DF41" i="20"/>
  <c r="DE41" i="20"/>
  <c r="DD41" i="20"/>
  <c r="DC41" i="20"/>
  <c r="DB41" i="20"/>
  <c r="DA41" i="20"/>
  <c r="CZ41" i="20"/>
  <c r="CY41" i="20"/>
  <c r="CX41" i="20"/>
  <c r="CW41" i="20"/>
  <c r="CV41" i="20"/>
  <c r="CU41" i="20"/>
  <c r="CT41" i="20"/>
  <c r="DO41" i="20" s="1"/>
  <c r="CS41" i="20"/>
  <c r="CR41" i="20"/>
  <c r="CP41" i="20"/>
  <c r="CQ41" i="20"/>
  <c r="DL40" i="20"/>
  <c r="DK40" i="20"/>
  <c r="DJ40" i="20"/>
  <c r="DI40" i="20"/>
  <c r="DH40" i="20"/>
  <c r="DG40" i="20"/>
  <c r="DF40" i="20"/>
  <c r="DE40" i="20"/>
  <c r="DD40" i="20"/>
  <c r="DC40" i="20"/>
  <c r="DB40" i="20"/>
  <c r="DA40" i="20"/>
  <c r="CZ40" i="20"/>
  <c r="CY40" i="20"/>
  <c r="CX40" i="20"/>
  <c r="CW40" i="20"/>
  <c r="CV40" i="20"/>
  <c r="CU40" i="20"/>
  <c r="CT40" i="20"/>
  <c r="CS40" i="20"/>
  <c r="CR40" i="20"/>
  <c r="CP40" i="20"/>
  <c r="CQ40" i="20"/>
  <c r="DL39" i="20"/>
  <c r="DK39" i="20"/>
  <c r="DJ39" i="20"/>
  <c r="DI39" i="20"/>
  <c r="DH39" i="20"/>
  <c r="DG39" i="20"/>
  <c r="DF39" i="20"/>
  <c r="DE39" i="20"/>
  <c r="DD39" i="20"/>
  <c r="DC39" i="20"/>
  <c r="DB39" i="20"/>
  <c r="DA39" i="20"/>
  <c r="CZ39" i="20"/>
  <c r="CY39" i="20"/>
  <c r="CX39" i="20"/>
  <c r="CW39" i="20"/>
  <c r="CV39" i="20"/>
  <c r="CU39" i="20"/>
  <c r="CT39" i="20"/>
  <c r="CS39" i="20"/>
  <c r="CR39" i="20"/>
  <c r="CP39" i="20"/>
  <c r="CQ39" i="20"/>
  <c r="DO39" i="20" s="1"/>
  <c r="DL38" i="20"/>
  <c r="DK38" i="20"/>
  <c r="DJ38" i="20"/>
  <c r="DI38" i="20"/>
  <c r="DH38" i="20"/>
  <c r="DG38" i="20"/>
  <c r="DF38" i="20"/>
  <c r="DE38" i="20"/>
  <c r="DD38" i="20"/>
  <c r="DC38" i="20"/>
  <c r="DB38" i="20"/>
  <c r="DA38" i="20"/>
  <c r="CZ38" i="20"/>
  <c r="CY38" i="20"/>
  <c r="CX38" i="20"/>
  <c r="CW38" i="20"/>
  <c r="CV38" i="20"/>
  <c r="CU38" i="20"/>
  <c r="CT38" i="20"/>
  <c r="CS38" i="20"/>
  <c r="DO38" i="20" s="1"/>
  <c r="CR38" i="20"/>
  <c r="CP38" i="20"/>
  <c r="CQ38" i="20"/>
  <c r="DL37" i="20"/>
  <c r="DK37" i="20"/>
  <c r="DJ37" i="20"/>
  <c r="DI37" i="20"/>
  <c r="DH37" i="20"/>
  <c r="DG37" i="20"/>
  <c r="DF37" i="20"/>
  <c r="DE37" i="20"/>
  <c r="DD37" i="20"/>
  <c r="DC37" i="20"/>
  <c r="DB37" i="20"/>
  <c r="DA37" i="20"/>
  <c r="CZ37" i="20"/>
  <c r="CY37" i="20"/>
  <c r="CX37" i="20"/>
  <c r="CW37" i="20"/>
  <c r="CV37" i="20"/>
  <c r="CU37" i="20"/>
  <c r="CT37" i="20"/>
  <c r="CS37" i="20"/>
  <c r="CR37" i="20"/>
  <c r="CP37" i="20"/>
  <c r="CQ37" i="20"/>
  <c r="DO37" i="20" s="1"/>
  <c r="DL35" i="20"/>
  <c r="DK35" i="20"/>
  <c r="DJ35" i="20"/>
  <c r="DI35" i="20"/>
  <c r="DH35" i="20"/>
  <c r="DG35" i="20"/>
  <c r="DF35" i="20"/>
  <c r="DD35" i="20"/>
  <c r="DC35" i="20"/>
  <c r="DB35" i="20"/>
  <c r="DA35" i="20"/>
  <c r="CZ35" i="20"/>
  <c r="CY35" i="20"/>
  <c r="CX35" i="20"/>
  <c r="CW35" i="20"/>
  <c r="CV35" i="20"/>
  <c r="CU35" i="20"/>
  <c r="CT35" i="20"/>
  <c r="CS35" i="20"/>
  <c r="CR35" i="20"/>
  <c r="DO35" i="20" s="1"/>
  <c r="CP35" i="20"/>
  <c r="CQ35" i="20"/>
  <c r="BI35" i="20"/>
  <c r="BG35" i="20"/>
  <c r="DL34" i="20"/>
  <c r="DK34" i="20"/>
  <c r="DJ34" i="20"/>
  <c r="DI34" i="20"/>
  <c r="DH34" i="20"/>
  <c r="DG34" i="20"/>
  <c r="DF34" i="20"/>
  <c r="DE34" i="20"/>
  <c r="DD34" i="20"/>
  <c r="DC34" i="20"/>
  <c r="DB34" i="20"/>
  <c r="DA34" i="20"/>
  <c r="CZ34" i="20"/>
  <c r="CY34" i="20"/>
  <c r="CX34" i="20"/>
  <c r="CW34" i="20"/>
  <c r="CV34" i="20"/>
  <c r="CU34" i="20"/>
  <c r="CT34" i="20"/>
  <c r="CS34" i="20"/>
  <c r="CR34" i="20"/>
  <c r="DO34" i="20" s="1"/>
  <c r="CP34" i="20"/>
  <c r="CQ34" i="20"/>
  <c r="DL33" i="20"/>
  <c r="DK33" i="20"/>
  <c r="DJ33" i="20"/>
  <c r="DI33" i="20"/>
  <c r="DH33" i="20"/>
  <c r="DG33" i="20"/>
  <c r="DF33" i="20"/>
  <c r="DD33" i="20"/>
  <c r="DC33" i="20"/>
  <c r="DB33" i="20"/>
  <c r="DA33" i="20"/>
  <c r="CZ33" i="20"/>
  <c r="CY33" i="20"/>
  <c r="CX33" i="20"/>
  <c r="CW33" i="20"/>
  <c r="CV33" i="20"/>
  <c r="CU33" i="20"/>
  <c r="CT33" i="20"/>
  <c r="CS33" i="20"/>
  <c r="CR33" i="20"/>
  <c r="CP33" i="20"/>
  <c r="CQ33" i="20"/>
  <c r="BI33" i="20"/>
  <c r="BG33" i="20"/>
  <c r="DE33" i="20"/>
  <c r="DL31" i="20"/>
  <c r="DK31" i="20"/>
  <c r="DJ31" i="20"/>
  <c r="DI31" i="20"/>
  <c r="DH31" i="20"/>
  <c r="DG31" i="20"/>
  <c r="DF31" i="20"/>
  <c r="DE31" i="20"/>
  <c r="DD31" i="20"/>
  <c r="DC31" i="20"/>
  <c r="DB31" i="20"/>
  <c r="DA31" i="20"/>
  <c r="CZ31" i="20"/>
  <c r="CY31" i="20"/>
  <c r="CX31" i="20"/>
  <c r="CW31" i="20"/>
  <c r="CV31" i="20"/>
  <c r="CU31" i="20"/>
  <c r="CT31" i="20"/>
  <c r="CS31" i="20"/>
  <c r="CR31" i="20"/>
  <c r="CP31" i="20"/>
  <c r="CQ31" i="20"/>
  <c r="DL30" i="20"/>
  <c r="DK30" i="20"/>
  <c r="DJ30" i="20"/>
  <c r="DI30" i="20"/>
  <c r="DH30" i="20"/>
  <c r="DG30" i="20"/>
  <c r="DF30" i="20"/>
  <c r="DE30" i="20"/>
  <c r="DD30" i="20"/>
  <c r="DC30" i="20"/>
  <c r="DB30" i="20"/>
  <c r="DA30" i="20"/>
  <c r="CZ30" i="20"/>
  <c r="CY30" i="20"/>
  <c r="CX30" i="20"/>
  <c r="CW30" i="20"/>
  <c r="CV30" i="20"/>
  <c r="CU30" i="20"/>
  <c r="CT30" i="20"/>
  <c r="CS30" i="20"/>
  <c r="CR30" i="20"/>
  <c r="DO30" i="20" s="1"/>
  <c r="CP30" i="20"/>
  <c r="CQ30" i="20"/>
  <c r="DL29" i="20"/>
  <c r="DK29" i="20"/>
  <c r="DJ29" i="20"/>
  <c r="DI29" i="20"/>
  <c r="DH29" i="20"/>
  <c r="DG29" i="20"/>
  <c r="DF29" i="20"/>
  <c r="DD29" i="20"/>
  <c r="DC29" i="20"/>
  <c r="DB29" i="20"/>
  <c r="DA29" i="20"/>
  <c r="CZ29" i="20"/>
  <c r="CY29" i="20"/>
  <c r="CX29" i="20"/>
  <c r="CW29" i="20"/>
  <c r="CV29" i="20"/>
  <c r="CU29" i="20"/>
  <c r="CT29" i="20"/>
  <c r="CS29" i="20"/>
  <c r="CR29" i="20"/>
  <c r="CP29" i="20"/>
  <c r="CQ29" i="20"/>
  <c r="DO29" i="20" s="1"/>
  <c r="BG29" i="20"/>
  <c r="DL28" i="20"/>
  <c r="DK28" i="20"/>
  <c r="DJ28" i="20"/>
  <c r="DI28" i="20"/>
  <c r="DH28" i="20"/>
  <c r="DG28" i="20"/>
  <c r="DF28" i="20"/>
  <c r="DE28" i="20"/>
  <c r="DD28" i="20"/>
  <c r="DC28" i="20"/>
  <c r="DB28" i="20"/>
  <c r="DA28" i="20"/>
  <c r="CZ28" i="20"/>
  <c r="CY28" i="20"/>
  <c r="CX28" i="20"/>
  <c r="CW28" i="20"/>
  <c r="CV28" i="20"/>
  <c r="DO28" i="20" s="1"/>
  <c r="CU28" i="20"/>
  <c r="CT28" i="20"/>
  <c r="CS28" i="20"/>
  <c r="CR28" i="20"/>
  <c r="CP28" i="20"/>
  <c r="CQ28" i="20"/>
  <c r="DL27" i="20"/>
  <c r="DK27" i="20"/>
  <c r="DJ27" i="20"/>
  <c r="DI27" i="20"/>
  <c r="DH27" i="20"/>
  <c r="DG27" i="20"/>
  <c r="DF27" i="20"/>
  <c r="DE27" i="20"/>
  <c r="DD27" i="20"/>
  <c r="DC27" i="20"/>
  <c r="DB27" i="20"/>
  <c r="DA27" i="20"/>
  <c r="CZ27" i="20"/>
  <c r="CY27" i="20"/>
  <c r="CX27" i="20"/>
  <c r="CW27" i="20"/>
  <c r="CV27" i="20"/>
  <c r="CU27" i="20"/>
  <c r="CT27" i="20"/>
  <c r="CS27" i="20"/>
  <c r="CR27" i="20"/>
  <c r="CP27" i="20"/>
  <c r="CQ27" i="20"/>
  <c r="DO27" i="20" s="1"/>
  <c r="DL26" i="20"/>
  <c r="DK26" i="20"/>
  <c r="DJ26" i="20"/>
  <c r="DI26" i="20"/>
  <c r="DH26" i="20"/>
  <c r="DG26" i="20"/>
  <c r="DF26" i="20"/>
  <c r="DD26" i="20"/>
  <c r="DC26" i="20"/>
  <c r="DB26" i="20"/>
  <c r="DA26" i="20"/>
  <c r="CZ26" i="20"/>
  <c r="CY26" i="20"/>
  <c r="CX26" i="20"/>
  <c r="CW26" i="20"/>
  <c r="CV26" i="20"/>
  <c r="CU26" i="20"/>
  <c r="CT26" i="20"/>
  <c r="CS26" i="20"/>
  <c r="CR26" i="20"/>
  <c r="CP26" i="20"/>
  <c r="CQ26" i="20"/>
  <c r="BG26" i="20"/>
  <c r="DL25" i="20"/>
  <c r="DK25" i="20"/>
  <c r="DJ25" i="20"/>
  <c r="DI25" i="20"/>
  <c r="DH25" i="20"/>
  <c r="DG25" i="20"/>
  <c r="DF25" i="20"/>
  <c r="DD25" i="20"/>
  <c r="DC25" i="20"/>
  <c r="DB25" i="20"/>
  <c r="DA25" i="20"/>
  <c r="CZ25" i="20"/>
  <c r="CY25" i="20"/>
  <c r="CX25" i="20"/>
  <c r="CW25" i="20"/>
  <c r="CV25" i="20"/>
  <c r="CU25" i="20"/>
  <c r="CT25" i="20"/>
  <c r="CS25" i="20"/>
  <c r="CR25" i="20"/>
  <c r="CP25" i="20"/>
  <c r="CQ25" i="20"/>
  <c r="BI25" i="20"/>
  <c r="BG25" i="20"/>
  <c r="DL24" i="20"/>
  <c r="DK24" i="20"/>
  <c r="DJ24" i="20"/>
  <c r="DI24" i="20"/>
  <c r="DH24" i="20"/>
  <c r="DG24" i="20"/>
  <c r="DF24" i="20"/>
  <c r="DE24" i="20"/>
  <c r="DD24" i="20"/>
  <c r="DC24" i="20"/>
  <c r="DB24" i="20"/>
  <c r="DA24" i="20"/>
  <c r="CZ24" i="20"/>
  <c r="CY24" i="20"/>
  <c r="CX24" i="20"/>
  <c r="CW24" i="20"/>
  <c r="CV24" i="20"/>
  <c r="CU24" i="20"/>
  <c r="CT24" i="20"/>
  <c r="CS24" i="20"/>
  <c r="DO24" i="20" s="1"/>
  <c r="CR24" i="20"/>
  <c r="CP24" i="20"/>
  <c r="CQ24" i="20"/>
  <c r="DL23" i="20"/>
  <c r="DK23" i="20"/>
  <c r="DJ23" i="20"/>
  <c r="DI23" i="20"/>
  <c r="DH23" i="20"/>
  <c r="DG23" i="20"/>
  <c r="DF23" i="20"/>
  <c r="DE23" i="20"/>
  <c r="DD23" i="20"/>
  <c r="DC23" i="20"/>
  <c r="DB23" i="20"/>
  <c r="DA23" i="20"/>
  <c r="CZ23" i="20"/>
  <c r="CY23" i="20"/>
  <c r="CX23" i="20"/>
  <c r="CW23" i="20"/>
  <c r="CV23" i="20"/>
  <c r="CU23" i="20"/>
  <c r="CT23" i="20"/>
  <c r="CS23" i="20"/>
  <c r="CR23" i="20"/>
  <c r="CP23" i="20"/>
  <c r="CQ23" i="20"/>
  <c r="DL22" i="20"/>
  <c r="DK22" i="20"/>
  <c r="DJ22" i="20"/>
  <c r="DI22" i="20"/>
  <c r="DH22" i="20"/>
  <c r="DG22" i="20"/>
  <c r="DF22" i="20"/>
  <c r="DE22" i="20"/>
  <c r="DD22" i="20"/>
  <c r="DC22" i="20"/>
  <c r="DB22" i="20"/>
  <c r="DA22" i="20"/>
  <c r="CZ22" i="20"/>
  <c r="CY22" i="20"/>
  <c r="CX22" i="20"/>
  <c r="CW22" i="20"/>
  <c r="CV22" i="20"/>
  <c r="CU22" i="20"/>
  <c r="CT22" i="20"/>
  <c r="CS22" i="20"/>
  <c r="CR22" i="20"/>
  <c r="CP22" i="20"/>
  <c r="CQ22" i="20"/>
  <c r="DL21" i="20"/>
  <c r="DK21" i="20"/>
  <c r="DJ21" i="20"/>
  <c r="DI21" i="20"/>
  <c r="DH21" i="20"/>
  <c r="DG21" i="20"/>
  <c r="DF21" i="20"/>
  <c r="DE21" i="20"/>
  <c r="DD21" i="20"/>
  <c r="DC21" i="20"/>
  <c r="DB21" i="20"/>
  <c r="DA21" i="20"/>
  <c r="CZ21" i="20"/>
  <c r="CY21" i="20"/>
  <c r="CX21" i="20"/>
  <c r="CW21" i="20"/>
  <c r="CV21" i="20"/>
  <c r="CU21" i="20"/>
  <c r="CT21" i="20"/>
  <c r="CS21" i="20"/>
  <c r="CR21" i="20"/>
  <c r="DO21" i="20" s="1"/>
  <c r="CP21" i="20"/>
  <c r="CQ21" i="20"/>
  <c r="DL20" i="20"/>
  <c r="DK20" i="20"/>
  <c r="DJ20" i="20"/>
  <c r="DI20" i="20"/>
  <c r="DH20" i="20"/>
  <c r="DG20" i="20"/>
  <c r="DF20" i="20"/>
  <c r="DE20" i="20"/>
  <c r="DD20" i="20"/>
  <c r="DC20" i="20"/>
  <c r="DB20" i="20"/>
  <c r="DA20" i="20"/>
  <c r="CZ20" i="20"/>
  <c r="CY20" i="20"/>
  <c r="CX20" i="20"/>
  <c r="CW20" i="20"/>
  <c r="CV20" i="20"/>
  <c r="CU20" i="20"/>
  <c r="CT20" i="20"/>
  <c r="CS20" i="20"/>
  <c r="CR20" i="20"/>
  <c r="CP20" i="20"/>
  <c r="CQ20" i="20"/>
  <c r="DO20" i="20" s="1"/>
  <c r="DL19" i="20"/>
  <c r="DK19" i="20"/>
  <c r="DJ19" i="20"/>
  <c r="DI19" i="20"/>
  <c r="DH19" i="20"/>
  <c r="DG19" i="20"/>
  <c r="DF19" i="20"/>
  <c r="DD19" i="20"/>
  <c r="DC19" i="20"/>
  <c r="DB19" i="20"/>
  <c r="DA19" i="20"/>
  <c r="CZ19" i="20"/>
  <c r="CY19" i="20"/>
  <c r="CX19" i="20"/>
  <c r="CW19" i="20"/>
  <c r="CV19" i="20"/>
  <c r="CU19" i="20"/>
  <c r="CT19" i="20"/>
  <c r="CS19" i="20"/>
  <c r="CR19" i="20"/>
  <c r="CP19" i="20"/>
  <c r="CQ19" i="20"/>
  <c r="DO19" i="20"/>
  <c r="BI19" i="20"/>
  <c r="BG19" i="20"/>
  <c r="DL17" i="20"/>
  <c r="DK17" i="20"/>
  <c r="DJ17" i="20"/>
  <c r="DI17" i="20"/>
  <c r="DH17" i="20"/>
  <c r="DG17" i="20"/>
  <c r="DF17" i="20"/>
  <c r="DE17" i="20"/>
  <c r="DD17" i="20"/>
  <c r="DC17" i="20"/>
  <c r="DB17" i="20"/>
  <c r="DA17" i="20"/>
  <c r="CZ17" i="20"/>
  <c r="CY17" i="20"/>
  <c r="DO17" i="20" s="1"/>
  <c r="CX17" i="20"/>
  <c r="CW17" i="20"/>
  <c r="CV17" i="20"/>
  <c r="CU17" i="20"/>
  <c r="CT17" i="20"/>
  <c r="CS17" i="20"/>
  <c r="CR17" i="20"/>
  <c r="CP17" i="20"/>
  <c r="CQ17" i="20"/>
  <c r="DL16" i="20"/>
  <c r="DK16" i="20"/>
  <c r="DJ16" i="20"/>
  <c r="DI16" i="20"/>
  <c r="DH16" i="20"/>
  <c r="DG16" i="20"/>
  <c r="DF16" i="20"/>
  <c r="DE16" i="20"/>
  <c r="DD16" i="20"/>
  <c r="DC16" i="20"/>
  <c r="DB16" i="20"/>
  <c r="DA16" i="20"/>
  <c r="CZ16" i="20"/>
  <c r="CY16" i="20"/>
  <c r="CX16" i="20"/>
  <c r="CW16" i="20"/>
  <c r="CV16" i="20"/>
  <c r="CU16" i="20"/>
  <c r="CT16" i="20"/>
  <c r="CS16" i="20"/>
  <c r="CR16" i="20"/>
  <c r="DO16" i="20" s="1"/>
  <c r="CP16" i="20"/>
  <c r="CQ16" i="20"/>
  <c r="DL15" i="20"/>
  <c r="DK15" i="20"/>
  <c r="DJ15" i="20"/>
  <c r="DI15" i="20"/>
  <c r="DH15" i="20"/>
  <c r="DG15" i="20"/>
  <c r="DF15" i="20"/>
  <c r="DE15" i="20"/>
  <c r="DD15" i="20"/>
  <c r="DC15" i="20"/>
  <c r="DB15" i="20"/>
  <c r="DA15" i="20"/>
  <c r="CZ15" i="20"/>
  <c r="CY15" i="20"/>
  <c r="CX15" i="20"/>
  <c r="DO15" i="20" s="1"/>
  <c r="CW15" i="20"/>
  <c r="CV15" i="20"/>
  <c r="CU15" i="20"/>
  <c r="CT15" i="20"/>
  <c r="CS15" i="20"/>
  <c r="CR15" i="20"/>
  <c r="CP15" i="20"/>
  <c r="CQ15" i="20"/>
  <c r="CK13" i="20"/>
  <c r="CK59" i="20"/>
  <c r="CJ13" i="20"/>
  <c r="CG13" i="20"/>
  <c r="CG59" i="20"/>
  <c r="CF13" i="20"/>
  <c r="CC13" i="20"/>
  <c r="CB13" i="20"/>
  <c r="BY13" i="20"/>
  <c r="BX13" i="20"/>
  <c r="BU13" i="20"/>
  <c r="BT13" i="20"/>
  <c r="BS13" i="20"/>
  <c r="BQ13" i="20"/>
  <c r="BP13" i="20"/>
  <c r="BO13" i="20"/>
  <c r="BM13" i="20"/>
  <c r="BM59" i="20"/>
  <c r="BL13" i="20"/>
  <c r="BK13" i="20"/>
  <c r="BI13" i="20"/>
  <c r="BH13" i="20"/>
  <c r="BG13" i="20"/>
  <c r="BF13" i="20"/>
  <c r="BE13" i="20"/>
  <c r="BD13" i="20"/>
  <c r="BB13" i="20"/>
  <c r="BA13" i="20"/>
  <c r="AZ13" i="20"/>
  <c r="AY13" i="20"/>
  <c r="AX13" i="20"/>
  <c r="AW13" i="20"/>
  <c r="AV13" i="20"/>
  <c r="AU13" i="20"/>
  <c r="AU59" i="20"/>
  <c r="AT13" i="20"/>
  <c r="AS13" i="20"/>
  <c r="AR13" i="20"/>
  <c r="AR59" i="20"/>
  <c r="AQ13" i="20"/>
  <c r="AP13" i="20"/>
  <c r="AO13" i="20"/>
  <c r="AN13" i="20"/>
  <c r="AM13" i="20"/>
  <c r="AL13" i="20"/>
  <c r="AK13" i="20"/>
  <c r="AJ13" i="20"/>
  <c r="AI13" i="20"/>
  <c r="AH13" i="20"/>
  <c r="AG13" i="20"/>
  <c r="AF13" i="20"/>
  <c r="AE13" i="20"/>
  <c r="AE59" i="20"/>
  <c r="AD13" i="20"/>
  <c r="AC13" i="20"/>
  <c r="AB13" i="20"/>
  <c r="AA13" i="20"/>
  <c r="Z13" i="20"/>
  <c r="Z59" i="20"/>
  <c r="Y13" i="20"/>
  <c r="X13" i="20"/>
  <c r="W13" i="20"/>
  <c r="V13" i="20"/>
  <c r="U13" i="20"/>
  <c r="T13" i="20"/>
  <c r="S13" i="20"/>
  <c r="R13" i="20"/>
  <c r="Q13" i="20"/>
  <c r="Q59" i="20"/>
  <c r="P13" i="20"/>
  <c r="P59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DL12" i="20"/>
  <c r="DK12" i="20"/>
  <c r="DJ12" i="20"/>
  <c r="DI12" i="20"/>
  <c r="DH12" i="20"/>
  <c r="DG12" i="20"/>
  <c r="DF12" i="20"/>
  <c r="DE12" i="20"/>
  <c r="DD12" i="20"/>
  <c r="DC12" i="20"/>
  <c r="DB12" i="20"/>
  <c r="DA12" i="20"/>
  <c r="CZ12" i="20"/>
  <c r="CY12" i="20"/>
  <c r="CX12" i="20"/>
  <c r="CW12" i="20"/>
  <c r="CV12" i="20"/>
  <c r="CU12" i="20"/>
  <c r="CT12" i="20"/>
  <c r="CS12" i="20"/>
  <c r="DO12" i="20" s="1"/>
  <c r="CR12" i="20"/>
  <c r="CP12" i="20"/>
  <c r="CQ12" i="20"/>
  <c r="DL11" i="20"/>
  <c r="DK11" i="20"/>
  <c r="DJ11" i="20"/>
  <c r="DI11" i="20"/>
  <c r="DH11" i="20"/>
  <c r="DG11" i="20"/>
  <c r="DF11" i="20"/>
  <c r="DE11" i="20"/>
  <c r="DD11" i="20"/>
  <c r="DC11" i="20"/>
  <c r="DB11" i="20"/>
  <c r="DA11" i="20"/>
  <c r="CZ11" i="20"/>
  <c r="CY11" i="20"/>
  <c r="CX11" i="20"/>
  <c r="CW11" i="20"/>
  <c r="CV11" i="20"/>
  <c r="CU11" i="20"/>
  <c r="CT11" i="20"/>
  <c r="CS11" i="20"/>
  <c r="CR11" i="20"/>
  <c r="DO11" i="20" s="1"/>
  <c r="CP11" i="20"/>
  <c r="CQ11" i="20"/>
  <c r="DL10" i="20"/>
  <c r="DK10" i="20"/>
  <c r="DJ10" i="20"/>
  <c r="DI10" i="20"/>
  <c r="DH10" i="20"/>
  <c r="DG10" i="20"/>
  <c r="DF10" i="20"/>
  <c r="DE10" i="20"/>
  <c r="DD10" i="20"/>
  <c r="DC10" i="20"/>
  <c r="DB10" i="20"/>
  <c r="DA10" i="20"/>
  <c r="CZ10" i="20"/>
  <c r="CY10" i="20"/>
  <c r="CX10" i="20"/>
  <c r="CW10" i="20"/>
  <c r="CV10" i="20"/>
  <c r="CU10" i="20"/>
  <c r="CT10" i="20"/>
  <c r="CS10" i="20"/>
  <c r="CR10" i="20"/>
  <c r="DO10" i="20" s="1"/>
  <c r="CP10" i="20"/>
  <c r="CQ10" i="20"/>
  <c r="DL9" i="20"/>
  <c r="DK9" i="20"/>
  <c r="DJ9" i="20"/>
  <c r="DI9" i="20"/>
  <c r="DH9" i="20"/>
  <c r="DG9" i="20"/>
  <c r="DF9" i="20"/>
  <c r="DE9" i="20"/>
  <c r="DD9" i="20"/>
  <c r="DC9" i="20"/>
  <c r="DB9" i="20"/>
  <c r="DA9" i="20"/>
  <c r="CZ9" i="20"/>
  <c r="CY9" i="20"/>
  <c r="CX9" i="20"/>
  <c r="CW9" i="20"/>
  <c r="CV9" i="20"/>
  <c r="CU9" i="20"/>
  <c r="CT9" i="20"/>
  <c r="CS9" i="20"/>
  <c r="CR9" i="20"/>
  <c r="CP9" i="20"/>
  <c r="CQ9" i="20"/>
  <c r="DO9" i="20" s="1"/>
  <c r="DL8" i="20"/>
  <c r="DK8" i="20"/>
  <c r="DJ8" i="20"/>
  <c r="DI8" i="20"/>
  <c r="DH8" i="20"/>
  <c r="DG8" i="20"/>
  <c r="DF8" i="20"/>
  <c r="DE8" i="20"/>
  <c r="DD8" i="20"/>
  <c r="DC8" i="20"/>
  <c r="DB8" i="20"/>
  <c r="DA8" i="20"/>
  <c r="CZ8" i="20"/>
  <c r="CY8" i="20"/>
  <c r="CX8" i="20"/>
  <c r="CW8" i="20"/>
  <c r="CV8" i="20"/>
  <c r="CU8" i="20"/>
  <c r="CT8" i="20"/>
  <c r="CS8" i="20"/>
  <c r="CR8" i="20"/>
  <c r="CP8" i="20"/>
  <c r="CQ8" i="20"/>
  <c r="DL7" i="20"/>
  <c r="DK7" i="20"/>
  <c r="DJ7" i="20"/>
  <c r="DI7" i="20"/>
  <c r="DH7" i="20"/>
  <c r="DG7" i="20"/>
  <c r="DF7" i="20"/>
  <c r="DE7" i="20"/>
  <c r="DD7" i="20"/>
  <c r="DC7" i="20"/>
  <c r="DB7" i="20"/>
  <c r="DA7" i="20"/>
  <c r="CZ7" i="20"/>
  <c r="CY7" i="20"/>
  <c r="CX7" i="20"/>
  <c r="CW7" i="20"/>
  <c r="CV7" i="20"/>
  <c r="CU7" i="20"/>
  <c r="CT7" i="20"/>
  <c r="CS7" i="20"/>
  <c r="CR7" i="20"/>
  <c r="CP7" i="20"/>
  <c r="CQ7" i="20"/>
  <c r="DL6" i="20"/>
  <c r="DK6" i="20"/>
  <c r="DJ6" i="20"/>
  <c r="DI6" i="20"/>
  <c r="DH6" i="20"/>
  <c r="DG6" i="20"/>
  <c r="DF6" i="20"/>
  <c r="DE6" i="20"/>
  <c r="DD6" i="20"/>
  <c r="DC6" i="20"/>
  <c r="DB6" i="20"/>
  <c r="DA6" i="20"/>
  <c r="CZ6" i="20"/>
  <c r="CY6" i="20"/>
  <c r="CX6" i="20"/>
  <c r="CW6" i="20"/>
  <c r="CV6" i="20"/>
  <c r="CU6" i="20"/>
  <c r="CT6" i="20"/>
  <c r="CS6" i="20"/>
  <c r="CR6" i="20"/>
  <c r="CP6" i="20"/>
  <c r="CQ6" i="20"/>
  <c r="DL5" i="20"/>
  <c r="DK5" i="20"/>
  <c r="DJ5" i="20"/>
  <c r="DI5" i="20"/>
  <c r="DH5" i="20"/>
  <c r="DG5" i="20"/>
  <c r="DF5" i="20"/>
  <c r="DE5" i="20"/>
  <c r="DD5" i="20"/>
  <c r="DC5" i="20"/>
  <c r="DB5" i="20"/>
  <c r="DA5" i="20"/>
  <c r="CZ5" i="20"/>
  <c r="CY5" i="20"/>
  <c r="CX5" i="20"/>
  <c r="CW5" i="20"/>
  <c r="CV5" i="20"/>
  <c r="CU5" i="20"/>
  <c r="CT5" i="20"/>
  <c r="CS5" i="20"/>
  <c r="CR5" i="20"/>
  <c r="CP5" i="20"/>
  <c r="CQ5" i="20"/>
  <c r="BY58" i="15"/>
  <c r="BX58" i="15"/>
  <c r="CY58" i="15"/>
  <c r="BY47" i="15"/>
  <c r="BX47" i="15"/>
  <c r="BY45" i="15"/>
  <c r="BX45" i="15"/>
  <c r="CY45" i="15"/>
  <c r="BY13" i="15"/>
  <c r="BX13" i="15"/>
  <c r="BY58" i="19"/>
  <c r="BY59" i="19"/>
  <c r="BX58" i="19"/>
  <c r="BY47" i="19"/>
  <c r="BX47" i="19"/>
  <c r="BY45" i="19"/>
  <c r="BX45" i="19"/>
  <c r="BY13" i="19"/>
  <c r="BX13" i="19"/>
  <c r="BY58" i="18"/>
  <c r="BX58" i="18"/>
  <c r="BY47" i="18"/>
  <c r="BX47" i="18"/>
  <c r="BY45" i="18"/>
  <c r="BX45" i="18"/>
  <c r="BY13" i="18"/>
  <c r="BX13" i="18"/>
  <c r="CC58" i="19"/>
  <c r="CC59" i="19"/>
  <c r="CB58" i="19"/>
  <c r="CC47" i="19"/>
  <c r="CB47" i="19"/>
  <c r="CC45" i="19"/>
  <c r="CB45" i="19"/>
  <c r="CC13" i="19"/>
  <c r="CB13" i="19"/>
  <c r="CC58" i="18"/>
  <c r="CC59" i="18"/>
  <c r="CB58" i="18"/>
  <c r="CC47" i="18"/>
  <c r="CB47" i="18"/>
  <c r="CC45" i="18"/>
  <c r="CB45" i="18"/>
  <c r="CC13" i="18"/>
  <c r="CB13" i="18"/>
  <c r="CG58" i="18"/>
  <c r="CF58" i="18"/>
  <c r="CG47" i="18"/>
  <c r="CF47" i="18"/>
  <c r="CG45" i="18"/>
  <c r="CF45" i="18"/>
  <c r="CG13" i="18"/>
  <c r="CF13" i="18"/>
  <c r="CG58" i="17"/>
  <c r="CG59" i="17"/>
  <c r="CF58" i="17"/>
  <c r="CG47" i="17"/>
  <c r="CF47" i="17"/>
  <c r="CG45" i="17"/>
  <c r="CF45" i="17"/>
  <c r="CG13" i="17"/>
  <c r="CF13" i="17"/>
  <c r="CX5" i="19"/>
  <c r="CX6" i="19"/>
  <c r="CX7" i="19"/>
  <c r="CX8" i="19"/>
  <c r="CX9" i="19"/>
  <c r="CX10" i="19"/>
  <c r="CX11" i="19"/>
  <c r="CX12" i="19"/>
  <c r="CX15" i="19"/>
  <c r="CX16" i="19"/>
  <c r="CX17" i="19"/>
  <c r="CX19" i="19"/>
  <c r="CX20" i="19"/>
  <c r="CX21" i="19"/>
  <c r="CX22" i="19"/>
  <c r="CX23" i="19"/>
  <c r="CX24" i="19"/>
  <c r="CX25" i="19"/>
  <c r="CX26" i="19"/>
  <c r="CX27" i="19"/>
  <c r="CX28" i="19"/>
  <c r="CX29" i="19"/>
  <c r="CX30" i="19"/>
  <c r="CX31" i="19"/>
  <c r="CX33" i="19"/>
  <c r="CX34" i="19"/>
  <c r="CX35" i="19"/>
  <c r="CX37" i="19"/>
  <c r="CX38" i="19"/>
  <c r="CX39" i="19"/>
  <c r="CX40" i="19"/>
  <c r="CX41" i="19"/>
  <c r="CX42" i="19"/>
  <c r="CX43" i="19"/>
  <c r="CX44" i="19"/>
  <c r="CX46" i="19"/>
  <c r="CX48" i="19"/>
  <c r="CX49" i="19"/>
  <c r="CX50" i="19"/>
  <c r="CX51" i="19"/>
  <c r="CX52" i="19"/>
  <c r="CX53" i="19"/>
  <c r="CX54" i="19"/>
  <c r="CX55" i="19"/>
  <c r="CX56" i="19"/>
  <c r="CX57" i="19"/>
  <c r="BU58" i="19"/>
  <c r="BU59" i="19"/>
  <c r="BT58" i="19"/>
  <c r="BS58" i="19"/>
  <c r="BQ58" i="19"/>
  <c r="BP58" i="19"/>
  <c r="BO58" i="19"/>
  <c r="BM58" i="19"/>
  <c r="BL58" i="19"/>
  <c r="BK58" i="19"/>
  <c r="BK59" i="19"/>
  <c r="BI58" i="19"/>
  <c r="BI59" i="19"/>
  <c r="BH58" i="19"/>
  <c r="BF58" i="19"/>
  <c r="BE58" i="19"/>
  <c r="BD58" i="19"/>
  <c r="BB58" i="19"/>
  <c r="BA58" i="19"/>
  <c r="AZ58" i="19"/>
  <c r="AY58" i="19"/>
  <c r="AX58" i="19"/>
  <c r="AW58" i="19"/>
  <c r="AV58" i="19"/>
  <c r="AU58" i="19"/>
  <c r="AT58" i="19"/>
  <c r="AT59" i="19"/>
  <c r="AS58" i="19"/>
  <c r="AR58" i="19"/>
  <c r="AR59" i="19"/>
  <c r="AQ58" i="19"/>
  <c r="AP58" i="19"/>
  <c r="AO58" i="19"/>
  <c r="AN58" i="19"/>
  <c r="AM58" i="19"/>
  <c r="AL58" i="19"/>
  <c r="AK58" i="19"/>
  <c r="AJ58" i="19"/>
  <c r="AI58" i="19"/>
  <c r="AH58" i="19"/>
  <c r="AG58" i="19"/>
  <c r="AF58" i="19"/>
  <c r="AE58" i="19"/>
  <c r="AE59" i="19"/>
  <c r="AD58" i="19"/>
  <c r="AC58" i="19"/>
  <c r="AB58" i="19"/>
  <c r="AA58" i="19"/>
  <c r="Z58" i="19"/>
  <c r="Z59" i="19"/>
  <c r="Y58" i="19"/>
  <c r="X58" i="19"/>
  <c r="W58" i="19"/>
  <c r="V58" i="19"/>
  <c r="U58" i="19"/>
  <c r="T58" i="19"/>
  <c r="S58" i="19"/>
  <c r="R58" i="19"/>
  <c r="Q58" i="19"/>
  <c r="Q59" i="19"/>
  <c r="P58" i="19"/>
  <c r="P59" i="19"/>
  <c r="O58" i="19"/>
  <c r="N58" i="19"/>
  <c r="M58" i="19"/>
  <c r="L58" i="19"/>
  <c r="L59" i="19"/>
  <c r="K58" i="19"/>
  <c r="J58" i="19"/>
  <c r="I58" i="19"/>
  <c r="H58" i="19"/>
  <c r="G58" i="19"/>
  <c r="F58" i="19"/>
  <c r="E58" i="19"/>
  <c r="D58" i="19"/>
  <c r="CW57" i="19"/>
  <c r="CV57" i="19"/>
  <c r="CU57" i="19"/>
  <c r="CT57" i="19"/>
  <c r="CS57" i="19"/>
  <c r="CR57" i="19"/>
  <c r="CQ57" i="19"/>
  <c r="CP57" i="19"/>
  <c r="CO57" i="19"/>
  <c r="CN57" i="19"/>
  <c r="CM57" i="19"/>
  <c r="CL57" i="19"/>
  <c r="CK57" i="19"/>
  <c r="CJ57" i="19"/>
  <c r="CI57" i="19"/>
  <c r="CH57" i="19"/>
  <c r="CG57" i="19"/>
  <c r="CF57" i="19"/>
  <c r="CD57" i="19"/>
  <c r="CE57" i="19"/>
  <c r="CZ57" i="19"/>
  <c r="CW56" i="19"/>
  <c r="CV56" i="19"/>
  <c r="CU56" i="19"/>
  <c r="CT56" i="19"/>
  <c r="CS56" i="19"/>
  <c r="CR56" i="19"/>
  <c r="CQ56" i="19"/>
  <c r="CP56" i="19"/>
  <c r="CO56" i="19"/>
  <c r="CN56" i="19"/>
  <c r="CM56" i="19"/>
  <c r="CL56" i="19"/>
  <c r="CK56" i="19"/>
  <c r="CJ56" i="19"/>
  <c r="CI56" i="19"/>
  <c r="CH56" i="19"/>
  <c r="CG56" i="19"/>
  <c r="CF56" i="19"/>
  <c r="CD56" i="19"/>
  <c r="CE56" i="19"/>
  <c r="CW55" i="19"/>
  <c r="CV55" i="19"/>
  <c r="CU55" i="19"/>
  <c r="CT55" i="19"/>
  <c r="CS55" i="19"/>
  <c r="CR55" i="19"/>
  <c r="CQ55" i="19"/>
  <c r="CP55" i="19"/>
  <c r="CO55" i="19"/>
  <c r="CN55" i="19"/>
  <c r="CM55" i="19"/>
  <c r="CL55" i="19"/>
  <c r="CK55" i="19"/>
  <c r="CJ55" i="19"/>
  <c r="CI55" i="19"/>
  <c r="CH55" i="19"/>
  <c r="CG55" i="19"/>
  <c r="CF55" i="19"/>
  <c r="CD55" i="19"/>
  <c r="CE55" i="19"/>
  <c r="CW54" i="19"/>
  <c r="CV54" i="19"/>
  <c r="CU54" i="19"/>
  <c r="CT54" i="19"/>
  <c r="CS54" i="19"/>
  <c r="CR54" i="19"/>
  <c r="CQ54" i="19"/>
  <c r="CP54" i="19"/>
  <c r="CO54" i="19"/>
  <c r="CN54" i="19"/>
  <c r="CM54" i="19"/>
  <c r="CL54" i="19"/>
  <c r="CK54" i="19"/>
  <c r="CJ54" i="19"/>
  <c r="CI54" i="19"/>
  <c r="CH54" i="19"/>
  <c r="CG54" i="19"/>
  <c r="CF54" i="19"/>
  <c r="CD54" i="19"/>
  <c r="CE54" i="19"/>
  <c r="CW53" i="19"/>
  <c r="CV53" i="19"/>
  <c r="CU53" i="19"/>
  <c r="CT53" i="19"/>
  <c r="CS53" i="19"/>
  <c r="CR53" i="19"/>
  <c r="CQ53" i="19"/>
  <c r="CP53" i="19"/>
  <c r="CO53" i="19"/>
  <c r="CN53" i="19"/>
  <c r="CM53" i="19"/>
  <c r="CL53" i="19"/>
  <c r="CK53" i="19"/>
  <c r="CJ53" i="19"/>
  <c r="CI53" i="19"/>
  <c r="CH53" i="19"/>
  <c r="CG53" i="19"/>
  <c r="CF53" i="19"/>
  <c r="CD53" i="19"/>
  <c r="CE53" i="19"/>
  <c r="CW52" i="19"/>
  <c r="CV52" i="19"/>
  <c r="CU52" i="19"/>
  <c r="CT52" i="19"/>
  <c r="CS52" i="19"/>
  <c r="CR52" i="19"/>
  <c r="CQ52" i="19"/>
  <c r="CP52" i="19"/>
  <c r="CO52" i="19"/>
  <c r="CN52" i="19"/>
  <c r="CM52" i="19"/>
  <c r="CL52" i="19"/>
  <c r="CK52" i="19"/>
  <c r="CJ52" i="19"/>
  <c r="CI52" i="19"/>
  <c r="CH52" i="19"/>
  <c r="CG52" i="19"/>
  <c r="CF52" i="19"/>
  <c r="CD52" i="19"/>
  <c r="CE52" i="19"/>
  <c r="BC58" i="19"/>
  <c r="CW51" i="19"/>
  <c r="CV51" i="19"/>
  <c r="CU51" i="19"/>
  <c r="CT51" i="19"/>
  <c r="CR51" i="19"/>
  <c r="CQ51" i="19"/>
  <c r="CP51" i="19"/>
  <c r="CO51" i="19"/>
  <c r="CN51" i="19"/>
  <c r="CM51" i="19"/>
  <c r="CL51" i="19"/>
  <c r="CK51" i="19"/>
  <c r="CJ51" i="19"/>
  <c r="CI51" i="19"/>
  <c r="CH51" i="19"/>
  <c r="CG51" i="19"/>
  <c r="CF51" i="19"/>
  <c r="CD51" i="19"/>
  <c r="CE51" i="19"/>
  <c r="BG51" i="19"/>
  <c r="BG58" i="19"/>
  <c r="CW50" i="19"/>
  <c r="CV50" i="19"/>
  <c r="CU50" i="19"/>
  <c r="CT50" i="19"/>
  <c r="CS50" i="19"/>
  <c r="CR50" i="19"/>
  <c r="CQ50" i="19"/>
  <c r="CP50" i="19"/>
  <c r="CO50" i="19"/>
  <c r="CN50" i="19"/>
  <c r="CM50" i="19"/>
  <c r="CL50" i="19"/>
  <c r="CK50" i="19"/>
  <c r="CJ50" i="19"/>
  <c r="CI50" i="19"/>
  <c r="CH50" i="19"/>
  <c r="CG50" i="19"/>
  <c r="CF50" i="19"/>
  <c r="CD50" i="19"/>
  <c r="CE50" i="19"/>
  <c r="CW49" i="19"/>
  <c r="CV49" i="19"/>
  <c r="CU49" i="19"/>
  <c r="CT49" i="19"/>
  <c r="CS49" i="19"/>
  <c r="CR49" i="19"/>
  <c r="CQ49" i="19"/>
  <c r="CP49" i="19"/>
  <c r="CO49" i="19"/>
  <c r="CN49" i="19"/>
  <c r="CM49" i="19"/>
  <c r="CL49" i="19"/>
  <c r="CK49" i="19"/>
  <c r="CJ49" i="19"/>
  <c r="CI49" i="19"/>
  <c r="CH49" i="19"/>
  <c r="CG49" i="19"/>
  <c r="CF49" i="19"/>
  <c r="CD49" i="19"/>
  <c r="CE49" i="19"/>
  <c r="CZ49" i="19"/>
  <c r="CW48" i="19"/>
  <c r="CV48" i="19"/>
  <c r="CU48" i="19"/>
  <c r="CT48" i="19"/>
  <c r="CS48" i="19"/>
  <c r="CR48" i="19"/>
  <c r="CQ48" i="19"/>
  <c r="CP48" i="19"/>
  <c r="CO48" i="19"/>
  <c r="CN48" i="19"/>
  <c r="CM48" i="19"/>
  <c r="CL48" i="19"/>
  <c r="CK48" i="19"/>
  <c r="CJ48" i="19"/>
  <c r="CI48" i="19"/>
  <c r="CH48" i="19"/>
  <c r="CG48" i="19"/>
  <c r="CF48" i="19"/>
  <c r="CD48" i="19"/>
  <c r="CE48" i="19"/>
  <c r="BU47" i="19"/>
  <c r="BT47" i="19"/>
  <c r="BS47" i="19"/>
  <c r="BQ47" i="19"/>
  <c r="BP47" i="19"/>
  <c r="BO47" i="19"/>
  <c r="BM47" i="19"/>
  <c r="BL47" i="19"/>
  <c r="BK47" i="19"/>
  <c r="BI47" i="19"/>
  <c r="BH47" i="19"/>
  <c r="BG47" i="19"/>
  <c r="BF47" i="19"/>
  <c r="BE47" i="19"/>
  <c r="BD47" i="19"/>
  <c r="BB47" i="19"/>
  <c r="BA47" i="19"/>
  <c r="BA59" i="19"/>
  <c r="AZ47" i="19"/>
  <c r="AY47" i="19"/>
  <c r="AX47" i="19"/>
  <c r="AX59" i="19"/>
  <c r="AW47" i="19"/>
  <c r="AV47" i="19"/>
  <c r="AU47" i="19"/>
  <c r="AT47" i="19"/>
  <c r="AS47" i="19"/>
  <c r="AR47" i="19"/>
  <c r="AQ47" i="19"/>
  <c r="AP47" i="19"/>
  <c r="AO47" i="19"/>
  <c r="AN47" i="19"/>
  <c r="AM47" i="19"/>
  <c r="AL47" i="19"/>
  <c r="AK47" i="19"/>
  <c r="AJ47" i="19"/>
  <c r="AI47" i="19"/>
  <c r="AI59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T59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H59" i="19"/>
  <c r="G47" i="19"/>
  <c r="F47" i="19"/>
  <c r="E47" i="19"/>
  <c r="D47" i="19"/>
  <c r="CW46" i="19"/>
  <c r="CV46" i="19"/>
  <c r="CU46" i="19"/>
  <c r="CT46" i="19"/>
  <c r="CS46" i="19"/>
  <c r="CR46" i="19"/>
  <c r="CQ46" i="19"/>
  <c r="CP46" i="19"/>
  <c r="CO46" i="19"/>
  <c r="CN46" i="19"/>
  <c r="CZ46" i="19"/>
  <c r="CZ47" i="19" s="1"/>
  <c r="CM46" i="19"/>
  <c r="CL46" i="19"/>
  <c r="CK46" i="19"/>
  <c r="CJ46" i="19"/>
  <c r="CI46" i="19"/>
  <c r="CH46" i="19"/>
  <c r="CG46" i="19"/>
  <c r="CF46" i="19"/>
  <c r="CD46" i="19"/>
  <c r="CE46" i="19"/>
  <c r="BR47" i="19"/>
  <c r="BJ47" i="19"/>
  <c r="BC47" i="19"/>
  <c r="BU45" i="19"/>
  <c r="BT45" i="19"/>
  <c r="BQ45" i="19"/>
  <c r="BQ59" i="19"/>
  <c r="BP45" i="19"/>
  <c r="BO45" i="19"/>
  <c r="BO59" i="19"/>
  <c r="BM45" i="19"/>
  <c r="BL45" i="19"/>
  <c r="BK45" i="19"/>
  <c r="BH45" i="19"/>
  <c r="BF45" i="19"/>
  <c r="BE45" i="19"/>
  <c r="BD45" i="19"/>
  <c r="BB45" i="19"/>
  <c r="BA45" i="19"/>
  <c r="AZ45" i="19"/>
  <c r="AY45" i="19"/>
  <c r="AX45" i="19"/>
  <c r="AW45" i="19"/>
  <c r="AW59" i="19"/>
  <c r="AV45" i="19"/>
  <c r="AU45" i="19"/>
  <c r="AT45" i="19"/>
  <c r="AS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S59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W44" i="19"/>
  <c r="CV44" i="19"/>
  <c r="CU44" i="19"/>
  <c r="CT44" i="19"/>
  <c r="CS44" i="19"/>
  <c r="CR44" i="19"/>
  <c r="CQ44" i="19"/>
  <c r="CP44" i="19"/>
  <c r="CO44" i="19"/>
  <c r="CN44" i="19"/>
  <c r="CM44" i="19"/>
  <c r="CL44" i="19"/>
  <c r="CK44" i="19"/>
  <c r="CJ44" i="19"/>
  <c r="CI44" i="19"/>
  <c r="CH44" i="19"/>
  <c r="CG44" i="19"/>
  <c r="CF44" i="19"/>
  <c r="CD44" i="19"/>
  <c r="CE44" i="19"/>
  <c r="CW43" i="19"/>
  <c r="CV43" i="19"/>
  <c r="CU43" i="19"/>
  <c r="CT43" i="19"/>
  <c r="CS43" i="19"/>
  <c r="CR43" i="19"/>
  <c r="CQ43" i="19"/>
  <c r="CP43" i="19"/>
  <c r="CO43" i="19"/>
  <c r="CN43" i="19"/>
  <c r="CM43" i="19"/>
  <c r="CL43" i="19"/>
  <c r="CK43" i="19"/>
  <c r="CJ43" i="19"/>
  <c r="CI43" i="19"/>
  <c r="CH43" i="19"/>
  <c r="CG43" i="19"/>
  <c r="CF43" i="19"/>
  <c r="CD43" i="19"/>
  <c r="CE43" i="19"/>
  <c r="CZ43" i="19"/>
  <c r="CW42" i="19"/>
  <c r="CV42" i="19"/>
  <c r="CU42" i="19"/>
  <c r="CT42" i="19"/>
  <c r="CS42" i="19"/>
  <c r="CR42" i="19"/>
  <c r="CQ42" i="19"/>
  <c r="CP42" i="19"/>
  <c r="CO42" i="19"/>
  <c r="CN42" i="19"/>
  <c r="CM42" i="19"/>
  <c r="CL42" i="19"/>
  <c r="CK42" i="19"/>
  <c r="CJ42" i="19"/>
  <c r="CI42" i="19"/>
  <c r="CH42" i="19"/>
  <c r="CG42" i="19"/>
  <c r="CF42" i="19"/>
  <c r="CD42" i="19"/>
  <c r="CE42" i="19"/>
  <c r="CW41" i="19"/>
  <c r="CV41" i="19"/>
  <c r="CU41" i="19"/>
  <c r="CT41" i="19"/>
  <c r="CS41" i="19"/>
  <c r="CR41" i="19"/>
  <c r="CQ41" i="19"/>
  <c r="CP41" i="19"/>
  <c r="CO41" i="19"/>
  <c r="CN41" i="19"/>
  <c r="CM41" i="19"/>
  <c r="CL41" i="19"/>
  <c r="CK41" i="19"/>
  <c r="CJ41" i="19"/>
  <c r="CI41" i="19"/>
  <c r="CH41" i="19"/>
  <c r="CG41" i="19"/>
  <c r="CF41" i="19"/>
  <c r="CD41" i="19"/>
  <c r="CE41" i="19"/>
  <c r="CW40" i="19"/>
  <c r="CV40" i="19"/>
  <c r="CU40" i="19"/>
  <c r="CT40" i="19"/>
  <c r="CS40" i="19"/>
  <c r="CR40" i="19"/>
  <c r="CQ40" i="19"/>
  <c r="CP40" i="19"/>
  <c r="CO40" i="19"/>
  <c r="CN40" i="19"/>
  <c r="CM40" i="19"/>
  <c r="CL40" i="19"/>
  <c r="CK40" i="19"/>
  <c r="CJ40" i="19"/>
  <c r="CI40" i="19"/>
  <c r="CH40" i="19"/>
  <c r="CG40" i="19"/>
  <c r="CF40" i="19"/>
  <c r="CD40" i="19"/>
  <c r="CE40" i="19"/>
  <c r="CW39" i="19"/>
  <c r="CV39" i="19"/>
  <c r="CU39" i="19"/>
  <c r="CT39" i="19"/>
  <c r="CS39" i="19"/>
  <c r="CR39" i="19"/>
  <c r="CQ39" i="19"/>
  <c r="CP39" i="19"/>
  <c r="CO39" i="19"/>
  <c r="CN39" i="19"/>
  <c r="CM39" i="19"/>
  <c r="CL39" i="19"/>
  <c r="CK39" i="19"/>
  <c r="CJ39" i="19"/>
  <c r="CI39" i="19"/>
  <c r="CH39" i="19"/>
  <c r="CG39" i="19"/>
  <c r="CF39" i="19"/>
  <c r="CD39" i="19"/>
  <c r="CE39" i="19"/>
  <c r="CW38" i="19"/>
  <c r="CV38" i="19"/>
  <c r="CU38" i="19"/>
  <c r="CT38" i="19"/>
  <c r="CS38" i="19"/>
  <c r="CR38" i="19"/>
  <c r="CQ38" i="19"/>
  <c r="CP38" i="19"/>
  <c r="CO38" i="19"/>
  <c r="CN38" i="19"/>
  <c r="CM38" i="19"/>
  <c r="CL38" i="19"/>
  <c r="CK38" i="19"/>
  <c r="CJ38" i="19"/>
  <c r="CI38" i="19"/>
  <c r="CH38" i="19"/>
  <c r="CG38" i="19"/>
  <c r="CF38" i="19"/>
  <c r="CD38" i="19"/>
  <c r="CE38" i="19"/>
  <c r="CZ38" i="19"/>
  <c r="CW37" i="19"/>
  <c r="CV37" i="19"/>
  <c r="CU37" i="19"/>
  <c r="CT37" i="19"/>
  <c r="CS37" i="19"/>
  <c r="CR37" i="19"/>
  <c r="CQ37" i="19"/>
  <c r="CP37" i="19"/>
  <c r="CO37" i="19"/>
  <c r="CN37" i="19"/>
  <c r="CM37" i="19"/>
  <c r="CL37" i="19"/>
  <c r="CK37" i="19"/>
  <c r="CJ37" i="19"/>
  <c r="CI37" i="19"/>
  <c r="CH37" i="19"/>
  <c r="CG37" i="19"/>
  <c r="CF37" i="19"/>
  <c r="CD37" i="19"/>
  <c r="CE37" i="19"/>
  <c r="CW35" i="19"/>
  <c r="CV35" i="19"/>
  <c r="CU35" i="19"/>
  <c r="CT35" i="19"/>
  <c r="CR35" i="19"/>
  <c r="CQ35" i="19"/>
  <c r="CP35" i="19"/>
  <c r="CO35" i="19"/>
  <c r="CN35" i="19"/>
  <c r="CM35" i="19"/>
  <c r="CL35" i="19"/>
  <c r="CK35" i="19"/>
  <c r="CJ35" i="19"/>
  <c r="CI35" i="19"/>
  <c r="CH35" i="19"/>
  <c r="CG35" i="19"/>
  <c r="CF35" i="19"/>
  <c r="CD35" i="19"/>
  <c r="CE35" i="19"/>
  <c r="BI35" i="19"/>
  <c r="BG35" i="19"/>
  <c r="CW34" i="19"/>
  <c r="CV34" i="19"/>
  <c r="CU34" i="19"/>
  <c r="CT34" i="19"/>
  <c r="CS34" i="19"/>
  <c r="CR34" i="19"/>
  <c r="CQ34" i="19"/>
  <c r="CP34" i="19"/>
  <c r="CO34" i="19"/>
  <c r="CN34" i="19"/>
  <c r="CM34" i="19"/>
  <c r="CL34" i="19"/>
  <c r="CK34" i="19"/>
  <c r="CJ34" i="19"/>
  <c r="CI34" i="19"/>
  <c r="CH34" i="19"/>
  <c r="CG34" i="19"/>
  <c r="CF34" i="19"/>
  <c r="CD34" i="19"/>
  <c r="CE34" i="19"/>
  <c r="CW33" i="19"/>
  <c r="CV33" i="19"/>
  <c r="CU33" i="19"/>
  <c r="CT33" i="19"/>
  <c r="CR33" i="19"/>
  <c r="CQ33" i="19"/>
  <c r="CP33" i="19"/>
  <c r="CO33" i="19"/>
  <c r="CN33" i="19"/>
  <c r="CM33" i="19"/>
  <c r="CL33" i="19"/>
  <c r="CK33" i="19"/>
  <c r="CJ33" i="19"/>
  <c r="CI33" i="19"/>
  <c r="CH33" i="19"/>
  <c r="CG33" i="19"/>
  <c r="CF33" i="19"/>
  <c r="CD33" i="19"/>
  <c r="CE33" i="19"/>
  <c r="BI33" i="19"/>
  <c r="CS33" i="19"/>
  <c r="BG33" i="19"/>
  <c r="CW31" i="19"/>
  <c r="CV31" i="19"/>
  <c r="CU31" i="19"/>
  <c r="CT31" i="19"/>
  <c r="CS31" i="19"/>
  <c r="CR31" i="19"/>
  <c r="CQ31" i="19"/>
  <c r="CP31" i="19"/>
  <c r="CO31" i="19"/>
  <c r="CN31" i="19"/>
  <c r="CM31" i="19"/>
  <c r="CL31" i="19"/>
  <c r="CK31" i="19"/>
  <c r="CJ31" i="19"/>
  <c r="CI31" i="19"/>
  <c r="CH31" i="19"/>
  <c r="CG31" i="19"/>
  <c r="CF31" i="19"/>
  <c r="CD31" i="19"/>
  <c r="CE31" i="19"/>
  <c r="CZ31" i="19"/>
  <c r="CW30" i="19"/>
  <c r="CV30" i="19"/>
  <c r="CU30" i="19"/>
  <c r="CT30" i="19"/>
  <c r="CS30" i="19"/>
  <c r="CR30" i="19"/>
  <c r="CQ30" i="19"/>
  <c r="CP30" i="19"/>
  <c r="CO30" i="19"/>
  <c r="CN30" i="19"/>
  <c r="CM30" i="19"/>
  <c r="CL30" i="19"/>
  <c r="CK30" i="19"/>
  <c r="CJ30" i="19"/>
  <c r="CI30" i="19"/>
  <c r="CH30" i="19"/>
  <c r="CG30" i="19"/>
  <c r="CF30" i="19"/>
  <c r="CD30" i="19"/>
  <c r="CE30" i="19"/>
  <c r="CW29" i="19"/>
  <c r="CV29" i="19"/>
  <c r="CU29" i="19"/>
  <c r="CT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D29" i="19"/>
  <c r="CE29" i="19"/>
  <c r="BG29" i="19"/>
  <c r="CS29" i="19"/>
  <c r="CW28" i="19"/>
  <c r="CV28" i="19"/>
  <c r="CU28" i="19"/>
  <c r="CT28" i="19"/>
  <c r="CS28" i="19"/>
  <c r="CR28" i="19"/>
  <c r="CQ28" i="19"/>
  <c r="CP28" i="19"/>
  <c r="CO28" i="19"/>
  <c r="CN28" i="19"/>
  <c r="CM28" i="19"/>
  <c r="CL28" i="19"/>
  <c r="CK28" i="19"/>
  <c r="CJ28" i="19"/>
  <c r="CI28" i="19"/>
  <c r="CH28" i="19"/>
  <c r="CG28" i="19"/>
  <c r="CF28" i="19"/>
  <c r="CD28" i="19"/>
  <c r="CE28" i="19"/>
  <c r="CW27" i="19"/>
  <c r="CV27" i="19"/>
  <c r="CU27" i="19"/>
  <c r="CT27" i="19"/>
  <c r="CS27" i="19"/>
  <c r="CR27" i="19"/>
  <c r="CQ27" i="19"/>
  <c r="CP27" i="19"/>
  <c r="CO27" i="19"/>
  <c r="CN27" i="19"/>
  <c r="CM27" i="19"/>
  <c r="CL27" i="19"/>
  <c r="CK27" i="19"/>
  <c r="CJ27" i="19"/>
  <c r="CI27" i="19"/>
  <c r="CH27" i="19"/>
  <c r="CG27" i="19"/>
  <c r="CF27" i="19"/>
  <c r="CD27" i="19"/>
  <c r="CE27" i="19"/>
  <c r="CW26" i="19"/>
  <c r="CV26" i="19"/>
  <c r="CU26" i="19"/>
  <c r="CT26" i="19"/>
  <c r="CR26" i="19"/>
  <c r="CQ26" i="19"/>
  <c r="CP26" i="19"/>
  <c r="CO26" i="19"/>
  <c r="CN26" i="19"/>
  <c r="CM26" i="19"/>
  <c r="CL26" i="19"/>
  <c r="CK26" i="19"/>
  <c r="CJ26" i="19"/>
  <c r="CI26" i="19"/>
  <c r="CH26" i="19"/>
  <c r="CG26" i="19"/>
  <c r="CF26" i="19"/>
  <c r="CD26" i="19"/>
  <c r="CE26" i="19"/>
  <c r="BG26" i="19"/>
  <c r="CS26" i="19"/>
  <c r="CW25" i="19"/>
  <c r="CV25" i="19"/>
  <c r="CU25" i="19"/>
  <c r="CT25" i="19"/>
  <c r="CR25" i="19"/>
  <c r="CQ25" i="19"/>
  <c r="CP25" i="19"/>
  <c r="CO25" i="19"/>
  <c r="CN25" i="19"/>
  <c r="CM25" i="19"/>
  <c r="CL25" i="19"/>
  <c r="CK25" i="19"/>
  <c r="CJ25" i="19"/>
  <c r="CI25" i="19"/>
  <c r="CH25" i="19"/>
  <c r="CG25" i="19"/>
  <c r="CZ25" i="19"/>
  <c r="CF25" i="19"/>
  <c r="CD25" i="19"/>
  <c r="CE25" i="19"/>
  <c r="BI25" i="19"/>
  <c r="BG25" i="19"/>
  <c r="CW24" i="19"/>
  <c r="CV24" i="19"/>
  <c r="CU24" i="19"/>
  <c r="CT24" i="19"/>
  <c r="CS24" i="19"/>
  <c r="CR24" i="19"/>
  <c r="CQ24" i="19"/>
  <c r="CP24" i="19"/>
  <c r="CO24" i="19"/>
  <c r="CN24" i="19"/>
  <c r="CM24" i="19"/>
  <c r="CL24" i="19"/>
  <c r="CK24" i="19"/>
  <c r="CJ24" i="19"/>
  <c r="CI24" i="19"/>
  <c r="CH24" i="19"/>
  <c r="CG24" i="19"/>
  <c r="CF24" i="19"/>
  <c r="CD24" i="19"/>
  <c r="CE24" i="19"/>
  <c r="CW23" i="19"/>
  <c r="CV23" i="19"/>
  <c r="CU23" i="19"/>
  <c r="CT23" i="19"/>
  <c r="CS23" i="19"/>
  <c r="CR23" i="19"/>
  <c r="CQ23" i="19"/>
  <c r="CP23" i="19"/>
  <c r="CO23" i="19"/>
  <c r="CN23" i="19"/>
  <c r="CM23" i="19"/>
  <c r="CL23" i="19"/>
  <c r="CK23" i="19"/>
  <c r="CJ23" i="19"/>
  <c r="CI23" i="19"/>
  <c r="CH23" i="19"/>
  <c r="CG23" i="19"/>
  <c r="CF23" i="19"/>
  <c r="CD23" i="19"/>
  <c r="CE23" i="19"/>
  <c r="CW22" i="19"/>
  <c r="CV22" i="19"/>
  <c r="CU22" i="19"/>
  <c r="CT22" i="19"/>
  <c r="CS22" i="19"/>
  <c r="CR22" i="19"/>
  <c r="CQ22" i="19"/>
  <c r="CP22" i="19"/>
  <c r="CO22" i="19"/>
  <c r="CN22" i="19"/>
  <c r="CM22" i="19"/>
  <c r="CL22" i="19"/>
  <c r="CK22" i="19"/>
  <c r="CJ22" i="19"/>
  <c r="CI22" i="19"/>
  <c r="CH22" i="19"/>
  <c r="CG22" i="19"/>
  <c r="CF22" i="19"/>
  <c r="CD22" i="19"/>
  <c r="CE22" i="19"/>
  <c r="CZ22" i="19"/>
  <c r="CW21" i="19"/>
  <c r="CV21" i="19"/>
  <c r="CU21" i="19"/>
  <c r="CT21" i="19"/>
  <c r="CS21" i="19"/>
  <c r="CR21" i="19"/>
  <c r="CQ21" i="19"/>
  <c r="CP21" i="19"/>
  <c r="CO21" i="19"/>
  <c r="CN21" i="19"/>
  <c r="CM21" i="19"/>
  <c r="CL21" i="19"/>
  <c r="CK21" i="19"/>
  <c r="CJ21" i="19"/>
  <c r="CI21" i="19"/>
  <c r="CH21" i="19"/>
  <c r="CG21" i="19"/>
  <c r="CF21" i="19"/>
  <c r="CD21" i="19"/>
  <c r="CE21" i="19"/>
  <c r="CZ21" i="19"/>
  <c r="BJ45" i="19"/>
  <c r="BJ59" i="19"/>
  <c r="CW20" i="19"/>
  <c r="CV20" i="19"/>
  <c r="CU20" i="19"/>
  <c r="CT20" i="19"/>
  <c r="CS20" i="19"/>
  <c r="CR20" i="19"/>
  <c r="CQ20" i="19"/>
  <c r="CP20" i="19"/>
  <c r="CO20" i="19"/>
  <c r="CN20" i="19"/>
  <c r="CM20" i="19"/>
  <c r="CL20" i="19"/>
  <c r="CK20" i="19"/>
  <c r="CJ20" i="19"/>
  <c r="CI20" i="19"/>
  <c r="CH20" i="19"/>
  <c r="CG20" i="19"/>
  <c r="CF20" i="19"/>
  <c r="CD20" i="19"/>
  <c r="CE20" i="19"/>
  <c r="CW19" i="19"/>
  <c r="CV19" i="19"/>
  <c r="CU19" i="19"/>
  <c r="CT19" i="19"/>
  <c r="CR19" i="19"/>
  <c r="CQ19" i="19"/>
  <c r="CP19" i="19"/>
  <c r="CO19" i="19"/>
  <c r="CN19" i="19"/>
  <c r="CM19" i="19"/>
  <c r="CL19" i="19"/>
  <c r="CK19" i="19"/>
  <c r="CJ19" i="19"/>
  <c r="CI19" i="19"/>
  <c r="CH19" i="19"/>
  <c r="CG19" i="19"/>
  <c r="CF19" i="19"/>
  <c r="CD19" i="19"/>
  <c r="CE19" i="19"/>
  <c r="BI19" i="19"/>
  <c r="BG19" i="19"/>
  <c r="CW17" i="19"/>
  <c r="CV17" i="19"/>
  <c r="CU17" i="19"/>
  <c r="CT17" i="19"/>
  <c r="CS17" i="19"/>
  <c r="CR17" i="19"/>
  <c r="CQ17" i="19"/>
  <c r="CP17" i="19"/>
  <c r="CO17" i="19"/>
  <c r="CN17" i="19"/>
  <c r="CM17" i="19"/>
  <c r="CL17" i="19"/>
  <c r="CK17" i="19"/>
  <c r="CJ17" i="19"/>
  <c r="CI17" i="19"/>
  <c r="CH17" i="19"/>
  <c r="CG17" i="19"/>
  <c r="CF17" i="19"/>
  <c r="CD17" i="19"/>
  <c r="CE17" i="19"/>
  <c r="CW16" i="19"/>
  <c r="CV16" i="19"/>
  <c r="CU16" i="19"/>
  <c r="CT16" i="19"/>
  <c r="CS16" i="19"/>
  <c r="CR16" i="19"/>
  <c r="CQ16" i="19"/>
  <c r="CP16" i="19"/>
  <c r="CO16" i="19"/>
  <c r="CN16" i="19"/>
  <c r="CM16" i="19"/>
  <c r="CL16" i="19"/>
  <c r="CK16" i="19"/>
  <c r="CJ16" i="19"/>
  <c r="CI16" i="19"/>
  <c r="CH16" i="19"/>
  <c r="CG16" i="19"/>
  <c r="CF16" i="19"/>
  <c r="CD16" i="19"/>
  <c r="CE16" i="19"/>
  <c r="CW15" i="19"/>
  <c r="CV15" i="19"/>
  <c r="CU15" i="19"/>
  <c r="CT15" i="19"/>
  <c r="CS15" i="19"/>
  <c r="CR15" i="19"/>
  <c r="CQ15" i="19"/>
  <c r="CP15" i="19"/>
  <c r="CO15" i="19"/>
  <c r="CN15" i="19"/>
  <c r="CM15" i="19"/>
  <c r="CL15" i="19"/>
  <c r="CK15" i="19"/>
  <c r="CJ15" i="19"/>
  <c r="CI15" i="19"/>
  <c r="CH15" i="19"/>
  <c r="CG15" i="19"/>
  <c r="CF15" i="19"/>
  <c r="CD15" i="19"/>
  <c r="CE15" i="19"/>
  <c r="BU13" i="19"/>
  <c r="BT13" i="19"/>
  <c r="BS13" i="19"/>
  <c r="BQ13" i="19"/>
  <c r="BP13" i="19"/>
  <c r="BO13" i="19"/>
  <c r="BM13" i="19"/>
  <c r="BL13" i="19"/>
  <c r="BK13" i="19"/>
  <c r="BI13" i="19"/>
  <c r="BH13" i="19"/>
  <c r="BG13" i="19"/>
  <c r="BF13" i="19"/>
  <c r="BE13" i="19"/>
  <c r="BD13" i="19"/>
  <c r="BD59" i="19"/>
  <c r="BB13" i="19"/>
  <c r="BA13" i="19"/>
  <c r="AZ13" i="19"/>
  <c r="AZ59" i="19"/>
  <c r="AY13" i="19"/>
  <c r="AX13" i="19"/>
  <c r="AW13" i="19"/>
  <c r="AV13" i="19"/>
  <c r="AU13" i="19"/>
  <c r="AT13" i="19"/>
  <c r="AS13" i="19"/>
  <c r="AR13" i="19"/>
  <c r="AQ13" i="19"/>
  <c r="AP13" i="19"/>
  <c r="AO13" i="19"/>
  <c r="AO59" i="19"/>
  <c r="AN13" i="19"/>
  <c r="AN59" i="19"/>
  <c r="AM13" i="19"/>
  <c r="AM59" i="19"/>
  <c r="AL13" i="19"/>
  <c r="AK13" i="19"/>
  <c r="AJ13" i="19"/>
  <c r="AI13" i="19"/>
  <c r="AH13" i="19"/>
  <c r="AG13" i="19"/>
  <c r="AF13" i="19"/>
  <c r="AE13" i="19"/>
  <c r="AD13" i="19"/>
  <c r="AC13" i="19"/>
  <c r="AB13" i="19"/>
  <c r="AB59" i="19"/>
  <c r="AA13" i="19"/>
  <c r="AA59" i="19"/>
  <c r="Z13" i="19"/>
  <c r="Y13" i="19"/>
  <c r="X13" i="19"/>
  <c r="W13" i="19"/>
  <c r="V13" i="19"/>
  <c r="V59" i="19"/>
  <c r="U13" i="19"/>
  <c r="T13" i="19"/>
  <c r="S13" i="19"/>
  <c r="R13" i="19"/>
  <c r="R59" i="19"/>
  <c r="Q13" i="19"/>
  <c r="P13" i="19"/>
  <c r="O13" i="19"/>
  <c r="N13" i="19"/>
  <c r="M13" i="19"/>
  <c r="L13" i="19"/>
  <c r="K13" i="19"/>
  <c r="J13" i="19"/>
  <c r="I13" i="19"/>
  <c r="H13" i="19"/>
  <c r="G13" i="19"/>
  <c r="G59" i="19"/>
  <c r="F13" i="19"/>
  <c r="E13" i="19"/>
  <c r="E59" i="19"/>
  <c r="D13" i="19"/>
  <c r="D59" i="19"/>
  <c r="CW12" i="19"/>
  <c r="CV12" i="19"/>
  <c r="CU12" i="19"/>
  <c r="CT12" i="19"/>
  <c r="CS12" i="19"/>
  <c r="CR12" i="19"/>
  <c r="CQ12" i="19"/>
  <c r="CP12" i="19"/>
  <c r="CO12" i="19"/>
  <c r="CN12" i="19"/>
  <c r="CM12" i="19"/>
  <c r="CL12" i="19"/>
  <c r="CK12" i="19"/>
  <c r="CJ12" i="19"/>
  <c r="CI12" i="19"/>
  <c r="CH12" i="19"/>
  <c r="CG12" i="19"/>
  <c r="CF12" i="19"/>
  <c r="CD12" i="19"/>
  <c r="CE12" i="19"/>
  <c r="CW11" i="19"/>
  <c r="CV11" i="19"/>
  <c r="CU11" i="19"/>
  <c r="CT11" i="19"/>
  <c r="CS11" i="19"/>
  <c r="CR11" i="19"/>
  <c r="CQ11" i="19"/>
  <c r="CP11" i="19"/>
  <c r="CO11" i="19"/>
  <c r="CN11" i="19"/>
  <c r="CM11" i="19"/>
  <c r="CL11" i="19"/>
  <c r="CK11" i="19"/>
  <c r="CJ11" i="19"/>
  <c r="CI11" i="19"/>
  <c r="CH11" i="19"/>
  <c r="CG11" i="19"/>
  <c r="CF11" i="19"/>
  <c r="CD11" i="19"/>
  <c r="CE11" i="19"/>
  <c r="CZ11" i="19"/>
  <c r="CW10" i="19"/>
  <c r="CV10" i="19"/>
  <c r="CU10" i="19"/>
  <c r="CT10" i="19"/>
  <c r="CS10" i="19"/>
  <c r="CR10" i="19"/>
  <c r="CQ10" i="19"/>
  <c r="CP10" i="19"/>
  <c r="CO10" i="19"/>
  <c r="CN10" i="19"/>
  <c r="CM10" i="19"/>
  <c r="CL10" i="19"/>
  <c r="CK10" i="19"/>
  <c r="CJ10" i="19"/>
  <c r="CI10" i="19"/>
  <c r="CH10" i="19"/>
  <c r="CG10" i="19"/>
  <c r="CF10" i="19"/>
  <c r="CD10" i="19"/>
  <c r="CE10" i="19"/>
  <c r="CW9" i="19"/>
  <c r="CV9" i="19"/>
  <c r="CU9" i="19"/>
  <c r="CT9" i="19"/>
  <c r="CS9" i="19"/>
  <c r="CR9" i="19"/>
  <c r="CQ9" i="19"/>
  <c r="CP9" i="19"/>
  <c r="CO9" i="19"/>
  <c r="CN9" i="19"/>
  <c r="CM9" i="19"/>
  <c r="CL9" i="19"/>
  <c r="CK9" i="19"/>
  <c r="CJ9" i="19"/>
  <c r="CI9" i="19"/>
  <c r="CH9" i="19"/>
  <c r="CG9" i="19"/>
  <c r="CF9" i="19"/>
  <c r="CD9" i="19"/>
  <c r="CE9" i="19"/>
  <c r="CW8" i="19"/>
  <c r="CV8" i="19"/>
  <c r="CU8" i="19"/>
  <c r="CT8" i="19"/>
  <c r="CS8" i="19"/>
  <c r="CR8" i="19"/>
  <c r="CQ8" i="19"/>
  <c r="CP8" i="19"/>
  <c r="CO8" i="19"/>
  <c r="CN8" i="19"/>
  <c r="CM8" i="19"/>
  <c r="CL8" i="19"/>
  <c r="CK8" i="19"/>
  <c r="CJ8" i="19"/>
  <c r="CI8" i="19"/>
  <c r="CH8" i="19"/>
  <c r="CG8" i="19"/>
  <c r="CF8" i="19"/>
  <c r="CD8" i="19"/>
  <c r="CE8" i="19"/>
  <c r="CW7" i="19"/>
  <c r="CV7" i="19"/>
  <c r="CU7" i="19"/>
  <c r="CT7" i="19"/>
  <c r="CS7" i="19"/>
  <c r="CR7" i="19"/>
  <c r="CQ7" i="19"/>
  <c r="CP7" i="19"/>
  <c r="CO7" i="19"/>
  <c r="CN7" i="19"/>
  <c r="CM7" i="19"/>
  <c r="CL7" i="19"/>
  <c r="CK7" i="19"/>
  <c r="CJ7" i="19"/>
  <c r="CI7" i="19"/>
  <c r="CH7" i="19"/>
  <c r="CG7" i="19"/>
  <c r="CF7" i="19"/>
  <c r="CD7" i="19"/>
  <c r="CE7" i="19"/>
  <c r="CW6" i="19"/>
  <c r="CV6" i="19"/>
  <c r="CU6" i="19"/>
  <c r="CT6" i="19"/>
  <c r="CS6" i="19"/>
  <c r="CR6" i="19"/>
  <c r="CQ6" i="19"/>
  <c r="CP6" i="19"/>
  <c r="CO6" i="19"/>
  <c r="CN6" i="19"/>
  <c r="CM6" i="19"/>
  <c r="CL6" i="19"/>
  <c r="CK6" i="19"/>
  <c r="CJ6" i="19"/>
  <c r="CI6" i="19"/>
  <c r="CH6" i="19"/>
  <c r="CG6" i="19"/>
  <c r="CF6" i="19"/>
  <c r="CD6" i="19"/>
  <c r="CE6" i="19"/>
  <c r="CW5" i="19"/>
  <c r="CV5" i="19"/>
  <c r="CU5" i="19"/>
  <c r="CT5" i="19"/>
  <c r="CS5" i="19"/>
  <c r="CR5" i="19"/>
  <c r="CQ5" i="19"/>
  <c r="CP5" i="19"/>
  <c r="CO5" i="19"/>
  <c r="CN5" i="19"/>
  <c r="CM5" i="19"/>
  <c r="CL5" i="19"/>
  <c r="CK5" i="19"/>
  <c r="CJ5" i="19"/>
  <c r="CI5" i="19"/>
  <c r="CH5" i="19"/>
  <c r="CG5" i="19"/>
  <c r="CF5" i="19"/>
  <c r="CD5" i="19"/>
  <c r="CE5" i="19"/>
  <c r="DI6" i="18"/>
  <c r="DI7" i="18"/>
  <c r="DI8" i="18"/>
  <c r="DI9" i="18"/>
  <c r="DI10" i="18"/>
  <c r="DI11" i="18"/>
  <c r="DI12" i="18"/>
  <c r="DI14" i="18"/>
  <c r="DI15" i="18"/>
  <c r="DI16" i="18"/>
  <c r="DI17" i="18"/>
  <c r="DI18" i="18"/>
  <c r="DI19" i="18"/>
  <c r="DI20" i="18"/>
  <c r="DI21" i="18"/>
  <c r="DI22" i="18"/>
  <c r="DI23" i="18"/>
  <c r="DI24" i="18"/>
  <c r="DI25" i="18"/>
  <c r="DI26" i="18"/>
  <c r="DI27" i="18"/>
  <c r="DI28" i="18"/>
  <c r="DI29" i="18"/>
  <c r="DI30" i="18"/>
  <c r="DI31" i="18"/>
  <c r="DI32" i="18"/>
  <c r="DI33" i="18"/>
  <c r="DI34" i="18"/>
  <c r="DI35" i="18"/>
  <c r="DI36" i="18"/>
  <c r="DI37" i="18"/>
  <c r="DI38" i="18"/>
  <c r="DI39" i="18"/>
  <c r="DI40" i="18"/>
  <c r="DI41" i="18"/>
  <c r="DI42" i="18"/>
  <c r="DI43" i="18"/>
  <c r="DI44" i="18"/>
  <c r="DI46" i="18"/>
  <c r="DI48" i="18"/>
  <c r="DI49" i="18"/>
  <c r="DI50" i="18"/>
  <c r="DI51" i="18"/>
  <c r="DI52" i="18"/>
  <c r="DI53" i="18"/>
  <c r="DI54" i="18"/>
  <c r="DI55" i="18"/>
  <c r="DI56" i="18"/>
  <c r="DI57" i="18"/>
  <c r="DI5" i="18"/>
  <c r="BU58" i="18"/>
  <c r="BT58" i="18"/>
  <c r="BS58" i="18"/>
  <c r="BQ58" i="18"/>
  <c r="BP58" i="18"/>
  <c r="BO58" i="18"/>
  <c r="BM58" i="18"/>
  <c r="BL58" i="18"/>
  <c r="BK58" i="18"/>
  <c r="BI58" i="18"/>
  <c r="BH58" i="18"/>
  <c r="BF58" i="18"/>
  <c r="BF59" i="18"/>
  <c r="BE58" i="18"/>
  <c r="BE59" i="18"/>
  <c r="BD58" i="18"/>
  <c r="BD59" i="18"/>
  <c r="BB58" i="18"/>
  <c r="BA58" i="18"/>
  <c r="BA59" i="18"/>
  <c r="AZ58" i="18"/>
  <c r="AY58" i="18"/>
  <c r="AX58" i="18"/>
  <c r="AW58" i="18"/>
  <c r="AV58" i="18"/>
  <c r="AU58" i="18"/>
  <c r="AT58" i="18"/>
  <c r="AS58" i="18"/>
  <c r="AR58" i="18"/>
  <c r="AR59" i="18"/>
  <c r="AQ58" i="18"/>
  <c r="AQ59" i="18"/>
  <c r="AP58" i="18"/>
  <c r="AP59" i="18"/>
  <c r="AO58" i="18"/>
  <c r="AN58" i="18"/>
  <c r="AM58" i="18"/>
  <c r="AL58" i="18"/>
  <c r="AK58" i="18"/>
  <c r="AJ58" i="18"/>
  <c r="AI58" i="18"/>
  <c r="AH58" i="18"/>
  <c r="AG58" i="18"/>
  <c r="AF58" i="18"/>
  <c r="AE58" i="18"/>
  <c r="AD58" i="18"/>
  <c r="AC58" i="18"/>
  <c r="AB58" i="18"/>
  <c r="AB59" i="18"/>
  <c r="AA58" i="18"/>
  <c r="AA59" i="18"/>
  <c r="Z58" i="18"/>
  <c r="Y58" i="18"/>
  <c r="X58" i="18"/>
  <c r="W58" i="18"/>
  <c r="V58" i="18"/>
  <c r="U58" i="18"/>
  <c r="T58" i="18"/>
  <c r="S58" i="18"/>
  <c r="R58" i="18"/>
  <c r="Q58" i="18"/>
  <c r="P58" i="18"/>
  <c r="P59" i="18"/>
  <c r="O58" i="18"/>
  <c r="N58" i="18"/>
  <c r="M58" i="18"/>
  <c r="L58" i="18"/>
  <c r="L59" i="18"/>
  <c r="K58" i="18"/>
  <c r="K59" i="18"/>
  <c r="J58" i="18"/>
  <c r="J59" i="18"/>
  <c r="I58" i="18"/>
  <c r="H58" i="18"/>
  <c r="G58" i="18"/>
  <c r="F58" i="18"/>
  <c r="E58" i="18"/>
  <c r="D58" i="18"/>
  <c r="DC57" i="18"/>
  <c r="DB57" i="18"/>
  <c r="DA57" i="18"/>
  <c r="CZ57" i="18"/>
  <c r="CY57" i="18"/>
  <c r="CX57" i="18"/>
  <c r="CW57" i="18"/>
  <c r="CV57" i="18"/>
  <c r="CU57" i="18"/>
  <c r="CT57" i="18"/>
  <c r="CS57" i="18"/>
  <c r="CR57" i="18"/>
  <c r="CQ57" i="18"/>
  <c r="CP57" i="18"/>
  <c r="CO57" i="18"/>
  <c r="CN57" i="18"/>
  <c r="CM57" i="18"/>
  <c r="CL57" i="18"/>
  <c r="CK57" i="18"/>
  <c r="CJ57" i="18"/>
  <c r="CH57" i="18"/>
  <c r="CI57" i="18"/>
  <c r="DC56" i="18"/>
  <c r="DB56" i="18"/>
  <c r="DA56" i="18"/>
  <c r="CZ56" i="18"/>
  <c r="CY56" i="18"/>
  <c r="CX56" i="18"/>
  <c r="CW56" i="18"/>
  <c r="CV56" i="18"/>
  <c r="CU56" i="18"/>
  <c r="CT56" i="18"/>
  <c r="CS56" i="18"/>
  <c r="CR56" i="18"/>
  <c r="CQ56" i="18"/>
  <c r="CP56" i="18"/>
  <c r="CO56" i="18"/>
  <c r="CN56" i="18"/>
  <c r="CM56" i="18"/>
  <c r="CL56" i="18"/>
  <c r="CK56" i="18"/>
  <c r="CJ56" i="18"/>
  <c r="CH56" i="18"/>
  <c r="CI56" i="18"/>
  <c r="DC55" i="18"/>
  <c r="DB55" i="18"/>
  <c r="DA55" i="18"/>
  <c r="CZ55" i="18"/>
  <c r="CY55" i="18"/>
  <c r="CX55" i="18"/>
  <c r="CW55" i="18"/>
  <c r="CV55" i="18"/>
  <c r="CU55" i="18"/>
  <c r="CT55" i="18"/>
  <c r="CS55" i="18"/>
  <c r="CR55" i="18"/>
  <c r="CQ55" i="18"/>
  <c r="CP55" i="18"/>
  <c r="CO55" i="18"/>
  <c r="CN55" i="18"/>
  <c r="CM55" i="18"/>
  <c r="CL55" i="18"/>
  <c r="CK55" i="18"/>
  <c r="CJ55" i="18"/>
  <c r="CH55" i="18"/>
  <c r="CI55" i="18"/>
  <c r="DC54" i="18"/>
  <c r="DB54" i="18"/>
  <c r="DA54" i="18"/>
  <c r="CZ54" i="18"/>
  <c r="CY54" i="18"/>
  <c r="CX54" i="18"/>
  <c r="CW54" i="18"/>
  <c r="CV54" i="18"/>
  <c r="CU54" i="18"/>
  <c r="CT54" i="18"/>
  <c r="CS54" i="18"/>
  <c r="CR54" i="18"/>
  <c r="CQ54" i="18"/>
  <c r="CP54" i="18"/>
  <c r="CO54" i="18"/>
  <c r="CN54" i="18"/>
  <c r="CM54" i="18"/>
  <c r="CL54" i="18"/>
  <c r="CK54" i="18"/>
  <c r="CJ54" i="18"/>
  <c r="CH54" i="18"/>
  <c r="CI54" i="18"/>
  <c r="DC53" i="18"/>
  <c r="DB53" i="18"/>
  <c r="DA53" i="18"/>
  <c r="CZ53" i="18"/>
  <c r="CY53" i="18"/>
  <c r="CX53" i="18"/>
  <c r="CW53" i="18"/>
  <c r="CV53" i="18"/>
  <c r="CU53" i="18"/>
  <c r="CT53" i="18"/>
  <c r="CS53" i="18"/>
  <c r="CR53" i="18"/>
  <c r="CQ53" i="18"/>
  <c r="CP53" i="18"/>
  <c r="CO53" i="18"/>
  <c r="CN53" i="18"/>
  <c r="CM53" i="18"/>
  <c r="CL53" i="18"/>
  <c r="CK53" i="18"/>
  <c r="CJ53" i="18"/>
  <c r="CH53" i="18"/>
  <c r="CI53" i="18"/>
  <c r="DC52" i="18"/>
  <c r="DB52" i="18"/>
  <c r="DA52" i="18"/>
  <c r="CZ52" i="18"/>
  <c r="CY52" i="18"/>
  <c r="CX52" i="18"/>
  <c r="CW52" i="18"/>
  <c r="CV52" i="18"/>
  <c r="CU52" i="18"/>
  <c r="CT52" i="18"/>
  <c r="CS52" i="18"/>
  <c r="CR52" i="18"/>
  <c r="CQ52" i="18"/>
  <c r="CP52" i="18"/>
  <c r="CO52" i="18"/>
  <c r="CN52" i="18"/>
  <c r="CM52" i="18"/>
  <c r="CL52" i="18"/>
  <c r="CK52" i="18"/>
  <c r="CJ52" i="18"/>
  <c r="CH52" i="18"/>
  <c r="CI52" i="18"/>
  <c r="DC51" i="18"/>
  <c r="DB51" i="18"/>
  <c r="DA51" i="18"/>
  <c r="CZ51" i="18"/>
  <c r="CY51" i="18"/>
  <c r="CX51" i="18"/>
  <c r="CV51" i="18"/>
  <c r="CU51" i="18"/>
  <c r="CT51" i="18"/>
  <c r="CS51" i="18"/>
  <c r="CR51" i="18"/>
  <c r="CQ51" i="18"/>
  <c r="CP51" i="18"/>
  <c r="CO51" i="18"/>
  <c r="CN51" i="18"/>
  <c r="CM51" i="18"/>
  <c r="CL51" i="18"/>
  <c r="CK51" i="18"/>
  <c r="CJ51" i="18"/>
  <c r="CH51" i="18"/>
  <c r="CI51" i="18"/>
  <c r="BG51" i="18"/>
  <c r="BG58" i="18"/>
  <c r="DC50" i="18"/>
  <c r="DB50" i="18"/>
  <c r="DA50" i="18"/>
  <c r="CZ50" i="18"/>
  <c r="CY50" i="18"/>
  <c r="CX50" i="18"/>
  <c r="CW50" i="18"/>
  <c r="CV50" i="18"/>
  <c r="CU50" i="18"/>
  <c r="CT50" i="18"/>
  <c r="CS50" i="18"/>
  <c r="CR50" i="18"/>
  <c r="CQ50" i="18"/>
  <c r="CP50" i="18"/>
  <c r="CO50" i="18"/>
  <c r="CN50" i="18"/>
  <c r="CM50" i="18"/>
  <c r="CL50" i="18"/>
  <c r="CK50" i="18"/>
  <c r="CJ50" i="18"/>
  <c r="CH50" i="18"/>
  <c r="CI50" i="18"/>
  <c r="DC49" i="18"/>
  <c r="DB49" i="18"/>
  <c r="DA49" i="18"/>
  <c r="CZ49" i="18"/>
  <c r="CY49" i="18"/>
  <c r="CX49" i="18"/>
  <c r="CW49" i="18"/>
  <c r="CV49" i="18"/>
  <c r="CU49" i="18"/>
  <c r="CT49" i="18"/>
  <c r="CS49" i="18"/>
  <c r="CR49" i="18"/>
  <c r="CQ49" i="18"/>
  <c r="CP49" i="18"/>
  <c r="CO49" i="18"/>
  <c r="CN49" i="18"/>
  <c r="CM49" i="18"/>
  <c r="CL49" i="18"/>
  <c r="CK49" i="18"/>
  <c r="CJ49" i="18"/>
  <c r="CH49" i="18"/>
  <c r="CI49" i="18"/>
  <c r="DC48" i="18"/>
  <c r="DB48" i="18"/>
  <c r="DA48" i="18"/>
  <c r="CZ48" i="18"/>
  <c r="CY48" i="18"/>
  <c r="CX48" i="18"/>
  <c r="CW48" i="18"/>
  <c r="CV48" i="18"/>
  <c r="CU48" i="18"/>
  <c r="CT48" i="18"/>
  <c r="CS48" i="18"/>
  <c r="CR48" i="18"/>
  <c r="CQ48" i="18"/>
  <c r="CP48" i="18"/>
  <c r="CO48" i="18"/>
  <c r="CN48" i="18"/>
  <c r="CM48" i="18"/>
  <c r="CL48" i="18"/>
  <c r="CK48" i="18"/>
  <c r="CJ48" i="18"/>
  <c r="CH48" i="18"/>
  <c r="CI48" i="18"/>
  <c r="DE48" i="18"/>
  <c r="BU47" i="18"/>
  <c r="BT47" i="18"/>
  <c r="BS47" i="18"/>
  <c r="BQ47" i="18"/>
  <c r="BP47" i="18"/>
  <c r="BO47" i="18"/>
  <c r="BO59" i="18"/>
  <c r="BM47" i="18"/>
  <c r="BL47" i="18"/>
  <c r="BK47" i="18"/>
  <c r="BK59" i="18"/>
  <c r="BJ47" i="18"/>
  <c r="BI47" i="18"/>
  <c r="BH47" i="18"/>
  <c r="BG47" i="18"/>
  <c r="BF47" i="18"/>
  <c r="BE47" i="18"/>
  <c r="DI47" i="18"/>
  <c r="BD47" i="18"/>
  <c r="BB47" i="18"/>
  <c r="BA47" i="18"/>
  <c r="AZ47" i="18"/>
  <c r="AY47" i="18"/>
  <c r="AX47" i="18"/>
  <c r="AW47" i="18"/>
  <c r="AV47" i="18"/>
  <c r="AU47" i="18"/>
  <c r="AT47" i="18"/>
  <c r="AS47" i="18"/>
  <c r="AR47" i="18"/>
  <c r="AQ47" i="18"/>
  <c r="AP47" i="18"/>
  <c r="AO47" i="18"/>
  <c r="AN47" i="18"/>
  <c r="AM47" i="18"/>
  <c r="AL47" i="18"/>
  <c r="AK47" i="18"/>
  <c r="AJ47" i="18"/>
  <c r="AI47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O59" i="18"/>
  <c r="N47" i="18"/>
  <c r="M47" i="18"/>
  <c r="M59" i="18"/>
  <c r="L47" i="18"/>
  <c r="K47" i="18"/>
  <c r="J47" i="18"/>
  <c r="I47" i="18"/>
  <c r="H47" i="18"/>
  <c r="G47" i="18"/>
  <c r="F47" i="18"/>
  <c r="E47" i="18"/>
  <c r="D47" i="18"/>
  <c r="DC46" i="18"/>
  <c r="DB46" i="18"/>
  <c r="DA46" i="18"/>
  <c r="CZ46" i="18"/>
  <c r="CY46" i="18"/>
  <c r="CX46" i="18"/>
  <c r="CW46" i="18"/>
  <c r="CV46" i="18"/>
  <c r="CU46" i="18"/>
  <c r="CT46" i="18"/>
  <c r="CS46" i="18"/>
  <c r="CR46" i="18"/>
  <c r="CQ46" i="18"/>
  <c r="CP46" i="18"/>
  <c r="CO46" i="18"/>
  <c r="CN46" i="18"/>
  <c r="CM46" i="18"/>
  <c r="CL46" i="18"/>
  <c r="CK46" i="18"/>
  <c r="CJ46" i="18"/>
  <c r="CH46" i="18"/>
  <c r="CI46" i="18"/>
  <c r="BR47" i="18"/>
  <c r="BC47" i="18"/>
  <c r="BU45" i="18"/>
  <c r="BT45" i="18"/>
  <c r="BQ45" i="18"/>
  <c r="BP45" i="18"/>
  <c r="BO45" i="18"/>
  <c r="BM45" i="18"/>
  <c r="BL45" i="18"/>
  <c r="BK45" i="18"/>
  <c r="BH45" i="18"/>
  <c r="BF45" i="18"/>
  <c r="BE45" i="18"/>
  <c r="BD45" i="18"/>
  <c r="BB45" i="18"/>
  <c r="BA45" i="18"/>
  <c r="AZ45" i="18"/>
  <c r="AY45" i="18"/>
  <c r="AX45" i="18"/>
  <c r="AW45" i="18"/>
  <c r="AV45" i="18"/>
  <c r="AU45" i="18"/>
  <c r="AT45" i="18"/>
  <c r="AS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DC44" i="18"/>
  <c r="DB44" i="18"/>
  <c r="DA44" i="18"/>
  <c r="CZ44" i="18"/>
  <c r="CY44" i="18"/>
  <c r="CX44" i="18"/>
  <c r="CW44" i="18"/>
  <c r="CV44" i="18"/>
  <c r="CU44" i="18"/>
  <c r="CT44" i="18"/>
  <c r="CS44" i="18"/>
  <c r="CR44" i="18"/>
  <c r="CQ44" i="18"/>
  <c r="CP44" i="18"/>
  <c r="CO44" i="18"/>
  <c r="CN44" i="18"/>
  <c r="CM44" i="18"/>
  <c r="CL44" i="18"/>
  <c r="CK44" i="18"/>
  <c r="CJ44" i="18"/>
  <c r="CH44" i="18"/>
  <c r="CI44" i="18"/>
  <c r="DC43" i="18"/>
  <c r="DB43" i="18"/>
  <c r="DA43" i="18"/>
  <c r="CZ43" i="18"/>
  <c r="CY43" i="18"/>
  <c r="CX43" i="18"/>
  <c r="CW43" i="18"/>
  <c r="CV43" i="18"/>
  <c r="CU43" i="18"/>
  <c r="CT43" i="18"/>
  <c r="CS43" i="18"/>
  <c r="CR43" i="18"/>
  <c r="CQ43" i="18"/>
  <c r="CP43" i="18"/>
  <c r="CO43" i="18"/>
  <c r="CN43" i="18"/>
  <c r="CM43" i="18"/>
  <c r="CL43" i="18"/>
  <c r="CK43" i="18"/>
  <c r="CJ43" i="18"/>
  <c r="CH43" i="18"/>
  <c r="CI43" i="18"/>
  <c r="DC42" i="18"/>
  <c r="DB42" i="18"/>
  <c r="DA42" i="18"/>
  <c r="CZ42" i="18"/>
  <c r="CY42" i="18"/>
  <c r="CX42" i="18"/>
  <c r="CW42" i="18"/>
  <c r="CV42" i="18"/>
  <c r="CU42" i="18"/>
  <c r="CT42" i="18"/>
  <c r="CS42" i="18"/>
  <c r="CR42" i="18"/>
  <c r="CQ42" i="18"/>
  <c r="CP42" i="18"/>
  <c r="CO42" i="18"/>
  <c r="CN42" i="18"/>
  <c r="CM42" i="18"/>
  <c r="CL42" i="18"/>
  <c r="CK42" i="18"/>
  <c r="CJ42" i="18"/>
  <c r="CH42" i="18"/>
  <c r="CI42" i="18"/>
  <c r="DC41" i="18"/>
  <c r="DB41" i="18"/>
  <c r="DA41" i="18"/>
  <c r="CZ41" i="18"/>
  <c r="CY41" i="18"/>
  <c r="CX41" i="18"/>
  <c r="CW41" i="18"/>
  <c r="CV41" i="18"/>
  <c r="CU41" i="18"/>
  <c r="CT41" i="18"/>
  <c r="CS41" i="18"/>
  <c r="CR41" i="18"/>
  <c r="CQ41" i="18"/>
  <c r="CP41" i="18"/>
  <c r="CO41" i="18"/>
  <c r="CN41" i="18"/>
  <c r="CM41" i="18"/>
  <c r="CL41" i="18"/>
  <c r="CK41" i="18"/>
  <c r="CJ41" i="18"/>
  <c r="CH41" i="18"/>
  <c r="CI41" i="18"/>
  <c r="DC40" i="18"/>
  <c r="DB40" i="18"/>
  <c r="DA40" i="18"/>
  <c r="CZ40" i="18"/>
  <c r="CY40" i="18"/>
  <c r="CX40" i="18"/>
  <c r="CW40" i="18"/>
  <c r="CV40" i="18"/>
  <c r="CU40" i="18"/>
  <c r="CT40" i="18"/>
  <c r="CS40" i="18"/>
  <c r="CR40" i="18"/>
  <c r="CQ40" i="18"/>
  <c r="CP40" i="18"/>
  <c r="CO40" i="18"/>
  <c r="CN40" i="18"/>
  <c r="CM40" i="18"/>
  <c r="CL40" i="18"/>
  <c r="CK40" i="18"/>
  <c r="CJ40" i="18"/>
  <c r="CH40" i="18"/>
  <c r="CI40" i="18"/>
  <c r="DC39" i="18"/>
  <c r="DB39" i="18"/>
  <c r="DA39" i="18"/>
  <c r="CZ39" i="18"/>
  <c r="CY39" i="18"/>
  <c r="CX39" i="18"/>
  <c r="CW39" i="18"/>
  <c r="CV39" i="18"/>
  <c r="CU39" i="18"/>
  <c r="CT39" i="18"/>
  <c r="CS39" i="18"/>
  <c r="CR39" i="18"/>
  <c r="CQ39" i="18"/>
  <c r="CP39" i="18"/>
  <c r="CO39" i="18"/>
  <c r="CN39" i="18"/>
  <c r="CM39" i="18"/>
  <c r="CL39" i="18"/>
  <c r="CK39" i="18"/>
  <c r="CJ39" i="18"/>
  <c r="CH39" i="18"/>
  <c r="CI39" i="18"/>
  <c r="DC38" i="18"/>
  <c r="DB38" i="18"/>
  <c r="DA38" i="18"/>
  <c r="CZ38" i="18"/>
  <c r="CY38" i="18"/>
  <c r="CX38" i="18"/>
  <c r="CW38" i="18"/>
  <c r="CV38" i="18"/>
  <c r="CU38" i="18"/>
  <c r="CT38" i="18"/>
  <c r="CS38" i="18"/>
  <c r="CR38" i="18"/>
  <c r="CQ38" i="18"/>
  <c r="CP38" i="18"/>
  <c r="CO38" i="18"/>
  <c r="CN38" i="18"/>
  <c r="CM38" i="18"/>
  <c r="CL38" i="18"/>
  <c r="CK38" i="18"/>
  <c r="CJ38" i="18"/>
  <c r="CH38" i="18"/>
  <c r="CI38" i="18"/>
  <c r="DE38" i="18"/>
  <c r="DC37" i="18"/>
  <c r="DB37" i="18"/>
  <c r="DA37" i="18"/>
  <c r="CZ37" i="18"/>
  <c r="CY37" i="18"/>
  <c r="CX37" i="18"/>
  <c r="CW37" i="18"/>
  <c r="CV37" i="18"/>
  <c r="CU37" i="18"/>
  <c r="CT37" i="18"/>
  <c r="CS37" i="18"/>
  <c r="CR37" i="18"/>
  <c r="CQ37" i="18"/>
  <c r="CP37" i="18"/>
  <c r="CO37" i="18"/>
  <c r="CN37" i="18"/>
  <c r="CM37" i="18"/>
  <c r="CL37" i="18"/>
  <c r="CK37" i="18"/>
  <c r="CJ37" i="18"/>
  <c r="CH37" i="18"/>
  <c r="CI37" i="18"/>
  <c r="DC35" i="18"/>
  <c r="DB35" i="18"/>
  <c r="DA35" i="18"/>
  <c r="CZ35" i="18"/>
  <c r="CY35" i="18"/>
  <c r="CX35" i="18"/>
  <c r="CV35" i="18"/>
  <c r="CU35" i="18"/>
  <c r="CT35" i="18"/>
  <c r="CS35" i="18"/>
  <c r="CR35" i="18"/>
  <c r="CQ35" i="18"/>
  <c r="CP35" i="18"/>
  <c r="CO35" i="18"/>
  <c r="CN35" i="18"/>
  <c r="CM35" i="18"/>
  <c r="CL35" i="18"/>
  <c r="CK35" i="18"/>
  <c r="CJ35" i="18"/>
  <c r="CH35" i="18"/>
  <c r="CI35" i="18"/>
  <c r="BI35" i="18"/>
  <c r="BG35" i="18"/>
  <c r="DC34" i="18"/>
  <c r="DB34" i="18"/>
  <c r="DA34" i="18"/>
  <c r="CZ34" i="18"/>
  <c r="CY34" i="18"/>
  <c r="CX34" i="18"/>
  <c r="CW34" i="18"/>
  <c r="CV34" i="18"/>
  <c r="CU34" i="18"/>
  <c r="CT34" i="18"/>
  <c r="CS34" i="18"/>
  <c r="CR34" i="18"/>
  <c r="CQ34" i="18"/>
  <c r="CP34" i="18"/>
  <c r="CO34" i="18"/>
  <c r="CN34" i="18"/>
  <c r="CM34" i="18"/>
  <c r="CL34" i="18"/>
  <c r="CK34" i="18"/>
  <c r="CJ34" i="18"/>
  <c r="CH34" i="18"/>
  <c r="CI34" i="18"/>
  <c r="DC33" i="18"/>
  <c r="DB33" i="18"/>
  <c r="DA33" i="18"/>
  <c r="CZ33" i="18"/>
  <c r="CY33" i="18"/>
  <c r="CX33" i="18"/>
  <c r="CV33" i="18"/>
  <c r="CU33" i="18"/>
  <c r="CT33" i="18"/>
  <c r="CS33" i="18"/>
  <c r="CR33" i="18"/>
  <c r="CQ33" i="18"/>
  <c r="CP33" i="18"/>
  <c r="CO33" i="18"/>
  <c r="CN33" i="18"/>
  <c r="CM33" i="18"/>
  <c r="CL33" i="18"/>
  <c r="CK33" i="18"/>
  <c r="CJ33" i="18"/>
  <c r="CH33" i="18"/>
  <c r="CI33" i="18"/>
  <c r="BI33" i="18"/>
  <c r="BG33" i="18"/>
  <c r="DC31" i="18"/>
  <c r="DB31" i="18"/>
  <c r="DA31" i="18"/>
  <c r="CZ31" i="18"/>
  <c r="CY31" i="18"/>
  <c r="CX31" i="18"/>
  <c r="CW31" i="18"/>
  <c r="CV31" i="18"/>
  <c r="CU31" i="18"/>
  <c r="CT31" i="18"/>
  <c r="CS31" i="18"/>
  <c r="CR31" i="18"/>
  <c r="CQ31" i="18"/>
  <c r="CP31" i="18"/>
  <c r="CO31" i="18"/>
  <c r="CN31" i="18"/>
  <c r="CM31" i="18"/>
  <c r="CL31" i="18"/>
  <c r="CK31" i="18"/>
  <c r="CJ31" i="18"/>
  <c r="CH31" i="18"/>
  <c r="CI31" i="18"/>
  <c r="DE31" i="18"/>
  <c r="DC30" i="18"/>
  <c r="DB30" i="18"/>
  <c r="DA30" i="18"/>
  <c r="CZ30" i="18"/>
  <c r="CY30" i="18"/>
  <c r="CX30" i="18"/>
  <c r="CW30" i="18"/>
  <c r="CV30" i="18"/>
  <c r="CU30" i="18"/>
  <c r="CT30" i="18"/>
  <c r="CS30" i="18"/>
  <c r="CR30" i="18"/>
  <c r="CQ30" i="18"/>
  <c r="CP30" i="18"/>
  <c r="CO30" i="18"/>
  <c r="CN30" i="18"/>
  <c r="CM30" i="18"/>
  <c r="CL30" i="18"/>
  <c r="CK30" i="18"/>
  <c r="CJ30" i="18"/>
  <c r="CH30" i="18"/>
  <c r="CI30" i="18"/>
  <c r="DC29" i="18"/>
  <c r="DB29" i="18"/>
  <c r="DA29" i="18"/>
  <c r="CZ29" i="18"/>
  <c r="CY29" i="18"/>
  <c r="CX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H29" i="18"/>
  <c r="CI29" i="18"/>
  <c r="BG29" i="18"/>
  <c r="CW29" i="18"/>
  <c r="DC28" i="18"/>
  <c r="DB28" i="18"/>
  <c r="DA28" i="18"/>
  <c r="CZ28" i="18"/>
  <c r="CY28" i="18"/>
  <c r="CX28" i="18"/>
  <c r="CW28" i="18"/>
  <c r="CV28" i="18"/>
  <c r="CU28" i="18"/>
  <c r="CT28" i="18"/>
  <c r="CS28" i="18"/>
  <c r="CR28" i="18"/>
  <c r="CQ28" i="18"/>
  <c r="CP28" i="18"/>
  <c r="CO28" i="18"/>
  <c r="CN28" i="18"/>
  <c r="CM28" i="18"/>
  <c r="CL28" i="18"/>
  <c r="CK28" i="18"/>
  <c r="CJ28" i="18"/>
  <c r="CH28" i="18"/>
  <c r="CI28" i="18"/>
  <c r="DC27" i="18"/>
  <c r="DB27" i="18"/>
  <c r="DA27" i="18"/>
  <c r="CZ27" i="18"/>
  <c r="CY27" i="18"/>
  <c r="CX27" i="18"/>
  <c r="CW27" i="18"/>
  <c r="CV27" i="18"/>
  <c r="CU27" i="18"/>
  <c r="CT27" i="18"/>
  <c r="CS27" i="18"/>
  <c r="CR27" i="18"/>
  <c r="CQ27" i="18"/>
  <c r="CP27" i="18"/>
  <c r="CO27" i="18"/>
  <c r="CN27" i="18"/>
  <c r="CM27" i="18"/>
  <c r="CL27" i="18"/>
  <c r="CK27" i="18"/>
  <c r="CJ27" i="18"/>
  <c r="CH27" i="18"/>
  <c r="CI27" i="18"/>
  <c r="DC26" i="18"/>
  <c r="DB26" i="18"/>
  <c r="DA26" i="18"/>
  <c r="CZ26" i="18"/>
  <c r="CY26" i="18"/>
  <c r="CX26" i="18"/>
  <c r="CV26" i="18"/>
  <c r="CU26" i="18"/>
  <c r="CT26" i="18"/>
  <c r="CS26" i="18"/>
  <c r="CR26" i="18"/>
  <c r="CQ26" i="18"/>
  <c r="CP26" i="18"/>
  <c r="CO26" i="18"/>
  <c r="CN26" i="18"/>
  <c r="CM26" i="18"/>
  <c r="CL26" i="18"/>
  <c r="CK26" i="18"/>
  <c r="CJ26" i="18"/>
  <c r="CH26" i="18"/>
  <c r="CI26" i="18"/>
  <c r="BG26" i="18"/>
  <c r="CW26" i="18"/>
  <c r="DE26" i="18"/>
  <c r="DC25" i="18"/>
  <c r="DB25" i="18"/>
  <c r="DA25" i="18"/>
  <c r="CZ25" i="18"/>
  <c r="CY25" i="18"/>
  <c r="CX25" i="18"/>
  <c r="CV25" i="18"/>
  <c r="CU25" i="18"/>
  <c r="CT25" i="18"/>
  <c r="CS25" i="18"/>
  <c r="CR25" i="18"/>
  <c r="CQ25" i="18"/>
  <c r="CP25" i="18"/>
  <c r="CO25" i="18"/>
  <c r="CN25" i="18"/>
  <c r="CM25" i="18"/>
  <c r="CL25" i="18"/>
  <c r="CK25" i="18"/>
  <c r="CJ25" i="18"/>
  <c r="CH25" i="18"/>
  <c r="CI25" i="18"/>
  <c r="BI25" i="18"/>
  <c r="BG25" i="18"/>
  <c r="DC24" i="18"/>
  <c r="DB24" i="18"/>
  <c r="DA24" i="18"/>
  <c r="CZ24" i="18"/>
  <c r="CY24" i="18"/>
  <c r="CX24" i="18"/>
  <c r="CW24" i="18"/>
  <c r="CV24" i="18"/>
  <c r="CU24" i="18"/>
  <c r="CT24" i="18"/>
  <c r="CS24" i="18"/>
  <c r="CR24" i="18"/>
  <c r="CQ24" i="18"/>
  <c r="CP24" i="18"/>
  <c r="CO24" i="18"/>
  <c r="CN24" i="18"/>
  <c r="CM24" i="18"/>
  <c r="CL24" i="18"/>
  <c r="CK24" i="18"/>
  <c r="CJ24" i="18"/>
  <c r="CH24" i="18"/>
  <c r="CI24" i="18"/>
  <c r="DE24" i="18"/>
  <c r="DC23" i="18"/>
  <c r="DB23" i="18"/>
  <c r="DA23" i="18"/>
  <c r="CZ23" i="18"/>
  <c r="CY23" i="18"/>
  <c r="CX23" i="18"/>
  <c r="CW23" i="18"/>
  <c r="CV23" i="18"/>
  <c r="CU23" i="18"/>
  <c r="CT23" i="18"/>
  <c r="CS23" i="18"/>
  <c r="CR23" i="18"/>
  <c r="CQ23" i="18"/>
  <c r="CP23" i="18"/>
  <c r="CO23" i="18"/>
  <c r="CN23" i="18"/>
  <c r="DE23" i="18"/>
  <c r="CM23" i="18"/>
  <c r="CL23" i="18"/>
  <c r="CK23" i="18"/>
  <c r="CJ23" i="18"/>
  <c r="CH23" i="18"/>
  <c r="CI23" i="18"/>
  <c r="DC22" i="18"/>
  <c r="DB22" i="18"/>
  <c r="DA22" i="18"/>
  <c r="CZ22" i="18"/>
  <c r="CY22" i="18"/>
  <c r="CX22" i="18"/>
  <c r="CW22" i="18"/>
  <c r="CV22" i="18"/>
  <c r="CU22" i="18"/>
  <c r="CT22" i="18"/>
  <c r="DE22" i="18"/>
  <c r="CS22" i="18"/>
  <c r="CR22" i="18"/>
  <c r="CQ22" i="18"/>
  <c r="CP22" i="18"/>
  <c r="CO22" i="18"/>
  <c r="CN22" i="18"/>
  <c r="CM22" i="18"/>
  <c r="CL22" i="18"/>
  <c r="CK22" i="18"/>
  <c r="CJ22" i="18"/>
  <c r="CH22" i="18"/>
  <c r="CI22" i="18"/>
  <c r="DC21" i="18"/>
  <c r="DB21" i="18"/>
  <c r="DA21" i="18"/>
  <c r="CZ21" i="18"/>
  <c r="CY21" i="18"/>
  <c r="CX21" i="18"/>
  <c r="CW21" i="18"/>
  <c r="CV21" i="18"/>
  <c r="CU21" i="18"/>
  <c r="CT21" i="18"/>
  <c r="CS21" i="18"/>
  <c r="CR21" i="18"/>
  <c r="CQ21" i="18"/>
  <c r="CP21" i="18"/>
  <c r="CO21" i="18"/>
  <c r="CN21" i="18"/>
  <c r="CM21" i="18"/>
  <c r="CL21" i="18"/>
  <c r="CK21" i="18"/>
  <c r="CJ21" i="18"/>
  <c r="CH21" i="18"/>
  <c r="CI21" i="18"/>
  <c r="DC20" i="18"/>
  <c r="DB20" i="18"/>
  <c r="DA20" i="18"/>
  <c r="CZ20" i="18"/>
  <c r="CY20" i="18"/>
  <c r="CX20" i="18"/>
  <c r="CW20" i="18"/>
  <c r="CV20" i="18"/>
  <c r="CU20" i="18"/>
  <c r="CT20" i="18"/>
  <c r="CS20" i="18"/>
  <c r="CR20" i="18"/>
  <c r="CQ20" i="18"/>
  <c r="CP20" i="18"/>
  <c r="CO20" i="18"/>
  <c r="CN20" i="18"/>
  <c r="CM20" i="18"/>
  <c r="CL20" i="18"/>
  <c r="CK20" i="18"/>
  <c r="CJ20" i="18"/>
  <c r="CH20" i="18"/>
  <c r="CI20" i="18"/>
  <c r="DE20" i="18"/>
  <c r="DC19" i="18"/>
  <c r="DB19" i="18"/>
  <c r="DA19" i="18"/>
  <c r="CZ19" i="18"/>
  <c r="CY19" i="18"/>
  <c r="CX19" i="18"/>
  <c r="CV19" i="18"/>
  <c r="CU19" i="18"/>
  <c r="CT19" i="18"/>
  <c r="CS19" i="18"/>
  <c r="CR19" i="18"/>
  <c r="CQ19" i="18"/>
  <c r="CP19" i="18"/>
  <c r="CO19" i="18"/>
  <c r="CN19" i="18"/>
  <c r="CM19" i="18"/>
  <c r="CL19" i="18"/>
  <c r="CK19" i="18"/>
  <c r="CJ19" i="18"/>
  <c r="CH19" i="18"/>
  <c r="CI19" i="18"/>
  <c r="BI19" i="18"/>
  <c r="BG19" i="18"/>
  <c r="CW19" i="18"/>
  <c r="DC17" i="18"/>
  <c r="DB17" i="18"/>
  <c r="DA17" i="18"/>
  <c r="CZ17" i="18"/>
  <c r="CY17" i="18"/>
  <c r="CX17" i="18"/>
  <c r="CW17" i="18"/>
  <c r="CV17" i="18"/>
  <c r="CU17" i="18"/>
  <c r="CT17" i="18"/>
  <c r="CS17" i="18"/>
  <c r="CR17" i="18"/>
  <c r="CQ17" i="18"/>
  <c r="CP17" i="18"/>
  <c r="CO17" i="18"/>
  <c r="CN17" i="18"/>
  <c r="CM17" i="18"/>
  <c r="CL17" i="18"/>
  <c r="CK17" i="18"/>
  <c r="CJ17" i="18"/>
  <c r="CH17" i="18"/>
  <c r="CI17" i="18"/>
  <c r="DC16" i="18"/>
  <c r="DB16" i="18"/>
  <c r="DA16" i="18"/>
  <c r="CZ16" i="18"/>
  <c r="CY16" i="18"/>
  <c r="CX16" i="18"/>
  <c r="CW16" i="18"/>
  <c r="CV16" i="18"/>
  <c r="CU16" i="18"/>
  <c r="CT16" i="18"/>
  <c r="CS16" i="18"/>
  <c r="CR16" i="18"/>
  <c r="CQ16" i="18"/>
  <c r="CP16" i="18"/>
  <c r="CO16" i="18"/>
  <c r="CN16" i="18"/>
  <c r="CM16" i="18"/>
  <c r="CL16" i="18"/>
  <c r="CK16" i="18"/>
  <c r="CJ16" i="18"/>
  <c r="CH16" i="18"/>
  <c r="CI16" i="18"/>
  <c r="DC15" i="18"/>
  <c r="DB15" i="18"/>
  <c r="DA15" i="18"/>
  <c r="CZ15" i="18"/>
  <c r="CY15" i="18"/>
  <c r="CX15" i="18"/>
  <c r="CW15" i="18"/>
  <c r="CV15" i="18"/>
  <c r="CU15" i="18"/>
  <c r="CT15" i="18"/>
  <c r="CS15" i="18"/>
  <c r="CR15" i="18"/>
  <c r="CQ15" i="18"/>
  <c r="CP15" i="18"/>
  <c r="CO15" i="18"/>
  <c r="CN15" i="18"/>
  <c r="CM15" i="18"/>
  <c r="CL15" i="18"/>
  <c r="CK15" i="18"/>
  <c r="CJ15" i="18"/>
  <c r="CH15" i="18"/>
  <c r="CI15" i="18"/>
  <c r="DH14" i="18"/>
  <c r="BU13" i="18"/>
  <c r="BT13" i="18"/>
  <c r="BS13" i="18"/>
  <c r="BQ13" i="18"/>
  <c r="BQ59" i="18"/>
  <c r="BP13" i="18"/>
  <c r="BP59" i="18"/>
  <c r="BO13" i="18"/>
  <c r="BM13" i="18"/>
  <c r="BL13" i="18"/>
  <c r="BK13" i="18"/>
  <c r="BI13" i="18"/>
  <c r="BH13" i="18"/>
  <c r="BG13" i="18"/>
  <c r="BF13" i="18"/>
  <c r="BE13" i="18"/>
  <c r="BD13" i="18"/>
  <c r="BB13" i="18"/>
  <c r="BB59" i="18"/>
  <c r="BA13" i="18"/>
  <c r="AZ13" i="18"/>
  <c r="AY13" i="18"/>
  <c r="AX13" i="18"/>
  <c r="AX59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L59" i="18"/>
  <c r="AK13" i="18"/>
  <c r="AJ13" i="18"/>
  <c r="AI13" i="18"/>
  <c r="AH13" i="18"/>
  <c r="AH59" i="18"/>
  <c r="AG13" i="18"/>
  <c r="AF13" i="18"/>
  <c r="AE13" i="18"/>
  <c r="AD13" i="18"/>
  <c r="AC13" i="18"/>
  <c r="AB13" i="18"/>
  <c r="AA13" i="18"/>
  <c r="Z13" i="18"/>
  <c r="Y13" i="18"/>
  <c r="Y59" i="18"/>
  <c r="X13" i="18"/>
  <c r="W13" i="18"/>
  <c r="V13" i="18"/>
  <c r="U13" i="18"/>
  <c r="T13" i="18"/>
  <c r="S13" i="18"/>
  <c r="R13" i="18"/>
  <c r="R59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DC12" i="18"/>
  <c r="DB12" i="18"/>
  <c r="DA12" i="18"/>
  <c r="CZ12" i="18"/>
  <c r="CY12" i="18"/>
  <c r="CX12" i="18"/>
  <c r="CW12" i="18"/>
  <c r="CV12" i="18"/>
  <c r="CU12" i="18"/>
  <c r="CT12" i="18"/>
  <c r="CS12" i="18"/>
  <c r="CR12" i="18"/>
  <c r="CQ12" i="18"/>
  <c r="CP12" i="18"/>
  <c r="CO12" i="18"/>
  <c r="CN12" i="18"/>
  <c r="CM12" i="18"/>
  <c r="CL12" i="18"/>
  <c r="CK12" i="18"/>
  <c r="CJ12" i="18"/>
  <c r="CH12" i="18"/>
  <c r="CI12" i="18"/>
  <c r="DC11" i="18"/>
  <c r="DB11" i="18"/>
  <c r="DA11" i="18"/>
  <c r="CZ11" i="18"/>
  <c r="CY11" i="18"/>
  <c r="CX11" i="18"/>
  <c r="CW11" i="18"/>
  <c r="CV11" i="18"/>
  <c r="CU11" i="18"/>
  <c r="CT11" i="18"/>
  <c r="CS11" i="18"/>
  <c r="CR11" i="18"/>
  <c r="CQ11" i="18"/>
  <c r="CP11" i="18"/>
  <c r="CO11" i="18"/>
  <c r="CN11" i="18"/>
  <c r="CM11" i="18"/>
  <c r="CL11" i="18"/>
  <c r="CK11" i="18"/>
  <c r="CJ11" i="18"/>
  <c r="CH11" i="18"/>
  <c r="CI11" i="18"/>
  <c r="DC10" i="18"/>
  <c r="DB10" i="18"/>
  <c r="DA10" i="18"/>
  <c r="CZ10" i="18"/>
  <c r="CY10" i="18"/>
  <c r="CX10" i="18"/>
  <c r="CW10" i="18"/>
  <c r="CV10" i="18"/>
  <c r="CU10" i="18"/>
  <c r="CT10" i="18"/>
  <c r="CS10" i="18"/>
  <c r="CR10" i="18"/>
  <c r="CQ10" i="18"/>
  <c r="CP10" i="18"/>
  <c r="CO10" i="18"/>
  <c r="CN10" i="18"/>
  <c r="CM10" i="18"/>
  <c r="CL10" i="18"/>
  <c r="CK10" i="18"/>
  <c r="CJ10" i="18"/>
  <c r="CH10" i="18"/>
  <c r="CI10" i="18"/>
  <c r="DC9" i="18"/>
  <c r="DB9" i="18"/>
  <c r="DA9" i="18"/>
  <c r="CZ9" i="18"/>
  <c r="CY9" i="18"/>
  <c r="CX9" i="18"/>
  <c r="CW9" i="18"/>
  <c r="CV9" i="18"/>
  <c r="CU9" i="18"/>
  <c r="CT9" i="18"/>
  <c r="CS9" i="18"/>
  <c r="CR9" i="18"/>
  <c r="CQ9" i="18"/>
  <c r="CP9" i="18"/>
  <c r="CO9" i="18"/>
  <c r="CN9" i="18"/>
  <c r="CM9" i="18"/>
  <c r="CL9" i="18"/>
  <c r="CK9" i="18"/>
  <c r="CJ9" i="18"/>
  <c r="CH9" i="18"/>
  <c r="CI9" i="18"/>
  <c r="DC8" i="18"/>
  <c r="DB8" i="18"/>
  <c r="DA8" i="18"/>
  <c r="CZ8" i="18"/>
  <c r="CY8" i="18"/>
  <c r="CX8" i="18"/>
  <c r="CW8" i="18"/>
  <c r="CV8" i="18"/>
  <c r="CU8" i="18"/>
  <c r="CT8" i="18"/>
  <c r="CS8" i="18"/>
  <c r="CR8" i="18"/>
  <c r="CQ8" i="18"/>
  <c r="CP8" i="18"/>
  <c r="CO8" i="18"/>
  <c r="CN8" i="18"/>
  <c r="CM8" i="18"/>
  <c r="CL8" i="18"/>
  <c r="CK8" i="18"/>
  <c r="CJ8" i="18"/>
  <c r="CH8" i="18"/>
  <c r="CI8" i="18"/>
  <c r="DE8" i="18"/>
  <c r="DC7" i="18"/>
  <c r="DB7" i="18"/>
  <c r="DA7" i="18"/>
  <c r="CZ7" i="18"/>
  <c r="CY7" i="18"/>
  <c r="CX7" i="18"/>
  <c r="CW7" i="18"/>
  <c r="CV7" i="18"/>
  <c r="CU7" i="18"/>
  <c r="CT7" i="18"/>
  <c r="CS7" i="18"/>
  <c r="CR7" i="18"/>
  <c r="CQ7" i="18"/>
  <c r="CP7" i="18"/>
  <c r="CO7" i="18"/>
  <c r="CN7" i="18"/>
  <c r="CM7" i="18"/>
  <c r="CL7" i="18"/>
  <c r="CK7" i="18"/>
  <c r="CJ7" i="18"/>
  <c r="CH7" i="18"/>
  <c r="CI7" i="18"/>
  <c r="DC6" i="18"/>
  <c r="DB6" i="18"/>
  <c r="DA6" i="18"/>
  <c r="CZ6" i="18"/>
  <c r="CY6" i="18"/>
  <c r="CX6" i="18"/>
  <c r="CW6" i="18"/>
  <c r="CV6" i="18"/>
  <c r="CU6" i="18"/>
  <c r="CT6" i="18"/>
  <c r="CS6" i="18"/>
  <c r="CR6" i="18"/>
  <c r="CQ6" i="18"/>
  <c r="CP6" i="18"/>
  <c r="CO6" i="18"/>
  <c r="CN6" i="18"/>
  <c r="CM6" i="18"/>
  <c r="CL6" i="18"/>
  <c r="CK6" i="18"/>
  <c r="CJ6" i="18"/>
  <c r="CH6" i="18"/>
  <c r="CI6" i="18"/>
  <c r="DC5" i="18"/>
  <c r="DB5" i="18"/>
  <c r="DA5" i="18"/>
  <c r="CZ5" i="18"/>
  <c r="CY5" i="18"/>
  <c r="CX5" i="18"/>
  <c r="CW5" i="18"/>
  <c r="CV5" i="18"/>
  <c r="CU5" i="18"/>
  <c r="CT5" i="18"/>
  <c r="CS5" i="18"/>
  <c r="CR5" i="18"/>
  <c r="CQ5" i="18"/>
  <c r="CP5" i="18"/>
  <c r="CO5" i="18"/>
  <c r="CN5" i="18"/>
  <c r="CM5" i="18"/>
  <c r="CL5" i="18"/>
  <c r="CK5" i="18"/>
  <c r="CJ5" i="18"/>
  <c r="CH5" i="18"/>
  <c r="CI5" i="18"/>
  <c r="BR13" i="18"/>
  <c r="G58" i="17"/>
  <c r="H58" i="17"/>
  <c r="I58" i="17"/>
  <c r="J58" i="17"/>
  <c r="J59" i="17"/>
  <c r="K58" i="17"/>
  <c r="L58" i="17"/>
  <c r="M58" i="17"/>
  <c r="N58" i="17"/>
  <c r="O58" i="17"/>
  <c r="P58" i="17"/>
  <c r="Q58" i="17"/>
  <c r="Q59" i="17"/>
  <c r="R58" i="17"/>
  <c r="R59" i="17"/>
  <c r="S58" i="17"/>
  <c r="T58" i="17"/>
  <c r="T59" i="17"/>
  <c r="U58" i="17"/>
  <c r="V58" i="17"/>
  <c r="W58" i="17"/>
  <c r="X58" i="17"/>
  <c r="Y58" i="17"/>
  <c r="Y59" i="17"/>
  <c r="Z58" i="17"/>
  <c r="AA58" i="17"/>
  <c r="AB58" i="17"/>
  <c r="AC58" i="17"/>
  <c r="AD58" i="17"/>
  <c r="AE58" i="17"/>
  <c r="AF58" i="17"/>
  <c r="AG58" i="17"/>
  <c r="AG59" i="17"/>
  <c r="AH58" i="17"/>
  <c r="AI58" i="17"/>
  <c r="AJ58" i="17"/>
  <c r="AK58" i="17"/>
  <c r="AL58" i="17"/>
  <c r="AM58" i="17"/>
  <c r="AM59" i="17"/>
  <c r="AN58" i="17"/>
  <c r="AN59" i="17"/>
  <c r="AO58" i="17"/>
  <c r="AP58" i="17"/>
  <c r="AQ58" i="17"/>
  <c r="AR58" i="17"/>
  <c r="AS58" i="17"/>
  <c r="AT58" i="17"/>
  <c r="AT59" i="17"/>
  <c r="AU58" i="17"/>
  <c r="AU59" i="17"/>
  <c r="AV58" i="17"/>
  <c r="AW58" i="17"/>
  <c r="AW59" i="17"/>
  <c r="AX58" i="17"/>
  <c r="AY58" i="17"/>
  <c r="AY59" i="17"/>
  <c r="AZ58" i="17"/>
  <c r="AZ59" i="17"/>
  <c r="BA58" i="17"/>
  <c r="BA59" i="17"/>
  <c r="BB58" i="17"/>
  <c r="BD58" i="17"/>
  <c r="BE58" i="17"/>
  <c r="BF58" i="17"/>
  <c r="BH58" i="17"/>
  <c r="BI58" i="17"/>
  <c r="BK58" i="17"/>
  <c r="BL58" i="17"/>
  <c r="BM58" i="17"/>
  <c r="BO58" i="17"/>
  <c r="BO59" i="17"/>
  <c r="BP58" i="17"/>
  <c r="BQ58" i="17"/>
  <c r="BS58" i="17"/>
  <c r="BS59" i="17"/>
  <c r="BT58" i="17"/>
  <c r="BU58" i="17"/>
  <c r="BX58" i="17"/>
  <c r="BY58" i="17"/>
  <c r="CB58" i="17"/>
  <c r="CC58" i="17"/>
  <c r="CJ58" i="17"/>
  <c r="CK58" i="17"/>
  <c r="CK59" i="17"/>
  <c r="E58" i="17"/>
  <c r="E59" i="17"/>
  <c r="F58" i="17"/>
  <c r="D58" i="17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S59" i="17"/>
  <c r="T47" i="17"/>
  <c r="U47" i="17"/>
  <c r="U59" i="17"/>
  <c r="V47" i="17"/>
  <c r="W47" i="17"/>
  <c r="X47" i="17"/>
  <c r="Y47" i="17"/>
  <c r="Z47" i="17"/>
  <c r="AA47" i="17"/>
  <c r="AA59" i="17"/>
  <c r="AB47" i="17"/>
  <c r="AC47" i="17"/>
  <c r="AC59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O59" i="17"/>
  <c r="AP47" i="17"/>
  <c r="AQ47" i="17"/>
  <c r="AR47" i="17"/>
  <c r="AS47" i="17"/>
  <c r="AT47" i="17"/>
  <c r="AU47" i="17"/>
  <c r="AV47" i="17"/>
  <c r="AW47" i="17"/>
  <c r="AX47" i="17"/>
  <c r="AY47" i="17"/>
  <c r="AZ47" i="17"/>
  <c r="BA47" i="17"/>
  <c r="BB47" i="17"/>
  <c r="BD47" i="17"/>
  <c r="BD59" i="17"/>
  <c r="BE47" i="17"/>
  <c r="BE59" i="17"/>
  <c r="BF47" i="17"/>
  <c r="BF59" i="17"/>
  <c r="BG47" i="17"/>
  <c r="BH47" i="17"/>
  <c r="BH59" i="17"/>
  <c r="BI47" i="17"/>
  <c r="BK47" i="17"/>
  <c r="BL47" i="17"/>
  <c r="BM47" i="17"/>
  <c r="BO47" i="17"/>
  <c r="BP47" i="17"/>
  <c r="BQ47" i="17"/>
  <c r="BS47" i="17"/>
  <c r="BT47" i="17"/>
  <c r="BU47" i="17"/>
  <c r="BU59" i="17"/>
  <c r="BX47" i="17"/>
  <c r="BX59" i="17"/>
  <c r="BY47" i="17"/>
  <c r="BY59" i="17"/>
  <c r="CB47" i="17"/>
  <c r="CB59" i="17"/>
  <c r="CC47" i="17"/>
  <c r="CJ47" i="17"/>
  <c r="CK47" i="17"/>
  <c r="D47" i="17"/>
  <c r="E45" i="17"/>
  <c r="F45" i="17"/>
  <c r="G45" i="17"/>
  <c r="H45" i="17"/>
  <c r="I45" i="17"/>
  <c r="J45" i="17"/>
  <c r="K45" i="17"/>
  <c r="L45" i="17"/>
  <c r="L59" i="17"/>
  <c r="M45" i="17"/>
  <c r="M59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E59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AZ45" i="17"/>
  <c r="BA45" i="17"/>
  <c r="BB45" i="17"/>
  <c r="BD45" i="17"/>
  <c r="BE45" i="17"/>
  <c r="BF45" i="17"/>
  <c r="BH45" i="17"/>
  <c r="BK45" i="17"/>
  <c r="BL45" i="17"/>
  <c r="BM45" i="17"/>
  <c r="BO45" i="17"/>
  <c r="BP45" i="17"/>
  <c r="BP59" i="17"/>
  <c r="BQ45" i="17"/>
  <c r="BT45" i="17"/>
  <c r="BU45" i="17"/>
  <c r="BX45" i="17"/>
  <c r="BY45" i="17"/>
  <c r="CB45" i="17"/>
  <c r="CC45" i="17"/>
  <c r="CJ45" i="17"/>
  <c r="CK45" i="17"/>
  <c r="D45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U13" i="17"/>
  <c r="V13" i="17"/>
  <c r="W13" i="17"/>
  <c r="X13" i="17"/>
  <c r="Y13" i="17"/>
  <c r="Z13" i="17"/>
  <c r="AA13" i="17"/>
  <c r="AB13" i="17"/>
  <c r="AC13" i="17"/>
  <c r="AD13" i="17"/>
  <c r="AE13" i="17"/>
  <c r="AF13" i="17"/>
  <c r="AG13" i="17"/>
  <c r="AH13" i="17"/>
  <c r="AI13" i="17"/>
  <c r="AJ13" i="17"/>
  <c r="AK13" i="17"/>
  <c r="AL13" i="17"/>
  <c r="AL59" i="17"/>
  <c r="AM13" i="17"/>
  <c r="AN13" i="17"/>
  <c r="AO13" i="17"/>
  <c r="AP13" i="17"/>
  <c r="AQ13" i="17"/>
  <c r="AR13" i="17"/>
  <c r="AS13" i="17"/>
  <c r="AT13" i="17"/>
  <c r="AU13" i="17"/>
  <c r="AV13" i="17"/>
  <c r="AW13" i="17"/>
  <c r="AX13" i="17"/>
  <c r="AX59" i="17"/>
  <c r="AY13" i="17"/>
  <c r="AZ13" i="17"/>
  <c r="BA13" i="17"/>
  <c r="BB13" i="17"/>
  <c r="BD13" i="17"/>
  <c r="BE13" i="17"/>
  <c r="BF13" i="17"/>
  <c r="BG13" i="17"/>
  <c r="BH13" i="17"/>
  <c r="BI13" i="17"/>
  <c r="BK13" i="17"/>
  <c r="BK59" i="17"/>
  <c r="BL13" i="17"/>
  <c r="BM13" i="17"/>
  <c r="BO13" i="17"/>
  <c r="BP13" i="17"/>
  <c r="BQ13" i="17"/>
  <c r="BS13" i="17"/>
  <c r="BT13" i="17"/>
  <c r="BU13" i="17"/>
  <c r="BX13" i="17"/>
  <c r="BY13" i="17"/>
  <c r="CB13" i="17"/>
  <c r="CC13" i="17"/>
  <c r="CJ13" i="17"/>
  <c r="CK13" i="17"/>
  <c r="D13" i="17"/>
  <c r="D59" i="17"/>
  <c r="DH57" i="17"/>
  <c r="DG57" i="17"/>
  <c r="DF57" i="17"/>
  <c r="DH56" i="17"/>
  <c r="DG56" i="17"/>
  <c r="DF56" i="17"/>
  <c r="DH55" i="17"/>
  <c r="DG55" i="17"/>
  <c r="DF55" i="17"/>
  <c r="DH54" i="17"/>
  <c r="DG54" i="17"/>
  <c r="DF54" i="17"/>
  <c r="DH53" i="17"/>
  <c r="DG53" i="17"/>
  <c r="DF53" i="17"/>
  <c r="DH52" i="17"/>
  <c r="DG52" i="17"/>
  <c r="DF52" i="17"/>
  <c r="DH51" i="17"/>
  <c r="DG51" i="17"/>
  <c r="DF51" i="17"/>
  <c r="DH50" i="17"/>
  <c r="DG50" i="17"/>
  <c r="DF50" i="17"/>
  <c r="DH49" i="17"/>
  <c r="DG49" i="17"/>
  <c r="DF49" i="17"/>
  <c r="DH48" i="17"/>
  <c r="DG48" i="17"/>
  <c r="DF48" i="17"/>
  <c r="DH46" i="17"/>
  <c r="DG46" i="17"/>
  <c r="DF46" i="17"/>
  <c r="DH44" i="17"/>
  <c r="DG44" i="17"/>
  <c r="DF44" i="17"/>
  <c r="DH43" i="17"/>
  <c r="DG43" i="17"/>
  <c r="DF43" i="17"/>
  <c r="DH42" i="17"/>
  <c r="DG42" i="17"/>
  <c r="DF42" i="17"/>
  <c r="DH41" i="17"/>
  <c r="DG41" i="17"/>
  <c r="DF41" i="17"/>
  <c r="DH40" i="17"/>
  <c r="DG40" i="17"/>
  <c r="DF40" i="17"/>
  <c r="DH39" i="17"/>
  <c r="DG39" i="17"/>
  <c r="DF39" i="17"/>
  <c r="DH38" i="17"/>
  <c r="DG38" i="17"/>
  <c r="DF38" i="17"/>
  <c r="DH37" i="17"/>
  <c r="DG37" i="17"/>
  <c r="DF37" i="17"/>
  <c r="DH35" i="17"/>
  <c r="DG35" i="17"/>
  <c r="DF35" i="17"/>
  <c r="DH34" i="17"/>
  <c r="DG34" i="17"/>
  <c r="DF34" i="17"/>
  <c r="DH33" i="17"/>
  <c r="DG33" i="17"/>
  <c r="DF33" i="17"/>
  <c r="DG31" i="17"/>
  <c r="DF20" i="17"/>
  <c r="DG20" i="17"/>
  <c r="DH20" i="17"/>
  <c r="DF21" i="17"/>
  <c r="DG21" i="17"/>
  <c r="DH21" i="17"/>
  <c r="DF22" i="17"/>
  <c r="DG22" i="17"/>
  <c r="DH22" i="17"/>
  <c r="DF23" i="17"/>
  <c r="DG23" i="17"/>
  <c r="DH23" i="17"/>
  <c r="DF24" i="17"/>
  <c r="DG24" i="17"/>
  <c r="DH24" i="17"/>
  <c r="DF25" i="17"/>
  <c r="DG25" i="17"/>
  <c r="DH25" i="17"/>
  <c r="DF26" i="17"/>
  <c r="DG26" i="17"/>
  <c r="DH26" i="17"/>
  <c r="DF27" i="17"/>
  <c r="DG27" i="17"/>
  <c r="DH27" i="17"/>
  <c r="DF28" i="17"/>
  <c r="DG28" i="17"/>
  <c r="DH28" i="17"/>
  <c r="DF29" i="17"/>
  <c r="DG29" i="17"/>
  <c r="DH29" i="17"/>
  <c r="DF30" i="17"/>
  <c r="DG30" i="17"/>
  <c r="DH30" i="17"/>
  <c r="DF31" i="17"/>
  <c r="DH31" i="17"/>
  <c r="DH19" i="17"/>
  <c r="DG19" i="17"/>
  <c r="DF19" i="17"/>
  <c r="DG17" i="17"/>
  <c r="DF16" i="17"/>
  <c r="DG16" i="17"/>
  <c r="DH16" i="17"/>
  <c r="DF17" i="17"/>
  <c r="DH17" i="17"/>
  <c r="DH15" i="17"/>
  <c r="DG15" i="17"/>
  <c r="DF15" i="17"/>
  <c r="DE15" i="17"/>
  <c r="DE9" i="17"/>
  <c r="DF9" i="17"/>
  <c r="DF6" i="17"/>
  <c r="DG6" i="17"/>
  <c r="DH6" i="17"/>
  <c r="DF7" i="17"/>
  <c r="DG7" i="17"/>
  <c r="DH7" i="17"/>
  <c r="DF8" i="17"/>
  <c r="DG8" i="17"/>
  <c r="DH8" i="17"/>
  <c r="DG9" i="17"/>
  <c r="DH9" i="17"/>
  <c r="DF10" i="17"/>
  <c r="DG10" i="17"/>
  <c r="DH10" i="17"/>
  <c r="DF11" i="17"/>
  <c r="DG11" i="17"/>
  <c r="DH11" i="17"/>
  <c r="DF12" i="17"/>
  <c r="DG12" i="17"/>
  <c r="DH12" i="17"/>
  <c r="DH5" i="17"/>
  <c r="DG5" i="17"/>
  <c r="DF5" i="17"/>
  <c r="DE5" i="17"/>
  <c r="DD5" i="17"/>
  <c r="DE57" i="17"/>
  <c r="DD57" i="17"/>
  <c r="DC57" i="17"/>
  <c r="DB57" i="17"/>
  <c r="DA57" i="17"/>
  <c r="CZ57" i="17"/>
  <c r="CY57" i="17"/>
  <c r="CX57" i="17"/>
  <c r="CW57" i="17"/>
  <c r="CV57" i="17"/>
  <c r="CU57" i="17"/>
  <c r="CT57" i="17"/>
  <c r="CS57" i="17"/>
  <c r="CR57" i="17"/>
  <c r="CQ57" i="17"/>
  <c r="CP57" i="17"/>
  <c r="CO57" i="17"/>
  <c r="CN57" i="17"/>
  <c r="CL57" i="17"/>
  <c r="CM57" i="17"/>
  <c r="DE56" i="17"/>
  <c r="DD56" i="17"/>
  <c r="DC56" i="17"/>
  <c r="DB56" i="17"/>
  <c r="DA56" i="17"/>
  <c r="CZ56" i="17"/>
  <c r="CY56" i="17"/>
  <c r="CX56" i="17"/>
  <c r="CW56" i="17"/>
  <c r="CV56" i="17"/>
  <c r="CU56" i="17"/>
  <c r="CT56" i="17"/>
  <c r="CS56" i="17"/>
  <c r="CR56" i="17"/>
  <c r="CQ56" i="17"/>
  <c r="CP56" i="17"/>
  <c r="CO56" i="17"/>
  <c r="CN56" i="17"/>
  <c r="CL56" i="17"/>
  <c r="CM56" i="17"/>
  <c r="DE55" i="17"/>
  <c r="DD55" i="17"/>
  <c r="DC55" i="17"/>
  <c r="DB55" i="17"/>
  <c r="DA55" i="17"/>
  <c r="CZ55" i="17"/>
  <c r="CY55" i="17"/>
  <c r="CX55" i="17"/>
  <c r="CW55" i="17"/>
  <c r="CV55" i="17"/>
  <c r="CU55" i="17"/>
  <c r="CT55" i="17"/>
  <c r="CS55" i="17"/>
  <c r="CR55" i="17"/>
  <c r="CQ55" i="17"/>
  <c r="CP55" i="17"/>
  <c r="CO55" i="17"/>
  <c r="CN55" i="17"/>
  <c r="CL55" i="17"/>
  <c r="CM55" i="17"/>
  <c r="DE54" i="17"/>
  <c r="DD54" i="17"/>
  <c r="DC54" i="17"/>
  <c r="DB54" i="17"/>
  <c r="DA54" i="17"/>
  <c r="CZ54" i="17"/>
  <c r="CY54" i="17"/>
  <c r="CX54" i="17"/>
  <c r="CW54" i="17"/>
  <c r="CV54" i="17"/>
  <c r="CU54" i="17"/>
  <c r="CT54" i="17"/>
  <c r="CS54" i="17"/>
  <c r="CR54" i="17"/>
  <c r="CQ54" i="17"/>
  <c r="CP54" i="17"/>
  <c r="CO54" i="17"/>
  <c r="CN54" i="17"/>
  <c r="CL54" i="17"/>
  <c r="CM54" i="17"/>
  <c r="DE53" i="17"/>
  <c r="DD53" i="17"/>
  <c r="DC53" i="17"/>
  <c r="DB53" i="17"/>
  <c r="DA53" i="17"/>
  <c r="CZ53" i="17"/>
  <c r="CY53" i="17"/>
  <c r="CX53" i="17"/>
  <c r="CW53" i="17"/>
  <c r="CV53" i="17"/>
  <c r="CU53" i="17"/>
  <c r="CT53" i="17"/>
  <c r="CS53" i="17"/>
  <c r="CR53" i="17"/>
  <c r="CQ53" i="17"/>
  <c r="CP53" i="17"/>
  <c r="CO53" i="17"/>
  <c r="CN53" i="17"/>
  <c r="CL53" i="17"/>
  <c r="CM53" i="17"/>
  <c r="DE52" i="17"/>
  <c r="DD52" i="17"/>
  <c r="DC52" i="17"/>
  <c r="DB52" i="17"/>
  <c r="DA52" i="17"/>
  <c r="CZ52" i="17"/>
  <c r="CY52" i="17"/>
  <c r="CX52" i="17"/>
  <c r="CW52" i="17"/>
  <c r="CV52" i="17"/>
  <c r="CU52" i="17"/>
  <c r="CT52" i="17"/>
  <c r="CS52" i="17"/>
  <c r="CR52" i="17"/>
  <c r="CQ52" i="17"/>
  <c r="CP52" i="17"/>
  <c r="CO52" i="17"/>
  <c r="CN52" i="17"/>
  <c r="CL52" i="17"/>
  <c r="CM52" i="17"/>
  <c r="DE51" i="17"/>
  <c r="DD51" i="17"/>
  <c r="DC51" i="17"/>
  <c r="DB51" i="17"/>
  <c r="CZ51" i="17"/>
  <c r="CY51" i="17"/>
  <c r="CX51" i="17"/>
  <c r="CW51" i="17"/>
  <c r="CV51" i="17"/>
  <c r="CU51" i="17"/>
  <c r="CT51" i="17"/>
  <c r="CS51" i="17"/>
  <c r="CR51" i="17"/>
  <c r="CQ51" i="17"/>
  <c r="CP51" i="17"/>
  <c r="CO51" i="17"/>
  <c r="CN51" i="17"/>
  <c r="CL51" i="17"/>
  <c r="CM51" i="17"/>
  <c r="BR58" i="17"/>
  <c r="BN58" i="17"/>
  <c r="BJ58" i="17"/>
  <c r="BG51" i="17"/>
  <c r="BG58" i="17"/>
  <c r="BC58" i="17"/>
  <c r="DE50" i="17"/>
  <c r="DD50" i="17"/>
  <c r="DC50" i="17"/>
  <c r="DB50" i="17"/>
  <c r="DA50" i="17"/>
  <c r="CZ50" i="17"/>
  <c r="CY50" i="17"/>
  <c r="CX50" i="17"/>
  <c r="CW50" i="17"/>
  <c r="CV50" i="17"/>
  <c r="CU50" i="17"/>
  <c r="CT50" i="17"/>
  <c r="CS50" i="17"/>
  <c r="CR50" i="17"/>
  <c r="CQ50" i="17"/>
  <c r="CP50" i="17"/>
  <c r="CO50" i="17"/>
  <c r="CN50" i="17"/>
  <c r="CL50" i="17"/>
  <c r="CM50" i="17"/>
  <c r="DE49" i="17"/>
  <c r="DD49" i="17"/>
  <c r="DC49" i="17"/>
  <c r="DB49" i="17"/>
  <c r="DA49" i="17"/>
  <c r="CZ49" i="17"/>
  <c r="CY49" i="17"/>
  <c r="CX49" i="17"/>
  <c r="CW49" i="17"/>
  <c r="CV49" i="17"/>
  <c r="CU49" i="17"/>
  <c r="CT49" i="17"/>
  <c r="CS49" i="17"/>
  <c r="CR49" i="17"/>
  <c r="CQ49" i="17"/>
  <c r="CP49" i="17"/>
  <c r="CO49" i="17"/>
  <c r="CN49" i="17"/>
  <c r="CL49" i="17"/>
  <c r="CM49" i="17"/>
  <c r="DE48" i="17"/>
  <c r="DD48" i="17"/>
  <c r="DC48" i="17"/>
  <c r="DB48" i="17"/>
  <c r="DA48" i="17"/>
  <c r="CZ48" i="17"/>
  <c r="CY48" i="17"/>
  <c r="CX48" i="17"/>
  <c r="CW48" i="17"/>
  <c r="CV48" i="17"/>
  <c r="CU48" i="17"/>
  <c r="CT48" i="17"/>
  <c r="CS48" i="17"/>
  <c r="CR48" i="17"/>
  <c r="CQ48" i="17"/>
  <c r="CP48" i="17"/>
  <c r="CO48" i="17"/>
  <c r="CN48" i="17"/>
  <c r="CL48" i="17"/>
  <c r="CM48" i="17"/>
  <c r="DE46" i="17"/>
  <c r="DD46" i="17"/>
  <c r="DC46" i="17"/>
  <c r="DB46" i="17"/>
  <c r="DA46" i="17"/>
  <c r="CZ46" i="17"/>
  <c r="CY46" i="17"/>
  <c r="CX46" i="17"/>
  <c r="CW46" i="17"/>
  <c r="CV46" i="17"/>
  <c r="CU46" i="17"/>
  <c r="CT46" i="17"/>
  <c r="CS46" i="17"/>
  <c r="CR46" i="17"/>
  <c r="CQ46" i="17"/>
  <c r="CP46" i="17"/>
  <c r="CO46" i="17"/>
  <c r="CN46" i="17"/>
  <c r="CL46" i="17"/>
  <c r="CM46" i="17"/>
  <c r="BR47" i="17"/>
  <c r="BR59" i="17"/>
  <c r="BN47" i="17"/>
  <c r="BN59" i="17"/>
  <c r="BJ47" i="17"/>
  <c r="BC47" i="17"/>
  <c r="DE44" i="17"/>
  <c r="DD44" i="17"/>
  <c r="DC44" i="17"/>
  <c r="DB44" i="17"/>
  <c r="DA44" i="17"/>
  <c r="CZ44" i="17"/>
  <c r="CY44" i="17"/>
  <c r="CX44" i="17"/>
  <c r="CW44" i="17"/>
  <c r="CV44" i="17"/>
  <c r="CU44" i="17"/>
  <c r="CT44" i="17"/>
  <c r="CS44" i="17"/>
  <c r="CR44" i="17"/>
  <c r="CQ44" i="17"/>
  <c r="CP44" i="17"/>
  <c r="CO44" i="17"/>
  <c r="CN44" i="17"/>
  <c r="CL44" i="17"/>
  <c r="CM44" i="17"/>
  <c r="DE43" i="17"/>
  <c r="DD43" i="17"/>
  <c r="DC43" i="17"/>
  <c r="DB43" i="17"/>
  <c r="DA43" i="17"/>
  <c r="CZ43" i="17"/>
  <c r="CY43" i="17"/>
  <c r="CX43" i="17"/>
  <c r="CW43" i="17"/>
  <c r="CV43" i="17"/>
  <c r="CU43" i="17"/>
  <c r="CT43" i="17"/>
  <c r="CS43" i="17"/>
  <c r="CR43" i="17"/>
  <c r="CQ43" i="17"/>
  <c r="CP43" i="17"/>
  <c r="CO43" i="17"/>
  <c r="CN43" i="17"/>
  <c r="CL43" i="17"/>
  <c r="CM43" i="17"/>
  <c r="DE42" i="17"/>
  <c r="DD42" i="17"/>
  <c r="DC42" i="17"/>
  <c r="DB42" i="17"/>
  <c r="DA42" i="17"/>
  <c r="CZ42" i="17"/>
  <c r="CY42" i="17"/>
  <c r="CX42" i="17"/>
  <c r="CW42" i="17"/>
  <c r="CV42" i="17"/>
  <c r="CU42" i="17"/>
  <c r="CT42" i="17"/>
  <c r="CS42" i="17"/>
  <c r="CR42" i="17"/>
  <c r="CQ42" i="17"/>
  <c r="CP42" i="17"/>
  <c r="CO42" i="17"/>
  <c r="CN42" i="17"/>
  <c r="CL42" i="17"/>
  <c r="CM42" i="17"/>
  <c r="DE41" i="17"/>
  <c r="DD41" i="17"/>
  <c r="DC41" i="17"/>
  <c r="DB41" i="17"/>
  <c r="DA41" i="17"/>
  <c r="CZ41" i="17"/>
  <c r="CY41" i="17"/>
  <c r="CX41" i="17"/>
  <c r="CW41" i="17"/>
  <c r="CV41" i="17"/>
  <c r="CU41" i="17"/>
  <c r="CT41" i="17"/>
  <c r="CS41" i="17"/>
  <c r="CR41" i="17"/>
  <c r="CQ41" i="17"/>
  <c r="CP41" i="17"/>
  <c r="CO41" i="17"/>
  <c r="CN41" i="17"/>
  <c r="CL41" i="17"/>
  <c r="CM41" i="17"/>
  <c r="DE40" i="17"/>
  <c r="DD40" i="17"/>
  <c r="DC40" i="17"/>
  <c r="DB40" i="17"/>
  <c r="DA40" i="17"/>
  <c r="CZ40" i="17"/>
  <c r="CY40" i="17"/>
  <c r="CX40" i="17"/>
  <c r="CW40" i="17"/>
  <c r="CV40" i="17"/>
  <c r="CU40" i="17"/>
  <c r="CT40" i="17"/>
  <c r="CS40" i="17"/>
  <c r="CR40" i="17"/>
  <c r="CQ40" i="17"/>
  <c r="CP40" i="17"/>
  <c r="CO40" i="17"/>
  <c r="CN40" i="17"/>
  <c r="CL40" i="17"/>
  <c r="CM40" i="17"/>
  <c r="DE39" i="17"/>
  <c r="DD39" i="17"/>
  <c r="DC39" i="17"/>
  <c r="DB39" i="17"/>
  <c r="DA39" i="17"/>
  <c r="CZ39" i="17"/>
  <c r="CY39" i="17"/>
  <c r="CX39" i="17"/>
  <c r="CW39" i="17"/>
  <c r="CV39" i="17"/>
  <c r="CU39" i="17"/>
  <c r="CT39" i="17"/>
  <c r="CS39" i="17"/>
  <c r="CR39" i="17"/>
  <c r="CQ39" i="17"/>
  <c r="CP39" i="17"/>
  <c r="CO39" i="17"/>
  <c r="CN39" i="17"/>
  <c r="CL39" i="17"/>
  <c r="CM39" i="17"/>
  <c r="DE38" i="17"/>
  <c r="DD38" i="17"/>
  <c r="DC38" i="17"/>
  <c r="DB38" i="17"/>
  <c r="DA38" i="17"/>
  <c r="CZ38" i="17"/>
  <c r="CY38" i="17"/>
  <c r="CX38" i="17"/>
  <c r="CW38" i="17"/>
  <c r="CV38" i="17"/>
  <c r="CU38" i="17"/>
  <c r="CT38" i="17"/>
  <c r="CS38" i="17"/>
  <c r="CR38" i="17"/>
  <c r="CQ38" i="17"/>
  <c r="CP38" i="17"/>
  <c r="CO38" i="17"/>
  <c r="CN38" i="17"/>
  <c r="CL38" i="17"/>
  <c r="CM38" i="17"/>
  <c r="DJ38" i="17"/>
  <c r="DE37" i="17"/>
  <c r="DD37" i="17"/>
  <c r="DC37" i="17"/>
  <c r="DB37" i="17"/>
  <c r="DA37" i="17"/>
  <c r="CZ37" i="17"/>
  <c r="CY37" i="17"/>
  <c r="CX37" i="17"/>
  <c r="CW37" i="17"/>
  <c r="CV37" i="17"/>
  <c r="CU37" i="17"/>
  <c r="CT37" i="17"/>
  <c r="CS37" i="17"/>
  <c r="CR37" i="17"/>
  <c r="CQ37" i="17"/>
  <c r="CP37" i="17"/>
  <c r="CO37" i="17"/>
  <c r="CN37" i="17"/>
  <c r="CL37" i="17"/>
  <c r="CM37" i="17"/>
  <c r="DE35" i="17"/>
  <c r="DD35" i="17"/>
  <c r="DC35" i="17"/>
  <c r="DB35" i="17"/>
  <c r="CZ35" i="17"/>
  <c r="CY35" i="17"/>
  <c r="CX35" i="17"/>
  <c r="CW35" i="17"/>
  <c r="CV35" i="17"/>
  <c r="CU35" i="17"/>
  <c r="CT35" i="17"/>
  <c r="CS35" i="17"/>
  <c r="CR35" i="17"/>
  <c r="CQ35" i="17"/>
  <c r="CP35" i="17"/>
  <c r="CO35" i="17"/>
  <c r="CN35" i="17"/>
  <c r="CL35" i="17"/>
  <c r="CM35" i="17"/>
  <c r="BI35" i="17"/>
  <c r="BG35" i="17"/>
  <c r="DE34" i="17"/>
  <c r="DD34" i="17"/>
  <c r="DC34" i="17"/>
  <c r="DB34" i="17"/>
  <c r="DA34" i="17"/>
  <c r="CZ34" i="17"/>
  <c r="CY34" i="17"/>
  <c r="CX34" i="17"/>
  <c r="CW34" i="17"/>
  <c r="CV34" i="17"/>
  <c r="CU34" i="17"/>
  <c r="CT34" i="17"/>
  <c r="CS34" i="17"/>
  <c r="CR34" i="17"/>
  <c r="CQ34" i="17"/>
  <c r="CP34" i="17"/>
  <c r="CO34" i="17"/>
  <c r="CN34" i="17"/>
  <c r="CL34" i="17"/>
  <c r="CM34" i="17"/>
  <c r="DE33" i="17"/>
  <c r="DD33" i="17"/>
  <c r="DC33" i="17"/>
  <c r="DB33" i="17"/>
  <c r="CZ33" i="17"/>
  <c r="CY33" i="17"/>
  <c r="CX33" i="17"/>
  <c r="CW33" i="17"/>
  <c r="CV33" i="17"/>
  <c r="CU33" i="17"/>
  <c r="CT33" i="17"/>
  <c r="CS33" i="17"/>
  <c r="CR33" i="17"/>
  <c r="CQ33" i="17"/>
  <c r="CP33" i="17"/>
  <c r="CO33" i="17"/>
  <c r="CN33" i="17"/>
  <c r="CL33" i="17"/>
  <c r="CM33" i="17"/>
  <c r="BI33" i="17"/>
  <c r="BG33" i="17"/>
  <c r="DE31" i="17"/>
  <c r="DD31" i="17"/>
  <c r="DC31" i="17"/>
  <c r="DB31" i="17"/>
  <c r="DA31" i="17"/>
  <c r="CZ31" i="17"/>
  <c r="CY31" i="17"/>
  <c r="CX31" i="17"/>
  <c r="CW31" i="17"/>
  <c r="CV31" i="17"/>
  <c r="CU31" i="17"/>
  <c r="CT31" i="17"/>
  <c r="CS31" i="17"/>
  <c r="CR31" i="17"/>
  <c r="CQ31" i="17"/>
  <c r="CP31" i="17"/>
  <c r="CO31" i="17"/>
  <c r="CN31" i="17"/>
  <c r="CL31" i="17"/>
  <c r="CM31" i="17"/>
  <c r="DE30" i="17"/>
  <c r="DD30" i="17"/>
  <c r="DC30" i="17"/>
  <c r="DB30" i="17"/>
  <c r="DA30" i="17"/>
  <c r="CZ30" i="17"/>
  <c r="CY30" i="17"/>
  <c r="CX30" i="17"/>
  <c r="CW30" i="17"/>
  <c r="CV30" i="17"/>
  <c r="CU30" i="17"/>
  <c r="CT30" i="17"/>
  <c r="CS30" i="17"/>
  <c r="CR30" i="17"/>
  <c r="CQ30" i="17"/>
  <c r="CP30" i="17"/>
  <c r="CO30" i="17"/>
  <c r="CN30" i="17"/>
  <c r="CL30" i="17"/>
  <c r="CM30" i="17"/>
  <c r="DE29" i="17"/>
  <c r="DD29" i="17"/>
  <c r="DC29" i="17"/>
  <c r="DB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L29" i="17"/>
  <c r="CM29" i="17"/>
  <c r="BG29" i="17"/>
  <c r="DA29" i="17"/>
  <c r="DE28" i="17"/>
  <c r="DD28" i="17"/>
  <c r="DC28" i="17"/>
  <c r="DB28" i="17"/>
  <c r="DA28" i="17"/>
  <c r="CZ28" i="17"/>
  <c r="CY28" i="17"/>
  <c r="CX28" i="17"/>
  <c r="CW28" i="17"/>
  <c r="CV28" i="17"/>
  <c r="CU28" i="17"/>
  <c r="CT28" i="17"/>
  <c r="CS28" i="17"/>
  <c r="CR28" i="17"/>
  <c r="CQ28" i="17"/>
  <c r="CP28" i="17"/>
  <c r="CO28" i="17"/>
  <c r="CN28" i="17"/>
  <c r="CL28" i="17"/>
  <c r="CM28" i="17"/>
  <c r="DE27" i="17"/>
  <c r="DD27" i="17"/>
  <c r="DC27" i="17"/>
  <c r="DB27" i="17"/>
  <c r="DA27" i="17"/>
  <c r="CZ27" i="17"/>
  <c r="CY27" i="17"/>
  <c r="CX27" i="17"/>
  <c r="CW27" i="17"/>
  <c r="CV27" i="17"/>
  <c r="CU27" i="17"/>
  <c r="CT27" i="17"/>
  <c r="CS27" i="17"/>
  <c r="CR27" i="17"/>
  <c r="CQ27" i="17"/>
  <c r="CP27" i="17"/>
  <c r="CO27" i="17"/>
  <c r="CN27" i="17"/>
  <c r="CL27" i="17"/>
  <c r="CM27" i="17"/>
  <c r="DE26" i="17"/>
  <c r="DD26" i="17"/>
  <c r="DC26" i="17"/>
  <c r="DB26" i="17"/>
  <c r="CZ26" i="17"/>
  <c r="CY26" i="17"/>
  <c r="CX26" i="17"/>
  <c r="CW26" i="17"/>
  <c r="CV26" i="17"/>
  <c r="CU26" i="17"/>
  <c r="CT26" i="17"/>
  <c r="CS26" i="17"/>
  <c r="CR26" i="17"/>
  <c r="CQ26" i="17"/>
  <c r="CP26" i="17"/>
  <c r="CO26" i="17"/>
  <c r="CN26" i="17"/>
  <c r="CL26" i="17"/>
  <c r="CM26" i="17"/>
  <c r="BG26" i="17"/>
  <c r="DE25" i="17"/>
  <c r="DD25" i="17"/>
  <c r="DC25" i="17"/>
  <c r="DB25" i="17"/>
  <c r="CZ25" i="17"/>
  <c r="CY25" i="17"/>
  <c r="CX25" i="17"/>
  <c r="CW25" i="17"/>
  <c r="CV25" i="17"/>
  <c r="CU25" i="17"/>
  <c r="CT25" i="17"/>
  <c r="CS25" i="17"/>
  <c r="CR25" i="17"/>
  <c r="CQ25" i="17"/>
  <c r="CP25" i="17"/>
  <c r="CO25" i="17"/>
  <c r="CN25" i="17"/>
  <c r="CL25" i="17"/>
  <c r="CM25" i="17"/>
  <c r="BI25" i="17"/>
  <c r="BG25" i="17"/>
  <c r="DE24" i="17"/>
  <c r="DD24" i="17"/>
  <c r="DC24" i="17"/>
  <c r="DB24" i="17"/>
  <c r="DA24" i="17"/>
  <c r="CZ24" i="17"/>
  <c r="CY24" i="17"/>
  <c r="CX24" i="17"/>
  <c r="CW24" i="17"/>
  <c r="CV24" i="17"/>
  <c r="CU24" i="17"/>
  <c r="CT24" i="17"/>
  <c r="CS24" i="17"/>
  <c r="CR24" i="17"/>
  <c r="CQ24" i="17"/>
  <c r="CP24" i="17"/>
  <c r="CO24" i="17"/>
  <c r="CN24" i="17"/>
  <c r="CL24" i="17"/>
  <c r="CM24" i="17"/>
  <c r="DE23" i="17"/>
  <c r="DD23" i="17"/>
  <c r="DC23" i="17"/>
  <c r="DB23" i="17"/>
  <c r="DA23" i="17"/>
  <c r="CZ23" i="17"/>
  <c r="CY23" i="17"/>
  <c r="CX23" i="17"/>
  <c r="CW23" i="17"/>
  <c r="CV23" i="17"/>
  <c r="CU23" i="17"/>
  <c r="CT23" i="17"/>
  <c r="CS23" i="17"/>
  <c r="CR23" i="17"/>
  <c r="CQ23" i="17"/>
  <c r="CP23" i="17"/>
  <c r="CO23" i="17"/>
  <c r="CN23" i="17"/>
  <c r="CL23" i="17"/>
  <c r="CM23" i="17"/>
  <c r="DE22" i="17"/>
  <c r="DD22" i="17"/>
  <c r="DC22" i="17"/>
  <c r="DB22" i="17"/>
  <c r="DA22" i="17"/>
  <c r="CZ22" i="17"/>
  <c r="CY22" i="17"/>
  <c r="CX22" i="17"/>
  <c r="CW22" i="17"/>
  <c r="CV22" i="17"/>
  <c r="CU22" i="17"/>
  <c r="CT22" i="17"/>
  <c r="CS22" i="17"/>
  <c r="CR22" i="17"/>
  <c r="CQ22" i="17"/>
  <c r="CP22" i="17"/>
  <c r="CO22" i="17"/>
  <c r="CN22" i="17"/>
  <c r="CL22" i="17"/>
  <c r="CM22" i="17"/>
  <c r="DE21" i="17"/>
  <c r="DD21" i="17"/>
  <c r="DC21" i="17"/>
  <c r="DB21" i="17"/>
  <c r="DA21" i="17"/>
  <c r="CZ21" i="17"/>
  <c r="CY21" i="17"/>
  <c r="CX21" i="17"/>
  <c r="CW21" i="17"/>
  <c r="CV21" i="17"/>
  <c r="CU21" i="17"/>
  <c r="CT21" i="17"/>
  <c r="CS21" i="17"/>
  <c r="CR21" i="17"/>
  <c r="CQ21" i="17"/>
  <c r="CP21" i="17"/>
  <c r="CO21" i="17"/>
  <c r="CN21" i="17"/>
  <c r="CL21" i="17"/>
  <c r="CM21" i="17"/>
  <c r="DE20" i="17"/>
  <c r="DD20" i="17"/>
  <c r="DC20" i="17"/>
  <c r="DB20" i="17"/>
  <c r="DA20" i="17"/>
  <c r="CZ20" i="17"/>
  <c r="CY20" i="17"/>
  <c r="CX20" i="17"/>
  <c r="CW20" i="17"/>
  <c r="CV20" i="17"/>
  <c r="CU20" i="17"/>
  <c r="CT20" i="17"/>
  <c r="CS20" i="17"/>
  <c r="CR20" i="17"/>
  <c r="CQ20" i="17"/>
  <c r="CP20" i="17"/>
  <c r="CO20" i="17"/>
  <c r="CN20" i="17"/>
  <c r="CL20" i="17"/>
  <c r="CM20" i="17"/>
  <c r="DJ20" i="17"/>
  <c r="BC45" i="17"/>
  <c r="DE19" i="17"/>
  <c r="DD19" i="17"/>
  <c r="DC19" i="17"/>
  <c r="DB19" i="17"/>
  <c r="CZ19" i="17"/>
  <c r="CY19" i="17"/>
  <c r="CX19" i="17"/>
  <c r="CW19" i="17"/>
  <c r="CV19" i="17"/>
  <c r="CU19" i="17"/>
  <c r="CT19" i="17"/>
  <c r="CS19" i="17"/>
  <c r="CR19" i="17"/>
  <c r="CQ19" i="17"/>
  <c r="CP19" i="17"/>
  <c r="CO19" i="17"/>
  <c r="CN19" i="17"/>
  <c r="CL19" i="17"/>
  <c r="CM19" i="17"/>
  <c r="BS45" i="17"/>
  <c r="BI19" i="17"/>
  <c r="BG19" i="17"/>
  <c r="DE17" i="17"/>
  <c r="DD17" i="17"/>
  <c r="DC17" i="17"/>
  <c r="DB17" i="17"/>
  <c r="DA17" i="17"/>
  <c r="CZ17" i="17"/>
  <c r="CY17" i="17"/>
  <c r="CX17" i="17"/>
  <c r="CW17" i="17"/>
  <c r="CV17" i="17"/>
  <c r="CU17" i="17"/>
  <c r="CT17" i="17"/>
  <c r="CS17" i="17"/>
  <c r="CR17" i="17"/>
  <c r="CQ17" i="17"/>
  <c r="CP17" i="17"/>
  <c r="CO17" i="17"/>
  <c r="CN17" i="17"/>
  <c r="CL17" i="17"/>
  <c r="CM17" i="17"/>
  <c r="BR45" i="17"/>
  <c r="DE16" i="17"/>
  <c r="DD16" i="17"/>
  <c r="DC16" i="17"/>
  <c r="DB16" i="17"/>
  <c r="DA16" i="17"/>
  <c r="CZ16" i="17"/>
  <c r="CY16" i="17"/>
  <c r="CX16" i="17"/>
  <c r="CW16" i="17"/>
  <c r="CV16" i="17"/>
  <c r="CU16" i="17"/>
  <c r="CT16" i="17"/>
  <c r="CS16" i="17"/>
  <c r="CR16" i="17"/>
  <c r="CQ16" i="17"/>
  <c r="CP16" i="17"/>
  <c r="CO16" i="17"/>
  <c r="CN16" i="17"/>
  <c r="CL16" i="17"/>
  <c r="CM16" i="17"/>
  <c r="DD15" i="17"/>
  <c r="DC15" i="17"/>
  <c r="DB15" i="17"/>
  <c r="DA15" i="17"/>
  <c r="CZ15" i="17"/>
  <c r="CY15" i="17"/>
  <c r="CX15" i="17"/>
  <c r="CW15" i="17"/>
  <c r="CV15" i="17"/>
  <c r="CU15" i="17"/>
  <c r="CT15" i="17"/>
  <c r="CS15" i="17"/>
  <c r="CR15" i="17"/>
  <c r="CQ15" i="17"/>
  <c r="CP15" i="17"/>
  <c r="CO15" i="17"/>
  <c r="CN15" i="17"/>
  <c r="CL15" i="17"/>
  <c r="CM15" i="17"/>
  <c r="BN45" i="17"/>
  <c r="BJ45" i="17"/>
  <c r="DE12" i="17"/>
  <c r="DD12" i="17"/>
  <c r="DC12" i="17"/>
  <c r="DB12" i="17"/>
  <c r="DA12" i="17"/>
  <c r="CZ12" i="17"/>
  <c r="CY12" i="17"/>
  <c r="CX12" i="17"/>
  <c r="CW12" i="17"/>
  <c r="CV12" i="17"/>
  <c r="CU12" i="17"/>
  <c r="CT12" i="17"/>
  <c r="CS12" i="17"/>
  <c r="CR12" i="17"/>
  <c r="CQ12" i="17"/>
  <c r="CP12" i="17"/>
  <c r="CO12" i="17"/>
  <c r="CN12" i="17"/>
  <c r="CL12" i="17"/>
  <c r="CM12" i="17"/>
  <c r="DE11" i="17"/>
  <c r="DD11" i="17"/>
  <c r="DC11" i="17"/>
  <c r="DB11" i="17"/>
  <c r="DA11" i="17"/>
  <c r="CZ11" i="17"/>
  <c r="CY11" i="17"/>
  <c r="CX11" i="17"/>
  <c r="CW11" i="17"/>
  <c r="CV11" i="17"/>
  <c r="CU11" i="17"/>
  <c r="CT11" i="17"/>
  <c r="CS11" i="17"/>
  <c r="CR11" i="17"/>
  <c r="CQ11" i="17"/>
  <c r="CP11" i="17"/>
  <c r="CO11" i="17"/>
  <c r="CN11" i="17"/>
  <c r="CL11" i="17"/>
  <c r="CM11" i="17"/>
  <c r="DJ11" i="17"/>
  <c r="DE10" i="17"/>
  <c r="DD10" i="17"/>
  <c r="DC10" i="17"/>
  <c r="DB10" i="17"/>
  <c r="DA10" i="17"/>
  <c r="CZ10" i="17"/>
  <c r="CY10" i="17"/>
  <c r="CX10" i="17"/>
  <c r="CW10" i="17"/>
  <c r="CV10" i="17"/>
  <c r="CU10" i="17"/>
  <c r="CT10" i="17"/>
  <c r="CS10" i="17"/>
  <c r="CR10" i="17"/>
  <c r="CQ10" i="17"/>
  <c r="CP10" i="17"/>
  <c r="CO10" i="17"/>
  <c r="CN10" i="17"/>
  <c r="CL10" i="17"/>
  <c r="CM10" i="17"/>
  <c r="DD9" i="17"/>
  <c r="DC9" i="17"/>
  <c r="DB9" i="17"/>
  <c r="DA9" i="17"/>
  <c r="CZ9" i="17"/>
  <c r="CY9" i="17"/>
  <c r="CX9" i="17"/>
  <c r="CW9" i="17"/>
  <c r="CV9" i="17"/>
  <c r="CU9" i="17"/>
  <c r="CT9" i="17"/>
  <c r="CS9" i="17"/>
  <c r="CR9" i="17"/>
  <c r="CQ9" i="17"/>
  <c r="CP9" i="17"/>
  <c r="CO9" i="17"/>
  <c r="CN9" i="17"/>
  <c r="CL9" i="17"/>
  <c r="CM9" i="17"/>
  <c r="DE8" i="17"/>
  <c r="DD8" i="17"/>
  <c r="DC8" i="17"/>
  <c r="DB8" i="17"/>
  <c r="DA8" i="17"/>
  <c r="CZ8" i="17"/>
  <c r="CY8" i="17"/>
  <c r="CX8" i="17"/>
  <c r="CW8" i="17"/>
  <c r="CV8" i="17"/>
  <c r="CU8" i="17"/>
  <c r="CT8" i="17"/>
  <c r="CS8" i="17"/>
  <c r="CR8" i="17"/>
  <c r="CQ8" i="17"/>
  <c r="CP8" i="17"/>
  <c r="CO8" i="17"/>
  <c r="CN8" i="17"/>
  <c r="CL8" i="17"/>
  <c r="CM8" i="17"/>
  <c r="DE7" i="17"/>
  <c r="DD7" i="17"/>
  <c r="DC7" i="17"/>
  <c r="DB7" i="17"/>
  <c r="DA7" i="17"/>
  <c r="CZ7" i="17"/>
  <c r="CY7" i="17"/>
  <c r="CX7" i="17"/>
  <c r="CW7" i="17"/>
  <c r="CV7" i="17"/>
  <c r="CU7" i="17"/>
  <c r="CT7" i="17"/>
  <c r="CS7" i="17"/>
  <c r="CR7" i="17"/>
  <c r="DJ7" i="17"/>
  <c r="CQ7" i="17"/>
  <c r="CP7" i="17"/>
  <c r="CO7" i="17"/>
  <c r="CN7" i="17"/>
  <c r="CL7" i="17"/>
  <c r="CM7" i="17"/>
  <c r="DE6" i="17"/>
  <c r="DD6" i="17"/>
  <c r="DC6" i="17"/>
  <c r="DB6" i="17"/>
  <c r="DA6" i="17"/>
  <c r="CZ6" i="17"/>
  <c r="CY6" i="17"/>
  <c r="CX6" i="17"/>
  <c r="CW6" i="17"/>
  <c r="CV6" i="17"/>
  <c r="DJ6" i="17"/>
  <c r="CU6" i="17"/>
  <c r="CT6" i="17"/>
  <c r="CS6" i="17"/>
  <c r="CR6" i="17"/>
  <c r="CQ6" i="17"/>
  <c r="CP6" i="17"/>
  <c r="CO6" i="17"/>
  <c r="CN6" i="17"/>
  <c r="CL6" i="17"/>
  <c r="CM6" i="17"/>
  <c r="DC5" i="17"/>
  <c r="DB5" i="17"/>
  <c r="DA5" i="17"/>
  <c r="CZ5" i="17"/>
  <c r="CY5" i="17"/>
  <c r="CX5" i="17"/>
  <c r="CW5" i="17"/>
  <c r="CV5" i="17"/>
  <c r="CU5" i="17"/>
  <c r="CT5" i="17"/>
  <c r="CS5" i="17"/>
  <c r="CR5" i="17"/>
  <c r="CQ5" i="17"/>
  <c r="CP5" i="17"/>
  <c r="CO5" i="17"/>
  <c r="CN5" i="17"/>
  <c r="CL5" i="17"/>
  <c r="CM5" i="17"/>
  <c r="BR13" i="17"/>
  <c r="BN13" i="17"/>
  <c r="BJ13" i="17"/>
  <c r="BC13" i="17"/>
  <c r="BZ5" i="15"/>
  <c r="CA5" i="15"/>
  <c r="BG5" i="10"/>
  <c r="BH5" i="10"/>
  <c r="CY57" i="15"/>
  <c r="CY56" i="15"/>
  <c r="CY55" i="15"/>
  <c r="CY54" i="15"/>
  <c r="CY53" i="15"/>
  <c r="CY52" i="15"/>
  <c r="CY51" i="15"/>
  <c r="CY50" i="15"/>
  <c r="CY49" i="15"/>
  <c r="CY48" i="15"/>
  <c r="CY44" i="15"/>
  <c r="CY43" i="15"/>
  <c r="CY42" i="15"/>
  <c r="CY41" i="15"/>
  <c r="CY40" i="15"/>
  <c r="CY39" i="15"/>
  <c r="CY38" i="15"/>
  <c r="CY37" i="15"/>
  <c r="CY36" i="15"/>
  <c r="CY35" i="15"/>
  <c r="CY34" i="15"/>
  <c r="CY32" i="15"/>
  <c r="CY31" i="15"/>
  <c r="CY28" i="15"/>
  <c r="CY27" i="15"/>
  <c r="CY25" i="15"/>
  <c r="CY24" i="15"/>
  <c r="CY23" i="15"/>
  <c r="CY22" i="15"/>
  <c r="CY21" i="15"/>
  <c r="CY20" i="15"/>
  <c r="CY18" i="15"/>
  <c r="CY17" i="15"/>
  <c r="CY16" i="15"/>
  <c r="CY15" i="15"/>
  <c r="CY14" i="15"/>
  <c r="CY26" i="15"/>
  <c r="CX14" i="15"/>
  <c r="BJ47" i="15"/>
  <c r="BJ47" i="14"/>
  <c r="BJ47" i="13"/>
  <c r="CJ9" i="13"/>
  <c r="B11" i="11"/>
  <c r="H11" i="11" s="1"/>
  <c r="B10" i="11"/>
  <c r="H10" i="11" s="1"/>
  <c r="B8" i="11"/>
  <c r="BJ58" i="9"/>
  <c r="C11" i="11"/>
  <c r="BJ47" i="9"/>
  <c r="C10" i="11"/>
  <c r="CE6" i="9"/>
  <c r="BC13" i="15"/>
  <c r="CO46" i="14"/>
  <c r="CO47" i="14"/>
  <c r="BC58" i="13"/>
  <c r="BC47" i="9"/>
  <c r="CE12" i="9"/>
  <c r="B4" i="11"/>
  <c r="BC58" i="10"/>
  <c r="BV5" i="10"/>
  <c r="BR58" i="15"/>
  <c r="BR47" i="15"/>
  <c r="BS45" i="15"/>
  <c r="BR45" i="15"/>
  <c r="B23" i="11"/>
  <c r="B22" i="11"/>
  <c r="B20" i="11"/>
  <c r="H20" i="11" s="1"/>
  <c r="BR58" i="14"/>
  <c r="C23" i="11"/>
  <c r="H23" i="11" s="1"/>
  <c r="BR47" i="14"/>
  <c r="BS45" i="14"/>
  <c r="BR13" i="14"/>
  <c r="BN47" i="15"/>
  <c r="BN58" i="14"/>
  <c r="CO10" i="14"/>
  <c r="CO7" i="14"/>
  <c r="B16" i="11"/>
  <c r="B14" i="11"/>
  <c r="BN58" i="13"/>
  <c r="BN45" i="13"/>
  <c r="C15" i="11"/>
  <c r="BN13" i="13"/>
  <c r="C14" i="11"/>
  <c r="H14" i="11" s="1"/>
  <c r="CC57" i="9"/>
  <c r="CC56" i="9"/>
  <c r="CC55" i="9"/>
  <c r="CC54" i="9"/>
  <c r="CC53" i="9"/>
  <c r="CC52" i="9"/>
  <c r="CC50" i="9"/>
  <c r="CC49" i="9"/>
  <c r="CC48" i="9"/>
  <c r="CC46" i="9"/>
  <c r="CC44" i="9"/>
  <c r="CC43" i="9"/>
  <c r="CC42" i="9"/>
  <c r="CC41" i="9"/>
  <c r="CC40" i="9"/>
  <c r="CC39" i="9"/>
  <c r="CC38" i="9"/>
  <c r="CC37" i="9"/>
  <c r="CC34" i="9"/>
  <c r="CC31" i="9"/>
  <c r="CC30" i="9"/>
  <c r="CC28" i="9"/>
  <c r="CC27" i="9"/>
  <c r="CC24" i="9"/>
  <c r="CC23" i="9"/>
  <c r="CC22" i="9"/>
  <c r="CC21" i="9"/>
  <c r="CC20" i="9"/>
  <c r="CC17" i="9"/>
  <c r="CC16" i="9"/>
  <c r="CC15" i="9"/>
  <c r="CC12" i="9"/>
  <c r="CC11" i="9"/>
  <c r="CC10" i="9"/>
  <c r="CC9" i="9"/>
  <c r="CC8" i="9"/>
  <c r="CC7" i="9"/>
  <c r="CC6" i="9"/>
  <c r="CC5" i="9"/>
  <c r="BI58" i="9"/>
  <c r="BH58" i="9"/>
  <c r="BG51" i="9"/>
  <c r="CC51" i="9"/>
  <c r="BI47" i="9"/>
  <c r="BH47" i="9"/>
  <c r="BG47" i="9"/>
  <c r="BH45" i="9"/>
  <c r="BI35" i="9"/>
  <c r="BG35" i="9"/>
  <c r="BI33" i="9"/>
  <c r="BG33" i="9"/>
  <c r="BG29" i="9"/>
  <c r="CC29" i="9"/>
  <c r="BG26" i="9"/>
  <c r="CE26" i="9"/>
  <c r="CC26" i="9"/>
  <c r="BI25" i="9"/>
  <c r="BG25" i="9"/>
  <c r="BI19" i="9"/>
  <c r="BI45" i="9"/>
  <c r="BI59" i="9"/>
  <c r="BG19" i="9"/>
  <c r="BI13" i="9"/>
  <c r="BH13" i="9"/>
  <c r="BG13" i="9"/>
  <c r="CO57" i="15"/>
  <c r="CO56" i="15"/>
  <c r="CO55" i="15"/>
  <c r="CO54" i="15"/>
  <c r="CO53" i="15"/>
  <c r="CO52" i="15"/>
  <c r="CO50" i="15"/>
  <c r="CO49" i="15"/>
  <c r="CO48" i="15"/>
  <c r="CO46" i="15"/>
  <c r="CO44" i="15"/>
  <c r="CO43" i="15"/>
  <c r="CO42" i="15"/>
  <c r="CO41" i="15"/>
  <c r="CO40" i="15"/>
  <c r="CO39" i="15"/>
  <c r="CO38" i="15"/>
  <c r="CO37" i="15"/>
  <c r="CO34" i="15"/>
  <c r="CO31" i="15"/>
  <c r="CO30" i="15"/>
  <c r="CO28" i="15"/>
  <c r="CO27" i="15"/>
  <c r="CO24" i="15"/>
  <c r="CO23" i="15"/>
  <c r="CO22" i="15"/>
  <c r="CO21" i="15"/>
  <c r="CO20" i="15"/>
  <c r="CO17" i="15"/>
  <c r="CO16" i="15"/>
  <c r="CO15" i="15"/>
  <c r="CO12" i="15"/>
  <c r="CO11" i="15"/>
  <c r="CO10" i="15"/>
  <c r="CO9" i="15"/>
  <c r="CO8" i="15"/>
  <c r="CO7" i="15"/>
  <c r="CO6" i="15"/>
  <c r="CO5" i="15"/>
  <c r="CK57" i="14"/>
  <c r="CK56" i="14"/>
  <c r="CK55" i="14"/>
  <c r="CK54" i="14"/>
  <c r="CK53" i="14"/>
  <c r="CK52" i="14"/>
  <c r="CK50" i="14"/>
  <c r="CK49" i="14"/>
  <c r="CK48" i="14"/>
  <c r="CK46" i="14"/>
  <c r="CK44" i="14"/>
  <c r="CK43" i="14"/>
  <c r="CK42" i="14"/>
  <c r="CK41" i="14"/>
  <c r="CK40" i="14"/>
  <c r="CK39" i="14"/>
  <c r="CK38" i="14"/>
  <c r="CK37" i="14"/>
  <c r="CK34" i="14"/>
  <c r="CP34" i="14"/>
  <c r="CK31" i="14"/>
  <c r="CK30" i="14"/>
  <c r="CK28" i="14"/>
  <c r="CK27" i="14"/>
  <c r="CK24" i="14"/>
  <c r="CK23" i="14"/>
  <c r="CK22" i="14"/>
  <c r="CK21" i="14"/>
  <c r="CK20" i="14"/>
  <c r="CK17" i="14"/>
  <c r="CK16" i="14"/>
  <c r="CK15" i="14"/>
  <c r="CK12" i="14"/>
  <c r="CK11" i="14"/>
  <c r="CK10" i="14"/>
  <c r="CK9" i="14"/>
  <c r="CK8" i="14"/>
  <c r="CK7" i="14"/>
  <c r="CK6" i="14"/>
  <c r="CK5" i="14"/>
  <c r="CG57" i="13"/>
  <c r="CG56" i="13"/>
  <c r="CG55" i="13"/>
  <c r="CG54" i="13"/>
  <c r="CG53" i="13"/>
  <c r="CG52" i="13"/>
  <c r="CG50" i="13"/>
  <c r="CG49" i="13"/>
  <c r="CG48" i="13"/>
  <c r="CG46" i="13"/>
  <c r="CG44" i="13"/>
  <c r="CG43" i="13"/>
  <c r="CG42" i="13"/>
  <c r="CG41" i="13"/>
  <c r="CG40" i="13"/>
  <c r="CG39" i="13"/>
  <c r="CG38" i="13"/>
  <c r="CG37" i="13"/>
  <c r="CG34" i="13"/>
  <c r="CG31" i="13"/>
  <c r="CG30" i="13"/>
  <c r="CG28" i="13"/>
  <c r="CG27" i="13"/>
  <c r="CG24" i="13"/>
  <c r="CG23" i="13"/>
  <c r="CG22" i="13"/>
  <c r="CG21" i="13"/>
  <c r="CG20" i="13"/>
  <c r="CL20" i="13"/>
  <c r="CG17" i="13"/>
  <c r="CK17" i="13"/>
  <c r="CG16" i="13"/>
  <c r="CG15" i="13"/>
  <c r="CG12" i="13"/>
  <c r="CG11" i="13"/>
  <c r="CG10" i="13"/>
  <c r="CG9" i="13"/>
  <c r="CG8" i="13"/>
  <c r="CG7" i="13"/>
  <c r="CG6" i="13"/>
  <c r="CG5" i="13"/>
  <c r="BU58" i="15"/>
  <c r="BS58" i="15"/>
  <c r="BU47" i="15"/>
  <c r="BU59" i="15"/>
  <c r="BS47" i="15"/>
  <c r="BS59" i="15"/>
  <c r="BU45" i="15"/>
  <c r="BU13" i="15"/>
  <c r="BS13" i="15"/>
  <c r="BI58" i="15"/>
  <c r="BH58" i="15"/>
  <c r="BG51" i="15"/>
  <c r="BG58" i="15"/>
  <c r="BI47" i="15"/>
  <c r="BH47" i="15"/>
  <c r="BG47" i="15"/>
  <c r="BH45" i="15"/>
  <c r="BI35" i="15"/>
  <c r="BG35" i="15"/>
  <c r="CO35" i="15"/>
  <c r="BI33" i="15"/>
  <c r="BI45" i="15"/>
  <c r="CO33" i="15"/>
  <c r="BG33" i="15"/>
  <c r="BG29" i="15"/>
  <c r="CO29" i="15"/>
  <c r="BG26" i="15"/>
  <c r="BI25" i="15"/>
  <c r="BG25" i="15"/>
  <c r="BI19" i="15"/>
  <c r="BG19" i="15"/>
  <c r="CO19" i="15"/>
  <c r="BI13" i="15"/>
  <c r="BH13" i="15"/>
  <c r="BG13" i="15"/>
  <c r="BI58" i="14"/>
  <c r="BH58" i="14"/>
  <c r="BG51" i="14"/>
  <c r="CO51" i="14"/>
  <c r="CK51" i="14"/>
  <c r="BI47" i="14"/>
  <c r="BH47" i="14"/>
  <c r="BG47" i="14"/>
  <c r="BH45" i="14"/>
  <c r="BI35" i="14"/>
  <c r="BG35" i="14"/>
  <c r="BI33" i="14"/>
  <c r="BG33" i="14"/>
  <c r="CK33" i="14"/>
  <c r="BG29" i="14"/>
  <c r="CK29" i="14"/>
  <c r="BG26" i="14"/>
  <c r="CK26" i="14"/>
  <c r="BI25" i="14"/>
  <c r="CK25" i="14"/>
  <c r="BG25" i="14"/>
  <c r="BI19" i="14"/>
  <c r="BG19" i="14"/>
  <c r="BI13" i="14"/>
  <c r="BH13" i="14"/>
  <c r="BG13" i="14"/>
  <c r="BH58" i="13"/>
  <c r="BH47" i="13"/>
  <c r="BH45" i="13"/>
  <c r="BI25" i="13"/>
  <c r="BG25" i="13"/>
  <c r="CG25" i="13"/>
  <c r="BI19" i="13"/>
  <c r="BG19" i="13"/>
  <c r="BG51" i="13"/>
  <c r="BG58" i="13"/>
  <c r="BG35" i="13"/>
  <c r="CG35" i="13"/>
  <c r="BG33" i="13"/>
  <c r="BG29" i="13"/>
  <c r="CG29" i="13"/>
  <c r="BG26" i="13"/>
  <c r="CG26" i="13"/>
  <c r="BI33" i="13"/>
  <c r="BI35" i="13"/>
  <c r="BH13" i="13"/>
  <c r="BI13" i="13"/>
  <c r="BG13" i="13"/>
  <c r="BI58" i="13"/>
  <c r="BI47" i="13"/>
  <c r="BG47" i="13"/>
  <c r="CY13" i="15"/>
  <c r="BU58" i="14"/>
  <c r="BU59" i="14"/>
  <c r="BS58" i="14"/>
  <c r="BS59" i="14"/>
  <c r="BU47" i="14"/>
  <c r="BS47" i="14"/>
  <c r="BU45" i="14"/>
  <c r="BU13" i="14"/>
  <c r="BS13" i="14"/>
  <c r="BQ58" i="15"/>
  <c r="BQ59" i="15"/>
  <c r="BO58" i="15"/>
  <c r="BO59" i="15"/>
  <c r="BQ47" i="15"/>
  <c r="BO47" i="15"/>
  <c r="BQ45" i="15"/>
  <c r="BO45" i="15"/>
  <c r="BQ13" i="15"/>
  <c r="BO13" i="15"/>
  <c r="BO58" i="14"/>
  <c r="BO47" i="14"/>
  <c r="BO45" i="14"/>
  <c r="BO13" i="14"/>
  <c r="CE5" i="13"/>
  <c r="BO58" i="13"/>
  <c r="BO47" i="13"/>
  <c r="BO59" i="13"/>
  <c r="BO45" i="13"/>
  <c r="BO13" i="13"/>
  <c r="BM58" i="15"/>
  <c r="BK58" i="15"/>
  <c r="BM47" i="15"/>
  <c r="BK47" i="15"/>
  <c r="BM45" i="15"/>
  <c r="BK45" i="15"/>
  <c r="CY33" i="15"/>
  <c r="BM13" i="15"/>
  <c r="BK13" i="15"/>
  <c r="CY10" i="15"/>
  <c r="CY5" i="15"/>
  <c r="BK58" i="14"/>
  <c r="BK59" i="14"/>
  <c r="BK47" i="14"/>
  <c r="BK45" i="14"/>
  <c r="BK13" i="14"/>
  <c r="BK58" i="13"/>
  <c r="BK47" i="13"/>
  <c r="BK45" i="13"/>
  <c r="BK13" i="13"/>
  <c r="BK58" i="9"/>
  <c r="BK59" i="9"/>
  <c r="BK47" i="9"/>
  <c r="BK45" i="9"/>
  <c r="BK13" i="9"/>
  <c r="BN42" i="9"/>
  <c r="BO42" i="9"/>
  <c r="BP42" i="9"/>
  <c r="BQ42" i="9"/>
  <c r="BR42" i="9"/>
  <c r="BS42" i="9"/>
  <c r="BT42" i="9"/>
  <c r="BU42" i="9"/>
  <c r="BV42" i="9"/>
  <c r="BW42" i="9"/>
  <c r="BX42" i="9"/>
  <c r="BY42" i="9"/>
  <c r="BZ42" i="9"/>
  <c r="CA42" i="9"/>
  <c r="CB42" i="9"/>
  <c r="CD42" i="9"/>
  <c r="BN6" i="9"/>
  <c r="BO6" i="9"/>
  <c r="BP6" i="9"/>
  <c r="BQ6" i="9"/>
  <c r="BR6" i="9"/>
  <c r="BS6" i="9"/>
  <c r="BT6" i="9"/>
  <c r="BU6" i="9"/>
  <c r="BV6" i="9"/>
  <c r="BW6" i="9"/>
  <c r="BX6" i="9"/>
  <c r="BY6" i="9"/>
  <c r="BZ6" i="9"/>
  <c r="CA6" i="9"/>
  <c r="CB6" i="9"/>
  <c r="CD6" i="9"/>
  <c r="CY29" i="15"/>
  <c r="BD58" i="10"/>
  <c r="BD47" i="10"/>
  <c r="BD45" i="10"/>
  <c r="CS57" i="15"/>
  <c r="CS56" i="15"/>
  <c r="CS55" i="15"/>
  <c r="CS54" i="15"/>
  <c r="CS53" i="15"/>
  <c r="CS52" i="15"/>
  <c r="CS51" i="15"/>
  <c r="CS50" i="15"/>
  <c r="CS49" i="15"/>
  <c r="CS48" i="15"/>
  <c r="CS46" i="15"/>
  <c r="CS44" i="15"/>
  <c r="CS43" i="15"/>
  <c r="CS42" i="15"/>
  <c r="CS41" i="15"/>
  <c r="CS40" i="15"/>
  <c r="CS39" i="15"/>
  <c r="CS38" i="15"/>
  <c r="CS37" i="15"/>
  <c r="CS35" i="15"/>
  <c r="CS34" i="15"/>
  <c r="CS33" i="15"/>
  <c r="CS31" i="15"/>
  <c r="CS30" i="15"/>
  <c r="CS29" i="15"/>
  <c r="CS28" i="15"/>
  <c r="CS27" i="15"/>
  <c r="CS26" i="15"/>
  <c r="CS25" i="15"/>
  <c r="CS24" i="15"/>
  <c r="CS23" i="15"/>
  <c r="CS22" i="15"/>
  <c r="CS21" i="15"/>
  <c r="CS20" i="15"/>
  <c r="CS19" i="15"/>
  <c r="CS17" i="15"/>
  <c r="CS16" i="15"/>
  <c r="CS15" i="15"/>
  <c r="CS12" i="15"/>
  <c r="CS11" i="15"/>
  <c r="CS10" i="15"/>
  <c r="CS9" i="15"/>
  <c r="CS8" i="15"/>
  <c r="CS7" i="15"/>
  <c r="CS6" i="15"/>
  <c r="CS5" i="15"/>
  <c r="CR57" i="15"/>
  <c r="CQ57" i="15"/>
  <c r="CP57" i="15"/>
  <c r="CN57" i="15"/>
  <c r="CM57" i="15"/>
  <c r="CL57" i="15"/>
  <c r="CK57" i="15"/>
  <c r="CJ57" i="15"/>
  <c r="CI57" i="15"/>
  <c r="CH57" i="15"/>
  <c r="CG57" i="15"/>
  <c r="CF57" i="15"/>
  <c r="CE57" i="15"/>
  <c r="CD57" i="15"/>
  <c r="CC57" i="15"/>
  <c r="CB57" i="15"/>
  <c r="BZ57" i="15"/>
  <c r="CA57" i="15"/>
  <c r="CR56" i="15"/>
  <c r="CQ56" i="15"/>
  <c r="CP56" i="15"/>
  <c r="CN56" i="15"/>
  <c r="CM56" i="15"/>
  <c r="CL56" i="15"/>
  <c r="CK56" i="15"/>
  <c r="CJ56" i="15"/>
  <c r="CI56" i="15"/>
  <c r="CH56" i="15"/>
  <c r="CG56" i="15"/>
  <c r="CF56" i="15"/>
  <c r="CE56" i="15"/>
  <c r="CD56" i="15"/>
  <c r="CC56" i="15"/>
  <c r="CB56" i="15"/>
  <c r="BZ56" i="15"/>
  <c r="CA56" i="15"/>
  <c r="CR55" i="15"/>
  <c r="CQ55" i="15"/>
  <c r="CP55" i="15"/>
  <c r="CN55" i="15"/>
  <c r="CM55" i="15"/>
  <c r="CL55" i="15"/>
  <c r="CK55" i="15"/>
  <c r="CJ55" i="15"/>
  <c r="CI55" i="15"/>
  <c r="CH55" i="15"/>
  <c r="CG55" i="15"/>
  <c r="CF55" i="15"/>
  <c r="CE55" i="15"/>
  <c r="CD55" i="15"/>
  <c r="CC55" i="15"/>
  <c r="CB55" i="15"/>
  <c r="BZ55" i="15"/>
  <c r="CA55" i="15"/>
  <c r="CR54" i="15"/>
  <c r="CQ54" i="15"/>
  <c r="CP54" i="15"/>
  <c r="CN54" i="15"/>
  <c r="CM54" i="15"/>
  <c r="CL54" i="15"/>
  <c r="CK54" i="15"/>
  <c r="CJ54" i="15"/>
  <c r="CI54" i="15"/>
  <c r="CH54" i="15"/>
  <c r="CG54" i="15"/>
  <c r="CF54" i="15"/>
  <c r="CE54" i="15"/>
  <c r="CD54" i="15"/>
  <c r="CC54" i="15"/>
  <c r="CB54" i="15"/>
  <c r="BZ54" i="15"/>
  <c r="CA54" i="15"/>
  <c r="CR53" i="15"/>
  <c r="CQ53" i="15"/>
  <c r="CP53" i="15"/>
  <c r="CN53" i="15"/>
  <c r="CM53" i="15"/>
  <c r="CL53" i="15"/>
  <c r="CK53" i="15"/>
  <c r="CJ53" i="15"/>
  <c r="CI53" i="15"/>
  <c r="CH53" i="15"/>
  <c r="CG53" i="15"/>
  <c r="CF53" i="15"/>
  <c r="CE53" i="15"/>
  <c r="CD53" i="15"/>
  <c r="CC53" i="15"/>
  <c r="CB53" i="15"/>
  <c r="BZ53" i="15"/>
  <c r="CA53" i="15"/>
  <c r="CR52" i="15"/>
  <c r="CQ52" i="15"/>
  <c r="CP52" i="15"/>
  <c r="CN52" i="15"/>
  <c r="CM52" i="15"/>
  <c r="CL52" i="15"/>
  <c r="CK52" i="15"/>
  <c r="CJ52" i="15"/>
  <c r="CI52" i="15"/>
  <c r="CH52" i="15"/>
  <c r="CG52" i="15"/>
  <c r="CF52" i="15"/>
  <c r="CE52" i="15"/>
  <c r="CD52" i="15"/>
  <c r="CC52" i="15"/>
  <c r="CB52" i="15"/>
  <c r="BZ52" i="15"/>
  <c r="CA52" i="15"/>
  <c r="CR51" i="15"/>
  <c r="CQ51" i="15"/>
  <c r="CP51" i="15"/>
  <c r="CN51" i="15"/>
  <c r="CM51" i="15"/>
  <c r="CL51" i="15"/>
  <c r="CK51" i="15"/>
  <c r="CJ51" i="15"/>
  <c r="CI51" i="15"/>
  <c r="CH51" i="15"/>
  <c r="CG51" i="15"/>
  <c r="CF51" i="15"/>
  <c r="CE51" i="15"/>
  <c r="CD51" i="15"/>
  <c r="CC51" i="15"/>
  <c r="CB51" i="15"/>
  <c r="BZ51" i="15"/>
  <c r="CA51" i="15"/>
  <c r="CR50" i="15"/>
  <c r="CQ50" i="15"/>
  <c r="CP50" i="15"/>
  <c r="CN50" i="15"/>
  <c r="CM50" i="15"/>
  <c r="CL50" i="15"/>
  <c r="CK50" i="15"/>
  <c r="CJ50" i="15"/>
  <c r="CI50" i="15"/>
  <c r="CH50" i="15"/>
  <c r="CG50" i="15"/>
  <c r="CF50" i="15"/>
  <c r="CE50" i="15"/>
  <c r="CD50" i="15"/>
  <c r="CC50" i="15"/>
  <c r="CB50" i="15"/>
  <c r="BZ50" i="15"/>
  <c r="CA50" i="15"/>
  <c r="CR49" i="15"/>
  <c r="CQ49" i="15"/>
  <c r="CP49" i="15"/>
  <c r="CN49" i="15"/>
  <c r="CM49" i="15"/>
  <c r="CL49" i="15"/>
  <c r="CK49" i="15"/>
  <c r="CJ49" i="15"/>
  <c r="CI49" i="15"/>
  <c r="CH49" i="15"/>
  <c r="CG49" i="15"/>
  <c r="CF49" i="15"/>
  <c r="CE49" i="15"/>
  <c r="CD49" i="15"/>
  <c r="CC49" i="15"/>
  <c r="CB49" i="15"/>
  <c r="BZ49" i="15"/>
  <c r="CA49" i="15"/>
  <c r="CR48" i="15"/>
  <c r="CQ48" i="15"/>
  <c r="CP48" i="15"/>
  <c r="CN48" i="15"/>
  <c r="CM48" i="15"/>
  <c r="CL48" i="15"/>
  <c r="CK48" i="15"/>
  <c r="CJ48" i="15"/>
  <c r="CI48" i="15"/>
  <c r="CH48" i="15"/>
  <c r="CG48" i="15"/>
  <c r="CF48" i="15"/>
  <c r="CE48" i="15"/>
  <c r="CD48" i="15"/>
  <c r="CC48" i="15"/>
  <c r="CB48" i="15"/>
  <c r="BZ48" i="15"/>
  <c r="CA48" i="15"/>
  <c r="CR46" i="15"/>
  <c r="CQ46" i="15"/>
  <c r="CP46" i="15"/>
  <c r="CN46" i="15"/>
  <c r="CM46" i="15"/>
  <c r="CL46" i="15"/>
  <c r="CK46" i="15"/>
  <c r="CJ46" i="15"/>
  <c r="CI46" i="15"/>
  <c r="CH46" i="15"/>
  <c r="CG46" i="15"/>
  <c r="CF46" i="15"/>
  <c r="CE46" i="15"/>
  <c r="CD46" i="15"/>
  <c r="CC46" i="15"/>
  <c r="CB46" i="15"/>
  <c r="BZ46" i="15"/>
  <c r="CA46" i="15"/>
  <c r="CR44" i="15"/>
  <c r="CQ44" i="15"/>
  <c r="CP44" i="15"/>
  <c r="CN44" i="15"/>
  <c r="CM44" i="15"/>
  <c r="CL44" i="15"/>
  <c r="CK44" i="15"/>
  <c r="CJ44" i="15"/>
  <c r="CI44" i="15"/>
  <c r="CH44" i="15"/>
  <c r="CG44" i="15"/>
  <c r="CF44" i="15"/>
  <c r="CE44" i="15"/>
  <c r="CD44" i="15"/>
  <c r="CC44" i="15"/>
  <c r="CB44" i="15"/>
  <c r="BZ44" i="15"/>
  <c r="CA44" i="15"/>
  <c r="CR43" i="15"/>
  <c r="CQ43" i="15"/>
  <c r="CP43" i="15"/>
  <c r="CN43" i="15"/>
  <c r="CM43" i="15"/>
  <c r="CL43" i="15"/>
  <c r="CK43" i="15"/>
  <c r="CJ43" i="15"/>
  <c r="CI43" i="15"/>
  <c r="CH43" i="15"/>
  <c r="CG43" i="15"/>
  <c r="CF43" i="15"/>
  <c r="CE43" i="15"/>
  <c r="CD43" i="15"/>
  <c r="CC43" i="15"/>
  <c r="CB43" i="15"/>
  <c r="BZ43" i="15"/>
  <c r="CA43" i="15"/>
  <c r="CR42" i="15"/>
  <c r="CQ42" i="15"/>
  <c r="CP42" i="15"/>
  <c r="CN42" i="15"/>
  <c r="CM42" i="15"/>
  <c r="CL42" i="15"/>
  <c r="CK42" i="15"/>
  <c r="CJ42" i="15"/>
  <c r="CI42" i="15"/>
  <c r="CH42" i="15"/>
  <c r="CG42" i="15"/>
  <c r="CF42" i="15"/>
  <c r="CE42" i="15"/>
  <c r="CD42" i="15"/>
  <c r="CC42" i="15"/>
  <c r="CB42" i="15"/>
  <c r="BZ42" i="15"/>
  <c r="CA42" i="15"/>
  <c r="CR41" i="15"/>
  <c r="CQ41" i="15"/>
  <c r="CP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BZ41" i="15"/>
  <c r="CA41" i="15"/>
  <c r="CR40" i="15"/>
  <c r="CQ40" i="15"/>
  <c r="CP40" i="15"/>
  <c r="CN40" i="15"/>
  <c r="CM40" i="15"/>
  <c r="CL40" i="15"/>
  <c r="CK40" i="15"/>
  <c r="CJ40" i="15"/>
  <c r="CI40" i="15"/>
  <c r="CH40" i="15"/>
  <c r="CG40" i="15"/>
  <c r="CF40" i="15"/>
  <c r="CE40" i="15"/>
  <c r="CD40" i="15"/>
  <c r="CC40" i="15"/>
  <c r="CB40" i="15"/>
  <c r="BZ40" i="15"/>
  <c r="CA40" i="15"/>
  <c r="CR39" i="15"/>
  <c r="CQ39" i="15"/>
  <c r="CP39" i="15"/>
  <c r="CN39" i="15"/>
  <c r="CM39" i="15"/>
  <c r="CL39" i="15"/>
  <c r="CK39" i="15"/>
  <c r="CJ39" i="15"/>
  <c r="CI39" i="15"/>
  <c r="CH39" i="15"/>
  <c r="CG39" i="15"/>
  <c r="CF39" i="15"/>
  <c r="CE39" i="15"/>
  <c r="CD39" i="15"/>
  <c r="CC39" i="15"/>
  <c r="CB39" i="15"/>
  <c r="BZ39" i="15"/>
  <c r="CA39" i="15"/>
  <c r="CR38" i="15"/>
  <c r="CQ38" i="15"/>
  <c r="CP38" i="15"/>
  <c r="CN38" i="15"/>
  <c r="CM38" i="15"/>
  <c r="CL38" i="15"/>
  <c r="CK38" i="15"/>
  <c r="CJ38" i="15"/>
  <c r="CI38" i="15"/>
  <c r="CH38" i="15"/>
  <c r="CG38" i="15"/>
  <c r="CF38" i="15"/>
  <c r="CE38" i="15"/>
  <c r="CD38" i="15"/>
  <c r="CC38" i="15"/>
  <c r="CB38" i="15"/>
  <c r="BZ38" i="15"/>
  <c r="CA38" i="15"/>
  <c r="CR37" i="15"/>
  <c r="CQ37" i="15"/>
  <c r="CP37" i="15"/>
  <c r="CN37" i="15"/>
  <c r="CM37" i="15"/>
  <c r="CL37" i="15"/>
  <c r="CK37" i="15"/>
  <c r="CJ37" i="15"/>
  <c r="CI37" i="15"/>
  <c r="CH37" i="15"/>
  <c r="CG37" i="15"/>
  <c r="CF37" i="15"/>
  <c r="CE37" i="15"/>
  <c r="CD37" i="15"/>
  <c r="CC37" i="15"/>
  <c r="CB37" i="15"/>
  <c r="BZ37" i="15"/>
  <c r="CA37" i="15"/>
  <c r="CR35" i="15"/>
  <c r="CQ35" i="15"/>
  <c r="CP35" i="15"/>
  <c r="CN35" i="15"/>
  <c r="CM35" i="15"/>
  <c r="CL35" i="15"/>
  <c r="CK35" i="15"/>
  <c r="CJ35" i="15"/>
  <c r="CI35" i="15"/>
  <c r="CH35" i="15"/>
  <c r="CG35" i="15"/>
  <c r="CF35" i="15"/>
  <c r="CE35" i="15"/>
  <c r="CD35" i="15"/>
  <c r="CC35" i="15"/>
  <c r="CB35" i="15"/>
  <c r="BZ35" i="15"/>
  <c r="CA35" i="15"/>
  <c r="CR34" i="15"/>
  <c r="CQ34" i="15"/>
  <c r="CP34" i="15"/>
  <c r="CN34" i="15"/>
  <c r="CM34" i="15"/>
  <c r="CL34" i="15"/>
  <c r="CK34" i="15"/>
  <c r="CJ34" i="15"/>
  <c r="CI34" i="15"/>
  <c r="CH34" i="15"/>
  <c r="CG34" i="15"/>
  <c r="CF34" i="15"/>
  <c r="CE34" i="15"/>
  <c r="CD34" i="15"/>
  <c r="CC34" i="15"/>
  <c r="CB34" i="15"/>
  <c r="BZ34" i="15"/>
  <c r="CA34" i="15"/>
  <c r="CU34" i="15"/>
  <c r="CR33" i="15"/>
  <c r="CQ33" i="15"/>
  <c r="CP33" i="15"/>
  <c r="CN33" i="15"/>
  <c r="CM33" i="15"/>
  <c r="CL33" i="15"/>
  <c r="CK33" i="15"/>
  <c r="CJ33" i="15"/>
  <c r="CI33" i="15"/>
  <c r="CH33" i="15"/>
  <c r="CG33" i="15"/>
  <c r="CF33" i="15"/>
  <c r="CE33" i="15"/>
  <c r="CD33" i="15"/>
  <c r="CC33" i="15"/>
  <c r="CB33" i="15"/>
  <c r="BZ33" i="15"/>
  <c r="CA33" i="15"/>
  <c r="CR31" i="15"/>
  <c r="CQ31" i="15"/>
  <c r="CP31" i="15"/>
  <c r="CN31" i="15"/>
  <c r="CM31" i="15"/>
  <c r="CL31" i="15"/>
  <c r="CK31" i="15"/>
  <c r="CJ31" i="15"/>
  <c r="CI31" i="15"/>
  <c r="CH31" i="15"/>
  <c r="CG31" i="15"/>
  <c r="CF31" i="15"/>
  <c r="CE31" i="15"/>
  <c r="CD31" i="15"/>
  <c r="CC31" i="15"/>
  <c r="CB31" i="15"/>
  <c r="BZ31" i="15"/>
  <c r="CA31" i="15"/>
  <c r="CR30" i="15"/>
  <c r="CQ30" i="15"/>
  <c r="CP30" i="15"/>
  <c r="CN30" i="15"/>
  <c r="CM30" i="15"/>
  <c r="CL30" i="15"/>
  <c r="CK30" i="15"/>
  <c r="CJ30" i="15"/>
  <c r="CI30" i="15"/>
  <c r="CH30" i="15"/>
  <c r="CG30" i="15"/>
  <c r="CF30" i="15"/>
  <c r="CE30" i="15"/>
  <c r="CD30" i="15"/>
  <c r="CC30" i="15"/>
  <c r="CB30" i="15"/>
  <c r="BZ30" i="15"/>
  <c r="CA30" i="15"/>
  <c r="CR29" i="15"/>
  <c r="CQ29" i="15"/>
  <c r="CP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BZ29" i="15"/>
  <c r="CA29" i="15"/>
  <c r="CR28" i="15"/>
  <c r="CQ28" i="15"/>
  <c r="CP28" i="15"/>
  <c r="CN28" i="15"/>
  <c r="CM28" i="15"/>
  <c r="CL28" i="15"/>
  <c r="CK28" i="15"/>
  <c r="CJ28" i="15"/>
  <c r="CI28" i="15"/>
  <c r="CH28" i="15"/>
  <c r="CG28" i="15"/>
  <c r="CF28" i="15"/>
  <c r="CE28" i="15"/>
  <c r="CD28" i="15"/>
  <c r="CC28" i="15"/>
  <c r="CB28" i="15"/>
  <c r="BZ28" i="15"/>
  <c r="CA28" i="15"/>
  <c r="CR27" i="15"/>
  <c r="CQ27" i="15"/>
  <c r="CP27" i="15"/>
  <c r="CN27" i="15"/>
  <c r="CM27" i="15"/>
  <c r="CL27" i="15"/>
  <c r="CK27" i="15"/>
  <c r="CJ27" i="15"/>
  <c r="CI27" i="15"/>
  <c r="CH27" i="15"/>
  <c r="CG27" i="15"/>
  <c r="CF27" i="15"/>
  <c r="CE27" i="15"/>
  <c r="CD27" i="15"/>
  <c r="CC27" i="15"/>
  <c r="CB27" i="15"/>
  <c r="BZ27" i="15"/>
  <c r="CA27" i="15"/>
  <c r="CR26" i="15"/>
  <c r="CQ26" i="15"/>
  <c r="CP26" i="15"/>
  <c r="CN26" i="15"/>
  <c r="CM26" i="15"/>
  <c r="CL26" i="15"/>
  <c r="CK26" i="15"/>
  <c r="CJ26" i="15"/>
  <c r="CI26" i="15"/>
  <c r="CH26" i="15"/>
  <c r="CG26" i="15"/>
  <c r="CF26" i="15"/>
  <c r="CE26" i="15"/>
  <c r="CD26" i="15"/>
  <c r="CC26" i="15"/>
  <c r="CB26" i="15"/>
  <c r="BZ26" i="15"/>
  <c r="CA26" i="15"/>
  <c r="CR25" i="15"/>
  <c r="CQ25" i="15"/>
  <c r="CP25" i="15"/>
  <c r="CN25" i="15"/>
  <c r="CM25" i="15"/>
  <c r="CL25" i="15"/>
  <c r="CK25" i="15"/>
  <c r="CJ25" i="15"/>
  <c r="CI25" i="15"/>
  <c r="CH25" i="15"/>
  <c r="CG25" i="15"/>
  <c r="CF25" i="15"/>
  <c r="CE25" i="15"/>
  <c r="CD25" i="15"/>
  <c r="CC25" i="15"/>
  <c r="CB25" i="15"/>
  <c r="BZ25" i="15"/>
  <c r="CA25" i="15"/>
  <c r="CR24" i="15"/>
  <c r="CQ24" i="15"/>
  <c r="CP24" i="15"/>
  <c r="CN24" i="15"/>
  <c r="CM24" i="15"/>
  <c r="CL24" i="15"/>
  <c r="CK24" i="15"/>
  <c r="CJ24" i="15"/>
  <c r="CI24" i="15"/>
  <c r="CH24" i="15"/>
  <c r="CG24" i="15"/>
  <c r="CF24" i="15"/>
  <c r="CE24" i="15"/>
  <c r="CD24" i="15"/>
  <c r="CC24" i="15"/>
  <c r="CB24" i="15"/>
  <c r="BZ24" i="15"/>
  <c r="CA24" i="15"/>
  <c r="CR23" i="15"/>
  <c r="CQ23" i="15"/>
  <c r="CP23" i="15"/>
  <c r="CN23" i="15"/>
  <c r="CM23" i="15"/>
  <c r="CL23" i="15"/>
  <c r="CK23" i="15"/>
  <c r="CJ23" i="15"/>
  <c r="CI23" i="15"/>
  <c r="CH23" i="15"/>
  <c r="CG23" i="15"/>
  <c r="CF23" i="15"/>
  <c r="CE23" i="15"/>
  <c r="CD23" i="15"/>
  <c r="CC23" i="15"/>
  <c r="CB23" i="15"/>
  <c r="BZ23" i="15"/>
  <c r="CA23" i="15"/>
  <c r="CR22" i="15"/>
  <c r="CQ22" i="15"/>
  <c r="CP22" i="15"/>
  <c r="CN22" i="15"/>
  <c r="CM22" i="15"/>
  <c r="CL22" i="15"/>
  <c r="CK22" i="15"/>
  <c r="CJ22" i="15"/>
  <c r="CI22" i="15"/>
  <c r="CH22" i="15"/>
  <c r="CG22" i="15"/>
  <c r="CF22" i="15"/>
  <c r="CE22" i="15"/>
  <c r="CD22" i="15"/>
  <c r="CC22" i="15"/>
  <c r="CB22" i="15"/>
  <c r="BZ22" i="15"/>
  <c r="CA22" i="15"/>
  <c r="CR21" i="15"/>
  <c r="CQ21" i="15"/>
  <c r="CP21" i="15"/>
  <c r="CN21" i="15"/>
  <c r="CM21" i="15"/>
  <c r="CL21" i="15"/>
  <c r="CK21" i="15"/>
  <c r="CJ21" i="15"/>
  <c r="CI21" i="15"/>
  <c r="CH21" i="15"/>
  <c r="CG21" i="15"/>
  <c r="CF21" i="15"/>
  <c r="CE21" i="15"/>
  <c r="CD21" i="15"/>
  <c r="CC21" i="15"/>
  <c r="CB21" i="15"/>
  <c r="BZ21" i="15"/>
  <c r="CA21" i="15"/>
  <c r="CR20" i="15"/>
  <c r="CQ20" i="15"/>
  <c r="CP20" i="15"/>
  <c r="CN20" i="15"/>
  <c r="CM20" i="15"/>
  <c r="CL20" i="15"/>
  <c r="CK20" i="15"/>
  <c r="CJ20" i="15"/>
  <c r="CI20" i="15"/>
  <c r="CH20" i="15"/>
  <c r="CG20" i="15"/>
  <c r="CF20" i="15"/>
  <c r="CE20" i="15"/>
  <c r="CD20" i="15"/>
  <c r="CC20" i="15"/>
  <c r="CB20" i="15"/>
  <c r="BZ20" i="15"/>
  <c r="CA20" i="15"/>
  <c r="CR19" i="15"/>
  <c r="CQ19" i="15"/>
  <c r="CP19" i="15"/>
  <c r="CN19" i="15"/>
  <c r="CM19" i="15"/>
  <c r="CL19" i="15"/>
  <c r="CK19" i="15"/>
  <c r="CJ19" i="15"/>
  <c r="CI19" i="15"/>
  <c r="CH19" i="15"/>
  <c r="CG19" i="15"/>
  <c r="CF19" i="15"/>
  <c r="CE19" i="15"/>
  <c r="CD19" i="15"/>
  <c r="CC19" i="15"/>
  <c r="CB19" i="15"/>
  <c r="BZ19" i="15"/>
  <c r="CA19" i="15"/>
  <c r="CR17" i="15"/>
  <c r="CQ17" i="15"/>
  <c r="CP17" i="15"/>
  <c r="CN17" i="15"/>
  <c r="CM17" i="15"/>
  <c r="CL17" i="15"/>
  <c r="CK17" i="15"/>
  <c r="CJ17" i="15"/>
  <c r="CI17" i="15"/>
  <c r="CH17" i="15"/>
  <c r="CG17" i="15"/>
  <c r="CF17" i="15"/>
  <c r="CE17" i="15"/>
  <c r="CD17" i="15"/>
  <c r="CC17" i="15"/>
  <c r="CB17" i="15"/>
  <c r="BZ17" i="15"/>
  <c r="CA17" i="15"/>
  <c r="CR16" i="15"/>
  <c r="CQ16" i="15"/>
  <c r="CP16" i="15"/>
  <c r="CN16" i="15"/>
  <c r="CM16" i="15"/>
  <c r="CL16" i="15"/>
  <c r="CK16" i="15"/>
  <c r="CJ16" i="15"/>
  <c r="CI16" i="15"/>
  <c r="CH16" i="15"/>
  <c r="CG16" i="15"/>
  <c r="CF16" i="15"/>
  <c r="CE16" i="15"/>
  <c r="CD16" i="15"/>
  <c r="CC16" i="15"/>
  <c r="CB16" i="15"/>
  <c r="BZ16" i="15"/>
  <c r="CA16" i="15"/>
  <c r="CU16" i="15"/>
  <c r="CR15" i="15"/>
  <c r="CQ15" i="15"/>
  <c r="CP15" i="15"/>
  <c r="CN15" i="15"/>
  <c r="CM15" i="15"/>
  <c r="CL15" i="15"/>
  <c r="CK15" i="15"/>
  <c r="CJ15" i="15"/>
  <c r="CI15" i="15"/>
  <c r="CH15" i="15"/>
  <c r="CG15" i="15"/>
  <c r="CF15" i="15"/>
  <c r="CE15" i="15"/>
  <c r="CD15" i="15"/>
  <c r="CC15" i="15"/>
  <c r="CB15" i="15"/>
  <c r="BZ15" i="15"/>
  <c r="CA15" i="15"/>
  <c r="CR12" i="15"/>
  <c r="CQ12" i="15"/>
  <c r="CP12" i="15"/>
  <c r="CN12" i="15"/>
  <c r="CM12" i="15"/>
  <c r="CL12" i="15"/>
  <c r="CK12" i="15"/>
  <c r="CJ12" i="15"/>
  <c r="CI12" i="15"/>
  <c r="CH12" i="15"/>
  <c r="CG12" i="15"/>
  <c r="CF12" i="15"/>
  <c r="CE12" i="15"/>
  <c r="CD12" i="15"/>
  <c r="CC12" i="15"/>
  <c r="CB12" i="15"/>
  <c r="BZ12" i="15"/>
  <c r="CA12" i="15"/>
  <c r="CR11" i="15"/>
  <c r="CQ11" i="15"/>
  <c r="CP11" i="15"/>
  <c r="CN11" i="15"/>
  <c r="CM11" i="15"/>
  <c r="CL11" i="15"/>
  <c r="CK11" i="15"/>
  <c r="CJ11" i="15"/>
  <c r="CI11" i="15"/>
  <c r="CH11" i="15"/>
  <c r="CG11" i="15"/>
  <c r="CF11" i="15"/>
  <c r="CE11" i="15"/>
  <c r="CD11" i="15"/>
  <c r="CC11" i="15"/>
  <c r="CB11" i="15"/>
  <c r="BZ11" i="15"/>
  <c r="CA11" i="15"/>
  <c r="CR10" i="15"/>
  <c r="CQ10" i="15"/>
  <c r="CP10" i="15"/>
  <c r="CN10" i="15"/>
  <c r="CM10" i="15"/>
  <c r="CL10" i="15"/>
  <c r="CK10" i="15"/>
  <c r="CJ10" i="15"/>
  <c r="CI10" i="15"/>
  <c r="CH10" i="15"/>
  <c r="CG10" i="15"/>
  <c r="CF10" i="15"/>
  <c r="CE10" i="15"/>
  <c r="CD10" i="15"/>
  <c r="CC10" i="15"/>
  <c r="CB10" i="15"/>
  <c r="BZ10" i="15"/>
  <c r="CA10" i="15"/>
  <c r="CR9" i="15"/>
  <c r="CQ9" i="15"/>
  <c r="CP9" i="15"/>
  <c r="CN9" i="15"/>
  <c r="CM9" i="15"/>
  <c r="CL9" i="15"/>
  <c r="CK9" i="15"/>
  <c r="CJ9" i="15"/>
  <c r="CI9" i="15"/>
  <c r="CH9" i="15"/>
  <c r="CG9" i="15"/>
  <c r="CF9" i="15"/>
  <c r="CE9" i="15"/>
  <c r="CD9" i="15"/>
  <c r="CC9" i="15"/>
  <c r="CB9" i="15"/>
  <c r="BZ9" i="15"/>
  <c r="CA9" i="15"/>
  <c r="CR8" i="15"/>
  <c r="CQ8" i="15"/>
  <c r="CP8" i="15"/>
  <c r="CN8" i="15"/>
  <c r="CM8" i="15"/>
  <c r="CL8" i="15"/>
  <c r="CK8" i="15"/>
  <c r="CJ8" i="15"/>
  <c r="CI8" i="15"/>
  <c r="CH8" i="15"/>
  <c r="CG8" i="15"/>
  <c r="CF8" i="15"/>
  <c r="CE8" i="15"/>
  <c r="CD8" i="15"/>
  <c r="CC8" i="15"/>
  <c r="CB8" i="15"/>
  <c r="BZ8" i="15"/>
  <c r="CA8" i="15"/>
  <c r="CR7" i="15"/>
  <c r="CQ7" i="15"/>
  <c r="CP7" i="15"/>
  <c r="CN7" i="15"/>
  <c r="CM7" i="15"/>
  <c r="CL7" i="15"/>
  <c r="CK7" i="15"/>
  <c r="CJ7" i="15"/>
  <c r="CI7" i="15"/>
  <c r="CH7" i="15"/>
  <c r="CG7" i="15"/>
  <c r="CF7" i="15"/>
  <c r="CE7" i="15"/>
  <c r="CD7" i="15"/>
  <c r="CC7" i="15"/>
  <c r="CB7" i="15"/>
  <c r="BZ7" i="15"/>
  <c r="CA7" i="15"/>
  <c r="CR6" i="15"/>
  <c r="CQ6" i="15"/>
  <c r="CP6" i="15"/>
  <c r="CN6" i="15"/>
  <c r="CM6" i="15"/>
  <c r="CL6" i="15"/>
  <c r="CK6" i="15"/>
  <c r="CJ6" i="15"/>
  <c r="CI6" i="15"/>
  <c r="CH6" i="15"/>
  <c r="CG6" i="15"/>
  <c r="CF6" i="15"/>
  <c r="CE6" i="15"/>
  <c r="CD6" i="15"/>
  <c r="CC6" i="15"/>
  <c r="CB6" i="15"/>
  <c r="BZ6" i="15"/>
  <c r="CA6" i="15"/>
  <c r="CU6" i="15"/>
  <c r="CR5" i="15"/>
  <c r="CQ5" i="15"/>
  <c r="CP5" i="15"/>
  <c r="CN5" i="15"/>
  <c r="CM5" i="15"/>
  <c r="CL5" i="15"/>
  <c r="CK5" i="15"/>
  <c r="CJ5" i="15"/>
  <c r="CI5" i="15"/>
  <c r="CH5" i="15"/>
  <c r="CG5" i="15"/>
  <c r="CF5" i="15"/>
  <c r="CE5" i="15"/>
  <c r="CD5" i="15"/>
  <c r="CC5" i="15"/>
  <c r="CB5" i="15"/>
  <c r="CN57" i="14"/>
  <c r="CN56" i="14"/>
  <c r="CN55" i="14"/>
  <c r="CN54" i="14"/>
  <c r="CN53" i="14"/>
  <c r="CN52" i="14"/>
  <c r="CN51" i="14"/>
  <c r="CN50" i="14"/>
  <c r="CN49" i="14"/>
  <c r="CN48" i="14"/>
  <c r="CN46" i="14"/>
  <c r="CN44" i="14"/>
  <c r="CN43" i="14"/>
  <c r="CN42" i="14"/>
  <c r="CN41" i="14"/>
  <c r="CN40" i="14"/>
  <c r="CN39" i="14"/>
  <c r="CN38" i="14"/>
  <c r="CN37" i="14"/>
  <c r="CN35" i="14"/>
  <c r="CN34" i="14"/>
  <c r="CN33" i="14"/>
  <c r="CN31" i="14"/>
  <c r="CN30" i="14"/>
  <c r="CN29" i="14"/>
  <c r="CN28" i="14"/>
  <c r="CN27" i="14"/>
  <c r="CN26" i="14"/>
  <c r="CN25" i="14"/>
  <c r="CN24" i="14"/>
  <c r="CN23" i="14"/>
  <c r="CN22" i="14"/>
  <c r="CN21" i="14"/>
  <c r="CN20" i="14"/>
  <c r="CN19" i="14"/>
  <c r="CN17" i="14"/>
  <c r="CN16" i="14"/>
  <c r="CN15" i="14"/>
  <c r="CN12" i="14"/>
  <c r="CN11" i="14"/>
  <c r="CN10" i="14"/>
  <c r="CN9" i="14"/>
  <c r="CN8" i="14"/>
  <c r="CN7" i="14"/>
  <c r="CN6" i="14"/>
  <c r="CN5" i="14"/>
  <c r="BV5" i="14"/>
  <c r="BW5" i="14"/>
  <c r="BX5" i="14"/>
  <c r="BY5" i="14"/>
  <c r="CM57" i="14"/>
  <c r="CL57" i="14"/>
  <c r="CJ57" i="14"/>
  <c r="CI57" i="14"/>
  <c r="CH57" i="14"/>
  <c r="CG57" i="14"/>
  <c r="CF57" i="14"/>
  <c r="CE57" i="14"/>
  <c r="CD57" i="14"/>
  <c r="CC57" i="14"/>
  <c r="CB57" i="14"/>
  <c r="CA57" i="14"/>
  <c r="BZ57" i="14"/>
  <c r="BY57" i="14"/>
  <c r="BX57" i="14"/>
  <c r="BV57" i="14"/>
  <c r="BW57" i="14"/>
  <c r="CP57" i="14"/>
  <c r="CM56" i="14"/>
  <c r="CL56" i="14"/>
  <c r="CJ56" i="14"/>
  <c r="CI56" i="14"/>
  <c r="CH56" i="14"/>
  <c r="CG56" i="14"/>
  <c r="CF56" i="14"/>
  <c r="CE56" i="14"/>
  <c r="CD56" i="14"/>
  <c r="CC56" i="14"/>
  <c r="CB56" i="14"/>
  <c r="CA56" i="14"/>
  <c r="BZ56" i="14"/>
  <c r="CQ56" i="14"/>
  <c r="BY56" i="14"/>
  <c r="BX56" i="14"/>
  <c r="BV56" i="14"/>
  <c r="BW56" i="14"/>
  <c r="CM55" i="14"/>
  <c r="CL55" i="14"/>
  <c r="CJ55" i="14"/>
  <c r="CI55" i="14"/>
  <c r="CH55" i="14"/>
  <c r="CG55" i="14"/>
  <c r="CF55" i="14"/>
  <c r="CE55" i="14"/>
  <c r="CD55" i="14"/>
  <c r="CC55" i="14"/>
  <c r="CB55" i="14"/>
  <c r="CA55" i="14"/>
  <c r="BZ55" i="14"/>
  <c r="BY55" i="14"/>
  <c r="BX55" i="14"/>
  <c r="BV55" i="14"/>
  <c r="BW55" i="14"/>
  <c r="CM54" i="14"/>
  <c r="CL54" i="14"/>
  <c r="CJ54" i="14"/>
  <c r="CI54" i="14"/>
  <c r="CH54" i="14"/>
  <c r="CG54" i="14"/>
  <c r="CF54" i="14"/>
  <c r="CE54" i="14"/>
  <c r="CD54" i="14"/>
  <c r="CC54" i="14"/>
  <c r="CB54" i="14"/>
  <c r="CA54" i="14"/>
  <c r="BZ54" i="14"/>
  <c r="BY54" i="14"/>
  <c r="BX54" i="14"/>
  <c r="BV54" i="14"/>
  <c r="BW54" i="14"/>
  <c r="CM53" i="14"/>
  <c r="CL53" i="14"/>
  <c r="CJ53" i="14"/>
  <c r="CI53" i="14"/>
  <c r="CH53" i="14"/>
  <c r="CG53" i="14"/>
  <c r="CF53" i="14"/>
  <c r="CE53" i="14"/>
  <c r="CD53" i="14"/>
  <c r="CC53" i="14"/>
  <c r="CB53" i="14"/>
  <c r="CA53" i="14"/>
  <c r="BZ53" i="14"/>
  <c r="BY53" i="14"/>
  <c r="BX53" i="14"/>
  <c r="BV53" i="14"/>
  <c r="BW53" i="14"/>
  <c r="CM52" i="14"/>
  <c r="CL52" i="14"/>
  <c r="CJ52" i="14"/>
  <c r="CI52" i="14"/>
  <c r="CH52" i="14"/>
  <c r="CG52" i="14"/>
  <c r="CF52" i="14"/>
  <c r="CE52" i="14"/>
  <c r="CD52" i="14"/>
  <c r="CC52" i="14"/>
  <c r="CB52" i="14"/>
  <c r="CA52" i="14"/>
  <c r="BZ52" i="14"/>
  <c r="BY52" i="14"/>
  <c r="BX52" i="14"/>
  <c r="BV52" i="14"/>
  <c r="BW52" i="14"/>
  <c r="CM51" i="14"/>
  <c r="CL51" i="14"/>
  <c r="CJ51" i="14"/>
  <c r="CI51" i="14"/>
  <c r="CH51" i="14"/>
  <c r="CG51" i="14"/>
  <c r="CF51" i="14"/>
  <c r="CE51" i="14"/>
  <c r="CD51" i="14"/>
  <c r="CC51" i="14"/>
  <c r="CB51" i="14"/>
  <c r="CA51" i="14"/>
  <c r="BZ51" i="14"/>
  <c r="BY51" i="14"/>
  <c r="BX51" i="14"/>
  <c r="BV51" i="14"/>
  <c r="BW51" i="14"/>
  <c r="CM50" i="14"/>
  <c r="CL50" i="14"/>
  <c r="CJ50" i="14"/>
  <c r="CI50" i="14"/>
  <c r="CH50" i="14"/>
  <c r="CG50" i="14"/>
  <c r="CF50" i="14"/>
  <c r="CE50" i="14"/>
  <c r="CD50" i="14"/>
  <c r="CC50" i="14"/>
  <c r="CB50" i="14"/>
  <c r="CA50" i="14"/>
  <c r="BZ50" i="14"/>
  <c r="BY50" i="14"/>
  <c r="BX50" i="14"/>
  <c r="BV50" i="14"/>
  <c r="BW50" i="14"/>
  <c r="CM49" i="14"/>
  <c r="CL49" i="14"/>
  <c r="CJ49" i="14"/>
  <c r="CI49" i="14"/>
  <c r="CH49" i="14"/>
  <c r="CG49" i="14"/>
  <c r="CF49" i="14"/>
  <c r="CE49" i="14"/>
  <c r="CD49" i="14"/>
  <c r="CC49" i="14"/>
  <c r="CB49" i="14"/>
  <c r="CA49" i="14"/>
  <c r="BZ49" i="14"/>
  <c r="BY49" i="14"/>
  <c r="BX49" i="14"/>
  <c r="BV49" i="14"/>
  <c r="BW49" i="14"/>
  <c r="CM48" i="14"/>
  <c r="CL48" i="14"/>
  <c r="CJ48" i="14"/>
  <c r="CI48" i="14"/>
  <c r="CH48" i="14"/>
  <c r="CG48" i="14"/>
  <c r="CF48" i="14"/>
  <c r="CE48" i="14"/>
  <c r="CD48" i="14"/>
  <c r="CC48" i="14"/>
  <c r="CB48" i="14"/>
  <c r="CA48" i="14"/>
  <c r="BZ48" i="14"/>
  <c r="BY48" i="14"/>
  <c r="BX48" i="14"/>
  <c r="BV48" i="14"/>
  <c r="BW48" i="14"/>
  <c r="CM46" i="14"/>
  <c r="CL46" i="14"/>
  <c r="CJ46" i="14"/>
  <c r="CI46" i="14"/>
  <c r="CH46" i="14"/>
  <c r="CG46" i="14"/>
  <c r="CF46" i="14"/>
  <c r="CE46" i="14"/>
  <c r="CD46" i="14"/>
  <c r="CC46" i="14"/>
  <c r="CB46" i="14"/>
  <c r="CA46" i="14"/>
  <c r="BZ46" i="14"/>
  <c r="BY46" i="14"/>
  <c r="BX46" i="14"/>
  <c r="BV46" i="14"/>
  <c r="BW46" i="14"/>
  <c r="CM44" i="14"/>
  <c r="CL44" i="14"/>
  <c r="CJ44" i="14"/>
  <c r="CI44" i="14"/>
  <c r="CH44" i="14"/>
  <c r="CG44" i="14"/>
  <c r="CF44" i="14"/>
  <c r="CE44" i="14"/>
  <c r="CD44" i="14"/>
  <c r="CQ44" i="14"/>
  <c r="CC44" i="14"/>
  <c r="CB44" i="14"/>
  <c r="CA44" i="14"/>
  <c r="BZ44" i="14"/>
  <c r="BY44" i="14"/>
  <c r="BX44" i="14"/>
  <c r="BV44" i="14"/>
  <c r="BW44" i="14"/>
  <c r="CM43" i="14"/>
  <c r="CL43" i="14"/>
  <c r="CJ43" i="14"/>
  <c r="CI43" i="14"/>
  <c r="CH43" i="14"/>
  <c r="CG43" i="14"/>
  <c r="CF43" i="14"/>
  <c r="CE43" i="14"/>
  <c r="CD43" i="14"/>
  <c r="CC43" i="14"/>
  <c r="CB43" i="14"/>
  <c r="CA43" i="14"/>
  <c r="BZ43" i="14"/>
  <c r="BY43" i="14"/>
  <c r="BX43" i="14"/>
  <c r="BV43" i="14"/>
  <c r="BW43" i="14"/>
  <c r="CM42" i="14"/>
  <c r="CL42" i="14"/>
  <c r="CJ42" i="14"/>
  <c r="CI42" i="14"/>
  <c r="CH42" i="14"/>
  <c r="CG42" i="14"/>
  <c r="CF42" i="14"/>
  <c r="CE42" i="14"/>
  <c r="CD42" i="14"/>
  <c r="CC42" i="14"/>
  <c r="CB42" i="14"/>
  <c r="CA42" i="14"/>
  <c r="BZ42" i="14"/>
  <c r="BY42" i="14"/>
  <c r="BX42" i="14"/>
  <c r="BV42" i="14"/>
  <c r="BW42" i="14"/>
  <c r="CM41" i="14"/>
  <c r="CL41" i="14"/>
  <c r="CJ41" i="14"/>
  <c r="CI41" i="14"/>
  <c r="CH41" i="14"/>
  <c r="CG41" i="14"/>
  <c r="CF41" i="14"/>
  <c r="CE41" i="14"/>
  <c r="CD41" i="14"/>
  <c r="CC41" i="14"/>
  <c r="CB41" i="14"/>
  <c r="CA41" i="14"/>
  <c r="BZ41" i="14"/>
  <c r="BY41" i="14"/>
  <c r="BX41" i="14"/>
  <c r="BV41" i="14"/>
  <c r="BW41" i="14"/>
  <c r="CM40" i="14"/>
  <c r="CL40" i="14"/>
  <c r="CJ40" i="14"/>
  <c r="CI40" i="14"/>
  <c r="CH40" i="14"/>
  <c r="CG40" i="14"/>
  <c r="CF40" i="14"/>
  <c r="CE40" i="14"/>
  <c r="CD40" i="14"/>
  <c r="CC40" i="14"/>
  <c r="CB40" i="14"/>
  <c r="CA40" i="14"/>
  <c r="BZ40" i="14"/>
  <c r="BY40" i="14"/>
  <c r="BX40" i="14"/>
  <c r="BV40" i="14"/>
  <c r="BW40" i="14"/>
  <c r="CM39" i="14"/>
  <c r="CL39" i="14"/>
  <c r="CJ39" i="14"/>
  <c r="CI39" i="14"/>
  <c r="CH39" i="14"/>
  <c r="CG39" i="14"/>
  <c r="CF39" i="14"/>
  <c r="CE39" i="14"/>
  <c r="CD39" i="14"/>
  <c r="CC39" i="14"/>
  <c r="CB39" i="14"/>
  <c r="CA39" i="14"/>
  <c r="BZ39" i="14"/>
  <c r="BY39" i="14"/>
  <c r="BX39" i="14"/>
  <c r="BV39" i="14"/>
  <c r="BW39" i="14"/>
  <c r="CM38" i="14"/>
  <c r="CL38" i="14"/>
  <c r="CJ38" i="14"/>
  <c r="CI38" i="14"/>
  <c r="CH38" i="14"/>
  <c r="CQ38" i="14"/>
  <c r="CG38" i="14"/>
  <c r="CF38" i="14"/>
  <c r="CE38" i="14"/>
  <c r="CD38" i="14"/>
  <c r="CC38" i="14"/>
  <c r="CB38" i="14"/>
  <c r="CA38" i="14"/>
  <c r="BZ38" i="14"/>
  <c r="BY38" i="14"/>
  <c r="BX38" i="14"/>
  <c r="BV38" i="14"/>
  <c r="BW38" i="14"/>
  <c r="CM37" i="14"/>
  <c r="CL37" i="14"/>
  <c r="CQ37" i="14"/>
  <c r="CJ37" i="14"/>
  <c r="CI37" i="14"/>
  <c r="CH37" i="14"/>
  <c r="CG37" i="14"/>
  <c r="CF37" i="14"/>
  <c r="CE37" i="14"/>
  <c r="CD37" i="14"/>
  <c r="CC37" i="14"/>
  <c r="CB37" i="14"/>
  <c r="CA37" i="14"/>
  <c r="BZ37" i="14"/>
  <c r="BY37" i="14"/>
  <c r="BX37" i="14"/>
  <c r="BV37" i="14"/>
  <c r="BW37" i="14"/>
  <c r="CM35" i="14"/>
  <c r="CL35" i="14"/>
  <c r="CJ35" i="14"/>
  <c r="CI35" i="14"/>
  <c r="CH35" i="14"/>
  <c r="CG35" i="14"/>
  <c r="CF35" i="14"/>
  <c r="CE35" i="14"/>
  <c r="CD35" i="14"/>
  <c r="CC35" i="14"/>
  <c r="CB35" i="14"/>
  <c r="CA35" i="14"/>
  <c r="BZ35" i="14"/>
  <c r="BY35" i="14"/>
  <c r="BX35" i="14"/>
  <c r="BV35" i="14"/>
  <c r="BW35" i="14"/>
  <c r="CM34" i="14"/>
  <c r="CL34" i="14"/>
  <c r="CJ34" i="14"/>
  <c r="CI34" i="14"/>
  <c r="CH34" i="14"/>
  <c r="CG34" i="14"/>
  <c r="CF34" i="14"/>
  <c r="CE34" i="14"/>
  <c r="CD34" i="14"/>
  <c r="CC34" i="14"/>
  <c r="CB34" i="14"/>
  <c r="CA34" i="14"/>
  <c r="BZ34" i="14"/>
  <c r="BY34" i="14"/>
  <c r="BX34" i="14"/>
  <c r="BV34" i="14"/>
  <c r="BW34" i="14"/>
  <c r="CM33" i="14"/>
  <c r="CL33" i="14"/>
  <c r="CJ33" i="14"/>
  <c r="CI33" i="14"/>
  <c r="CH33" i="14"/>
  <c r="CG33" i="14"/>
  <c r="CF33" i="14"/>
  <c r="CE33" i="14"/>
  <c r="CD33" i="14"/>
  <c r="CC33" i="14"/>
  <c r="CB33" i="14"/>
  <c r="CA33" i="14"/>
  <c r="BZ33" i="14"/>
  <c r="BY33" i="14"/>
  <c r="BX33" i="14"/>
  <c r="BV33" i="14"/>
  <c r="BW33" i="14"/>
  <c r="CQ33" i="14"/>
  <c r="CM31" i="14"/>
  <c r="CL31" i="14"/>
  <c r="CJ31" i="14"/>
  <c r="CI31" i="14"/>
  <c r="CH31" i="14"/>
  <c r="CG31" i="14"/>
  <c r="CF31" i="14"/>
  <c r="CE31" i="14"/>
  <c r="CD31" i="14"/>
  <c r="CC31" i="14"/>
  <c r="CB31" i="14"/>
  <c r="CA31" i="14"/>
  <c r="BZ31" i="14"/>
  <c r="BY31" i="14"/>
  <c r="BX31" i="14"/>
  <c r="BV31" i="14"/>
  <c r="BW31" i="14"/>
  <c r="CQ31" i="14"/>
  <c r="CM30" i="14"/>
  <c r="CL30" i="14"/>
  <c r="CJ30" i="14"/>
  <c r="CI30" i="14"/>
  <c r="CH30" i="14"/>
  <c r="CG30" i="14"/>
  <c r="CF30" i="14"/>
  <c r="CE30" i="14"/>
  <c r="CD30" i="14"/>
  <c r="CC30" i="14"/>
  <c r="CB30" i="14"/>
  <c r="CA30" i="14"/>
  <c r="BZ30" i="14"/>
  <c r="BY30" i="14"/>
  <c r="CQ30" i="14"/>
  <c r="BX30" i="14"/>
  <c r="BV30" i="14"/>
  <c r="BW30" i="14"/>
  <c r="CM29" i="14"/>
  <c r="CL29" i="14"/>
  <c r="CJ29" i="14"/>
  <c r="CI29" i="14"/>
  <c r="CH29" i="14"/>
  <c r="CG29" i="14"/>
  <c r="CF29" i="14"/>
  <c r="CE29" i="14"/>
  <c r="CD29" i="14"/>
  <c r="CC29" i="14"/>
  <c r="CB29" i="14"/>
  <c r="CA29" i="14"/>
  <c r="BZ29" i="14"/>
  <c r="BY29" i="14"/>
  <c r="BX29" i="14"/>
  <c r="BV29" i="14"/>
  <c r="BW29" i="14"/>
  <c r="CM28" i="14"/>
  <c r="CL28" i="14"/>
  <c r="CJ28" i="14"/>
  <c r="CI28" i="14"/>
  <c r="CH28" i="14"/>
  <c r="CG28" i="14"/>
  <c r="CF28" i="14"/>
  <c r="CE28" i="14"/>
  <c r="CD28" i="14"/>
  <c r="CC28" i="14"/>
  <c r="CB28" i="14"/>
  <c r="CA28" i="14"/>
  <c r="BZ28" i="14"/>
  <c r="BY28" i="14"/>
  <c r="BX28" i="14"/>
  <c r="BV28" i="14"/>
  <c r="BW28" i="14"/>
  <c r="CM27" i="14"/>
  <c r="CL27" i="14"/>
  <c r="CJ27" i="14"/>
  <c r="CI27" i="14"/>
  <c r="CH27" i="14"/>
  <c r="CG27" i="14"/>
  <c r="CF27" i="14"/>
  <c r="CE27" i="14"/>
  <c r="CD27" i="14"/>
  <c r="CC27" i="14"/>
  <c r="CB27" i="14"/>
  <c r="CA27" i="14"/>
  <c r="BZ27" i="14"/>
  <c r="BY27" i="14"/>
  <c r="BX27" i="14"/>
  <c r="BV27" i="14"/>
  <c r="BW27" i="14"/>
  <c r="CM26" i="14"/>
  <c r="CL26" i="14"/>
  <c r="CJ26" i="14"/>
  <c r="CI26" i="14"/>
  <c r="CH26" i="14"/>
  <c r="CG26" i="14"/>
  <c r="CF26" i="14"/>
  <c r="CE26" i="14"/>
  <c r="CD26" i="14"/>
  <c r="CC26" i="14"/>
  <c r="CB26" i="14"/>
  <c r="CA26" i="14"/>
  <c r="BZ26" i="14"/>
  <c r="BY26" i="14"/>
  <c r="BX26" i="14"/>
  <c r="BV26" i="14"/>
  <c r="BW26" i="14"/>
  <c r="CM25" i="14"/>
  <c r="CL25" i="14"/>
  <c r="CJ25" i="14"/>
  <c r="CI25" i="14"/>
  <c r="CH25" i="14"/>
  <c r="CG25" i="14"/>
  <c r="CF25" i="14"/>
  <c r="CE25" i="14"/>
  <c r="CD25" i="14"/>
  <c r="CC25" i="14"/>
  <c r="CB25" i="14"/>
  <c r="CA25" i="14"/>
  <c r="BZ25" i="14"/>
  <c r="BY25" i="14"/>
  <c r="BX25" i="14"/>
  <c r="BV25" i="14"/>
  <c r="BW25" i="14"/>
  <c r="CM24" i="14"/>
  <c r="CL24" i="14"/>
  <c r="CJ24" i="14"/>
  <c r="CI24" i="14"/>
  <c r="CQ24" i="14"/>
  <c r="CH24" i="14"/>
  <c r="CG24" i="14"/>
  <c r="CF24" i="14"/>
  <c r="CE24" i="14"/>
  <c r="CD24" i="14"/>
  <c r="CC24" i="14"/>
  <c r="CB24" i="14"/>
  <c r="CA24" i="14"/>
  <c r="BZ24" i="14"/>
  <c r="BY24" i="14"/>
  <c r="BX24" i="14"/>
  <c r="BV24" i="14"/>
  <c r="BW24" i="14"/>
  <c r="CM23" i="14"/>
  <c r="CL23" i="14"/>
  <c r="CJ23" i="14"/>
  <c r="CI23" i="14"/>
  <c r="CH23" i="14"/>
  <c r="CG23" i="14"/>
  <c r="CF23" i="14"/>
  <c r="CE23" i="14"/>
  <c r="CD23" i="14"/>
  <c r="CC23" i="14"/>
  <c r="CB23" i="14"/>
  <c r="CA23" i="14"/>
  <c r="BZ23" i="14"/>
  <c r="BY23" i="14"/>
  <c r="BX23" i="14"/>
  <c r="BV23" i="14"/>
  <c r="BW23" i="14"/>
  <c r="CM22" i="14"/>
  <c r="CL22" i="14"/>
  <c r="CP22" i="14"/>
  <c r="CJ22" i="14"/>
  <c r="CI22" i="14"/>
  <c r="CH22" i="14"/>
  <c r="CG22" i="14"/>
  <c r="CF22" i="14"/>
  <c r="CE22" i="14"/>
  <c r="CD22" i="14"/>
  <c r="CC22" i="14"/>
  <c r="CB22" i="14"/>
  <c r="CA22" i="14"/>
  <c r="BZ22" i="14"/>
  <c r="BY22" i="14"/>
  <c r="BX22" i="14"/>
  <c r="BV22" i="14"/>
  <c r="BW22" i="14"/>
  <c r="CM21" i="14"/>
  <c r="CL21" i="14"/>
  <c r="CJ21" i="14"/>
  <c r="CI21" i="14"/>
  <c r="CH21" i="14"/>
  <c r="CG21" i="14"/>
  <c r="CF21" i="14"/>
  <c r="CE21" i="14"/>
  <c r="CD21" i="14"/>
  <c r="CC21" i="14"/>
  <c r="CB21" i="14"/>
  <c r="CA21" i="14"/>
  <c r="BZ21" i="14"/>
  <c r="BY21" i="14"/>
  <c r="BX21" i="14"/>
  <c r="BV21" i="14"/>
  <c r="BW21" i="14"/>
  <c r="CQ21" i="14"/>
  <c r="CM20" i="14"/>
  <c r="CL20" i="14"/>
  <c r="CJ20" i="14"/>
  <c r="CI20" i="14"/>
  <c r="CH20" i="14"/>
  <c r="CG20" i="14"/>
  <c r="CF20" i="14"/>
  <c r="CE20" i="14"/>
  <c r="CD20" i="14"/>
  <c r="CC20" i="14"/>
  <c r="CB20" i="14"/>
  <c r="CA20" i="14"/>
  <c r="BZ20" i="14"/>
  <c r="BY20" i="14"/>
  <c r="BX20" i="14"/>
  <c r="BV20" i="14"/>
  <c r="BW20" i="14"/>
  <c r="CM19" i="14"/>
  <c r="CL19" i="14"/>
  <c r="CJ19" i="14"/>
  <c r="CI19" i="14"/>
  <c r="CH19" i="14"/>
  <c r="CG19" i="14"/>
  <c r="CF19" i="14"/>
  <c r="CE19" i="14"/>
  <c r="CD19" i="14"/>
  <c r="CC19" i="14"/>
  <c r="CB19" i="14"/>
  <c r="CA19" i="14"/>
  <c r="BZ19" i="14"/>
  <c r="BY19" i="14"/>
  <c r="BX19" i="14"/>
  <c r="BV19" i="14"/>
  <c r="BW19" i="14"/>
  <c r="CM17" i="14"/>
  <c r="CL17" i="14"/>
  <c r="CJ17" i="14"/>
  <c r="CI17" i="14"/>
  <c r="CH17" i="14"/>
  <c r="CG17" i="14"/>
  <c r="CF17" i="14"/>
  <c r="CE17" i="14"/>
  <c r="CD17" i="14"/>
  <c r="CC17" i="14"/>
  <c r="CB17" i="14"/>
  <c r="CA17" i="14"/>
  <c r="BZ17" i="14"/>
  <c r="BY17" i="14"/>
  <c r="BX17" i="14"/>
  <c r="BV17" i="14"/>
  <c r="BW17" i="14"/>
  <c r="CM16" i="14"/>
  <c r="CL16" i="14"/>
  <c r="CJ16" i="14"/>
  <c r="CI16" i="14"/>
  <c r="CH16" i="14"/>
  <c r="CG16" i="14"/>
  <c r="CF16" i="14"/>
  <c r="CE16" i="14"/>
  <c r="CD16" i="14"/>
  <c r="CC16" i="14"/>
  <c r="CB16" i="14"/>
  <c r="CA16" i="14"/>
  <c r="BZ16" i="14"/>
  <c r="CQ16" i="14"/>
  <c r="BY16" i="14"/>
  <c r="BX16" i="14"/>
  <c r="BV16" i="14"/>
  <c r="BW16" i="14"/>
  <c r="CP16" i="14"/>
  <c r="CM15" i="14"/>
  <c r="CL15" i="14"/>
  <c r="CJ15" i="14"/>
  <c r="CI15" i="14"/>
  <c r="CH15" i="14"/>
  <c r="CG15" i="14"/>
  <c r="CF15" i="14"/>
  <c r="CE15" i="14"/>
  <c r="CD15" i="14"/>
  <c r="CC15" i="14"/>
  <c r="CB15" i="14"/>
  <c r="CA15" i="14"/>
  <c r="BZ15" i="14"/>
  <c r="BY15" i="14"/>
  <c r="BX15" i="14"/>
  <c r="BV15" i="14"/>
  <c r="BW15" i="14"/>
  <c r="CM12" i="14"/>
  <c r="CL12" i="14"/>
  <c r="CJ12" i="14"/>
  <c r="CI12" i="14"/>
  <c r="CH12" i="14"/>
  <c r="CG12" i="14"/>
  <c r="CF12" i="14"/>
  <c r="CE12" i="14"/>
  <c r="CD12" i="14"/>
  <c r="CC12" i="14"/>
  <c r="CB12" i="14"/>
  <c r="CA12" i="14"/>
  <c r="BZ12" i="14"/>
  <c r="BY12" i="14"/>
  <c r="BX12" i="14"/>
  <c r="BV12" i="14"/>
  <c r="BW12" i="14"/>
  <c r="CM11" i="14"/>
  <c r="CL11" i="14"/>
  <c r="CJ11" i="14"/>
  <c r="CI11" i="14"/>
  <c r="CH11" i="14"/>
  <c r="CG11" i="14"/>
  <c r="CF11" i="14"/>
  <c r="CE11" i="14"/>
  <c r="CD11" i="14"/>
  <c r="CC11" i="14"/>
  <c r="CB11" i="14"/>
  <c r="CA11" i="14"/>
  <c r="BZ11" i="14"/>
  <c r="BY11" i="14"/>
  <c r="BX11" i="14"/>
  <c r="BV11" i="14"/>
  <c r="BW11" i="14"/>
  <c r="CM10" i="14"/>
  <c r="CL10" i="14"/>
  <c r="CJ10" i="14"/>
  <c r="CI10" i="14"/>
  <c r="CH10" i="14"/>
  <c r="CG10" i="14"/>
  <c r="CF10" i="14"/>
  <c r="CE10" i="14"/>
  <c r="CD10" i="14"/>
  <c r="CC10" i="14"/>
  <c r="CP10" i="14"/>
  <c r="CB10" i="14"/>
  <c r="CA10" i="14"/>
  <c r="BZ10" i="14"/>
  <c r="BY10" i="14"/>
  <c r="BX10" i="14"/>
  <c r="BV10" i="14"/>
  <c r="BW10" i="14"/>
  <c r="CM9" i="14"/>
  <c r="CL9" i="14"/>
  <c r="CJ9" i="14"/>
  <c r="CI9" i="14"/>
  <c r="CH9" i="14"/>
  <c r="CG9" i="14"/>
  <c r="CF9" i="14"/>
  <c r="CE9" i="14"/>
  <c r="CD9" i="14"/>
  <c r="CQ9" i="14"/>
  <c r="CC9" i="14"/>
  <c r="CB9" i="14"/>
  <c r="CA9" i="14"/>
  <c r="BZ9" i="14"/>
  <c r="BY9" i="14"/>
  <c r="BX9" i="14"/>
  <c r="BV9" i="14"/>
  <c r="BW9" i="14"/>
  <c r="CM8" i="14"/>
  <c r="CL8" i="14"/>
  <c r="CJ8" i="14"/>
  <c r="CI8" i="14"/>
  <c r="CH8" i="14"/>
  <c r="CG8" i="14"/>
  <c r="CF8" i="14"/>
  <c r="CE8" i="14"/>
  <c r="CD8" i="14"/>
  <c r="CC8" i="14"/>
  <c r="CB8" i="14"/>
  <c r="CA8" i="14"/>
  <c r="BZ8" i="14"/>
  <c r="BY8" i="14"/>
  <c r="BX8" i="14"/>
  <c r="BV8" i="14"/>
  <c r="BW8" i="14"/>
  <c r="CM7" i="14"/>
  <c r="CL7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V7" i="14"/>
  <c r="BW7" i="14"/>
  <c r="CQ7" i="14"/>
  <c r="CM6" i="14"/>
  <c r="CL6" i="14"/>
  <c r="CJ6" i="14"/>
  <c r="CI6" i="14"/>
  <c r="CH6" i="14"/>
  <c r="CG6" i="14"/>
  <c r="CF6" i="14"/>
  <c r="CE6" i="14"/>
  <c r="CD6" i="14"/>
  <c r="CC6" i="14"/>
  <c r="CB6" i="14"/>
  <c r="CA6" i="14"/>
  <c r="CP6" i="14"/>
  <c r="BZ6" i="14"/>
  <c r="BY6" i="14"/>
  <c r="BX6" i="14"/>
  <c r="BV6" i="14"/>
  <c r="BW6" i="14"/>
  <c r="CQ6" i="14"/>
  <c r="CM5" i="14"/>
  <c r="CL5" i="14"/>
  <c r="CJ5" i="14"/>
  <c r="CI5" i="14"/>
  <c r="CH5" i="14"/>
  <c r="CG5" i="14"/>
  <c r="CF5" i="14"/>
  <c r="CE5" i="14"/>
  <c r="CD5" i="14"/>
  <c r="CC5" i="14"/>
  <c r="CB5" i="14"/>
  <c r="CA5" i="14"/>
  <c r="BZ5" i="14"/>
  <c r="CI57" i="13"/>
  <c r="CI56" i="13"/>
  <c r="CI55" i="13"/>
  <c r="CI54" i="13"/>
  <c r="CI53" i="13"/>
  <c r="CI52" i="13"/>
  <c r="CI51" i="13"/>
  <c r="CI50" i="13"/>
  <c r="CI49" i="13"/>
  <c r="CI48" i="13"/>
  <c r="CI46" i="13"/>
  <c r="CI44" i="13"/>
  <c r="CI43" i="13"/>
  <c r="CI42" i="13"/>
  <c r="CI41" i="13"/>
  <c r="CI40" i="13"/>
  <c r="CI39" i="13"/>
  <c r="CI38" i="13"/>
  <c r="CI37" i="13"/>
  <c r="CI35" i="13"/>
  <c r="CI34" i="13"/>
  <c r="CI33" i="13"/>
  <c r="CI31" i="13"/>
  <c r="CI30" i="13"/>
  <c r="CI29" i="13"/>
  <c r="CI28" i="13"/>
  <c r="CI27" i="13"/>
  <c r="CI26" i="13"/>
  <c r="CI25" i="13"/>
  <c r="CI24" i="13"/>
  <c r="CI23" i="13"/>
  <c r="CI22" i="13"/>
  <c r="CI21" i="13"/>
  <c r="CI20" i="13"/>
  <c r="CI19" i="13"/>
  <c r="CI17" i="13"/>
  <c r="CI16" i="13"/>
  <c r="CI15" i="13"/>
  <c r="CI12" i="13"/>
  <c r="CI11" i="13"/>
  <c r="CI10" i="13"/>
  <c r="CI9" i="13"/>
  <c r="CI8" i="13"/>
  <c r="CI7" i="13"/>
  <c r="CI6" i="13"/>
  <c r="CI5" i="13"/>
  <c r="CH57" i="13"/>
  <c r="CF57" i="13"/>
  <c r="CE57" i="13"/>
  <c r="CD57" i="13"/>
  <c r="CC57" i="13"/>
  <c r="CB57" i="13"/>
  <c r="CA57" i="13"/>
  <c r="BZ57" i="13"/>
  <c r="BY57" i="13"/>
  <c r="BX57" i="13"/>
  <c r="BW57" i="13"/>
  <c r="BV57" i="13"/>
  <c r="BU57" i="13"/>
  <c r="BT57" i="13"/>
  <c r="BR57" i="13"/>
  <c r="BS57" i="13"/>
  <c r="CL57" i="13"/>
  <c r="CH56" i="13"/>
  <c r="CF56" i="13"/>
  <c r="CE56" i="13"/>
  <c r="CD56" i="13"/>
  <c r="CC56" i="13"/>
  <c r="CB56" i="13"/>
  <c r="CA56" i="13"/>
  <c r="BZ56" i="13"/>
  <c r="BY56" i="13"/>
  <c r="BX56" i="13"/>
  <c r="BW56" i="13"/>
  <c r="BV56" i="13"/>
  <c r="BU56" i="13"/>
  <c r="BT56" i="13"/>
  <c r="BR56" i="13"/>
  <c r="BS56" i="13"/>
  <c r="CH55" i="13"/>
  <c r="CF55" i="13"/>
  <c r="CE55" i="13"/>
  <c r="CD55" i="13"/>
  <c r="CC55" i="13"/>
  <c r="CB55" i="13"/>
  <c r="CA55" i="13"/>
  <c r="BZ55" i="13"/>
  <c r="BY55" i="13"/>
  <c r="BX55" i="13"/>
  <c r="BW55" i="13"/>
  <c r="BV55" i="13"/>
  <c r="BU55" i="13"/>
  <c r="CK55" i="13"/>
  <c r="BT55" i="13"/>
  <c r="BR55" i="13"/>
  <c r="BS55" i="13"/>
  <c r="CH54" i="13"/>
  <c r="CF54" i="13"/>
  <c r="CE54" i="13"/>
  <c r="CD54" i="13"/>
  <c r="CC54" i="13"/>
  <c r="CB54" i="13"/>
  <c r="CA54" i="13"/>
  <c r="BZ54" i="13"/>
  <c r="BY54" i="13"/>
  <c r="BX54" i="13"/>
  <c r="BW54" i="13"/>
  <c r="BV54" i="13"/>
  <c r="BU54" i="13"/>
  <c r="BT54" i="13"/>
  <c r="BR54" i="13"/>
  <c r="BS54" i="13"/>
  <c r="CH53" i="13"/>
  <c r="CF53" i="13"/>
  <c r="CE53" i="13"/>
  <c r="CD53" i="13"/>
  <c r="CC53" i="13"/>
  <c r="CB53" i="13"/>
  <c r="CA53" i="13"/>
  <c r="BZ53" i="13"/>
  <c r="BY53" i="13"/>
  <c r="BX53" i="13"/>
  <c r="BW53" i="13"/>
  <c r="BV53" i="13"/>
  <c r="BU53" i="13"/>
  <c r="BT53" i="13"/>
  <c r="BR53" i="13"/>
  <c r="BS53" i="13"/>
  <c r="CH52" i="13"/>
  <c r="CF52" i="13"/>
  <c r="CE52" i="13"/>
  <c r="CD52" i="13"/>
  <c r="CC52" i="13"/>
  <c r="CB52" i="13"/>
  <c r="CA52" i="13"/>
  <c r="BZ52" i="13"/>
  <c r="BY52" i="13"/>
  <c r="BX52" i="13"/>
  <c r="BW52" i="13"/>
  <c r="BV52" i="13"/>
  <c r="BU52" i="13"/>
  <c r="BT52" i="13"/>
  <c r="BR52" i="13"/>
  <c r="BS52" i="13"/>
  <c r="CH51" i="13"/>
  <c r="CF51" i="13"/>
  <c r="CE51" i="13"/>
  <c r="CD51" i="13"/>
  <c r="CC51" i="13"/>
  <c r="CB51" i="13"/>
  <c r="CA51" i="13"/>
  <c r="BZ51" i="13"/>
  <c r="BY51" i="13"/>
  <c r="BX51" i="13"/>
  <c r="BW51" i="13"/>
  <c r="BV51" i="13"/>
  <c r="BU51" i="13"/>
  <c r="BT51" i="13"/>
  <c r="BR51" i="13"/>
  <c r="BS51" i="13"/>
  <c r="CH50" i="13"/>
  <c r="CF50" i="13"/>
  <c r="CE50" i="13"/>
  <c r="CD50" i="13"/>
  <c r="CC50" i="13"/>
  <c r="CB50" i="13"/>
  <c r="CA50" i="13"/>
  <c r="BZ50" i="13"/>
  <c r="BY50" i="13"/>
  <c r="BX50" i="13"/>
  <c r="BW50" i="13"/>
  <c r="BV50" i="13"/>
  <c r="BU50" i="13"/>
  <c r="BT50" i="13"/>
  <c r="BR50" i="13"/>
  <c r="BS50" i="13"/>
  <c r="CH49" i="13"/>
  <c r="CF49" i="13"/>
  <c r="CE49" i="13"/>
  <c r="CD49" i="13"/>
  <c r="CC49" i="13"/>
  <c r="CB49" i="13"/>
  <c r="CA49" i="13"/>
  <c r="BZ49" i="13"/>
  <c r="BY49" i="13"/>
  <c r="BX49" i="13"/>
  <c r="BW49" i="13"/>
  <c r="BV49" i="13"/>
  <c r="BU49" i="13"/>
  <c r="BT49" i="13"/>
  <c r="CK49" i="13"/>
  <c r="BR49" i="13"/>
  <c r="BS49" i="13"/>
  <c r="CH48" i="13"/>
  <c r="CF48" i="13"/>
  <c r="CE48" i="13"/>
  <c r="CD48" i="13"/>
  <c r="CC48" i="13"/>
  <c r="CB48" i="13"/>
  <c r="CA48" i="13"/>
  <c r="BZ48" i="13"/>
  <c r="BY48" i="13"/>
  <c r="BX48" i="13"/>
  <c r="BW48" i="13"/>
  <c r="BV48" i="13"/>
  <c r="BU48" i="13"/>
  <c r="BT48" i="13"/>
  <c r="BR48" i="13"/>
  <c r="BS48" i="13"/>
  <c r="CK48" i="13"/>
  <c r="CH46" i="13"/>
  <c r="CF46" i="13"/>
  <c r="CE46" i="13"/>
  <c r="CD46" i="13"/>
  <c r="CC46" i="13"/>
  <c r="CB46" i="13"/>
  <c r="CA46" i="13"/>
  <c r="BZ46" i="13"/>
  <c r="BY46" i="13"/>
  <c r="BX46" i="13"/>
  <c r="BW46" i="13"/>
  <c r="BV46" i="13"/>
  <c r="BU46" i="13"/>
  <c r="BT46" i="13"/>
  <c r="BR46" i="13"/>
  <c r="BS46" i="13"/>
  <c r="CL46" i="13"/>
  <c r="CL47" i="13"/>
  <c r="F16" i="11"/>
  <c r="CH44" i="13"/>
  <c r="CF44" i="13"/>
  <c r="CE44" i="13"/>
  <c r="CD44" i="13"/>
  <c r="CC44" i="13"/>
  <c r="CB44" i="13"/>
  <c r="CA44" i="13"/>
  <c r="BZ44" i="13"/>
  <c r="BY44" i="13"/>
  <c r="BX44" i="13"/>
  <c r="BW44" i="13"/>
  <c r="BV44" i="13"/>
  <c r="BU44" i="13"/>
  <c r="BT44" i="13"/>
  <c r="BR44" i="13"/>
  <c r="BS44" i="13"/>
  <c r="CH43" i="13"/>
  <c r="CF43" i="13"/>
  <c r="CE43" i="13"/>
  <c r="CD43" i="13"/>
  <c r="CC43" i="13"/>
  <c r="CB43" i="13"/>
  <c r="CA43" i="13"/>
  <c r="BZ43" i="13"/>
  <c r="BY43" i="13"/>
  <c r="BX43" i="13"/>
  <c r="BW43" i="13"/>
  <c r="BV43" i="13"/>
  <c r="BU43" i="13"/>
  <c r="BT43" i="13"/>
  <c r="BR43" i="13"/>
  <c r="BS43" i="13"/>
  <c r="CH42" i="13"/>
  <c r="CF42" i="13"/>
  <c r="CE42" i="13"/>
  <c r="CD42" i="13"/>
  <c r="CC42" i="13"/>
  <c r="CB42" i="13"/>
  <c r="CA42" i="13"/>
  <c r="BZ42" i="13"/>
  <c r="BY42" i="13"/>
  <c r="BX42" i="13"/>
  <c r="BW42" i="13"/>
  <c r="BV42" i="13"/>
  <c r="BU42" i="13"/>
  <c r="BT42" i="13"/>
  <c r="BR42" i="13"/>
  <c r="BS42" i="13"/>
  <c r="CH41" i="13"/>
  <c r="CF41" i="13"/>
  <c r="CE41" i="13"/>
  <c r="CD41" i="13"/>
  <c r="CC41" i="13"/>
  <c r="CB41" i="13"/>
  <c r="CA41" i="13"/>
  <c r="BZ41" i="13"/>
  <c r="BY41" i="13"/>
  <c r="BX41" i="13"/>
  <c r="BW41" i="13"/>
  <c r="BV41" i="13"/>
  <c r="BU41" i="13"/>
  <c r="BT41" i="13"/>
  <c r="BR41" i="13"/>
  <c r="BS41" i="13"/>
  <c r="CH40" i="13"/>
  <c r="CF40" i="13"/>
  <c r="CE40" i="13"/>
  <c r="CD40" i="13"/>
  <c r="CC40" i="13"/>
  <c r="CB40" i="13"/>
  <c r="CA40" i="13"/>
  <c r="BZ40" i="13"/>
  <c r="BY40" i="13"/>
  <c r="BX40" i="13"/>
  <c r="BW40" i="13"/>
  <c r="BV40" i="13"/>
  <c r="BU40" i="13"/>
  <c r="BT40" i="13"/>
  <c r="BR40" i="13"/>
  <c r="BS40" i="13"/>
  <c r="CH39" i="13"/>
  <c r="CF39" i="13"/>
  <c r="CE39" i="13"/>
  <c r="CD39" i="13"/>
  <c r="CC39" i="13"/>
  <c r="CB39" i="13"/>
  <c r="CA39" i="13"/>
  <c r="BZ39" i="13"/>
  <c r="BY39" i="13"/>
  <c r="BX39" i="13"/>
  <c r="BW39" i="13"/>
  <c r="BV39" i="13"/>
  <c r="BU39" i="13"/>
  <c r="BT39" i="13"/>
  <c r="BR39" i="13"/>
  <c r="BS39" i="13"/>
  <c r="CH38" i="13"/>
  <c r="CF38" i="13"/>
  <c r="CE38" i="13"/>
  <c r="CD38" i="13"/>
  <c r="CC38" i="13"/>
  <c r="CB38" i="13"/>
  <c r="CA38" i="13"/>
  <c r="BZ38" i="13"/>
  <c r="BY38" i="13"/>
  <c r="BX38" i="13"/>
  <c r="BW38" i="13"/>
  <c r="BV38" i="13"/>
  <c r="BU38" i="13"/>
  <c r="BT38" i="13"/>
  <c r="BR38" i="13"/>
  <c r="BS38" i="13"/>
  <c r="CH37" i="13"/>
  <c r="CF37" i="13"/>
  <c r="CE37" i="13"/>
  <c r="CD37" i="13"/>
  <c r="CC37" i="13"/>
  <c r="CB37" i="13"/>
  <c r="CA37" i="13"/>
  <c r="BZ37" i="13"/>
  <c r="BY37" i="13"/>
  <c r="BX37" i="13"/>
  <c r="BW37" i="13"/>
  <c r="BV37" i="13"/>
  <c r="BU37" i="13"/>
  <c r="BT37" i="13"/>
  <c r="BR37" i="13"/>
  <c r="BS37" i="13"/>
  <c r="CH35" i="13"/>
  <c r="CF35" i="13"/>
  <c r="CE35" i="13"/>
  <c r="CD35" i="13"/>
  <c r="CC35" i="13"/>
  <c r="CB35" i="13"/>
  <c r="CA35" i="13"/>
  <c r="BZ35" i="13"/>
  <c r="BY35" i="13"/>
  <c r="BX35" i="13"/>
  <c r="BW35" i="13"/>
  <c r="BV35" i="13"/>
  <c r="BU35" i="13"/>
  <c r="BT35" i="13"/>
  <c r="BR35" i="13"/>
  <c r="BS35" i="13"/>
  <c r="CH34" i="13"/>
  <c r="CF34" i="13"/>
  <c r="CE34" i="13"/>
  <c r="CD34" i="13"/>
  <c r="CC34" i="13"/>
  <c r="CB34" i="13"/>
  <c r="CA34" i="13"/>
  <c r="BZ34" i="13"/>
  <c r="BY34" i="13"/>
  <c r="BX34" i="13"/>
  <c r="BW34" i="13"/>
  <c r="BV34" i="13"/>
  <c r="BU34" i="13"/>
  <c r="BT34" i="13"/>
  <c r="BR34" i="13"/>
  <c r="BS34" i="13"/>
  <c r="CH33" i="13"/>
  <c r="CF33" i="13"/>
  <c r="CE33" i="13"/>
  <c r="CD33" i="13"/>
  <c r="CC33" i="13"/>
  <c r="CB33" i="13"/>
  <c r="CA33" i="13"/>
  <c r="BZ33" i="13"/>
  <c r="BY33" i="13"/>
  <c r="BX33" i="13"/>
  <c r="CL33" i="13"/>
  <c r="BW33" i="13"/>
  <c r="BV33" i="13"/>
  <c r="BU33" i="13"/>
  <c r="BT33" i="13"/>
  <c r="BR33" i="13"/>
  <c r="BS33" i="13"/>
  <c r="CH31" i="13"/>
  <c r="CF31" i="13"/>
  <c r="CE31" i="13"/>
  <c r="CD31" i="13"/>
  <c r="CC31" i="13"/>
  <c r="CB31" i="13"/>
  <c r="CA31" i="13"/>
  <c r="BZ31" i="13"/>
  <c r="BY31" i="13"/>
  <c r="BX31" i="13"/>
  <c r="CK31" i="13"/>
  <c r="BW31" i="13"/>
  <c r="BV31" i="13"/>
  <c r="BU31" i="13"/>
  <c r="BT31" i="13"/>
  <c r="BR31" i="13"/>
  <c r="BS31" i="13"/>
  <c r="CH30" i="13"/>
  <c r="CF30" i="13"/>
  <c r="CE30" i="13"/>
  <c r="CD30" i="13"/>
  <c r="CC30" i="13"/>
  <c r="CB30" i="13"/>
  <c r="CA30" i="13"/>
  <c r="BZ30" i="13"/>
  <c r="BY30" i="13"/>
  <c r="BX30" i="13"/>
  <c r="CK30" i="13"/>
  <c r="BW30" i="13"/>
  <c r="BV30" i="13"/>
  <c r="BU30" i="13"/>
  <c r="BT30" i="13"/>
  <c r="BR30" i="13"/>
  <c r="BS30" i="13"/>
  <c r="CH29" i="13"/>
  <c r="CF29" i="13"/>
  <c r="CE29" i="13"/>
  <c r="CD29" i="13"/>
  <c r="CC29" i="13"/>
  <c r="CB29" i="13"/>
  <c r="CA29" i="13"/>
  <c r="BZ29" i="13"/>
  <c r="BY29" i="13"/>
  <c r="BX29" i="13"/>
  <c r="BW29" i="13"/>
  <c r="BV29" i="13"/>
  <c r="BU29" i="13"/>
  <c r="BT29" i="13"/>
  <c r="BR29" i="13"/>
  <c r="BS29" i="13"/>
  <c r="CH28" i="13"/>
  <c r="CF28" i="13"/>
  <c r="CE28" i="13"/>
  <c r="CD28" i="13"/>
  <c r="CC28" i="13"/>
  <c r="CB28" i="13"/>
  <c r="CA28" i="13"/>
  <c r="BZ28" i="13"/>
  <c r="BY28" i="13"/>
  <c r="BX28" i="13"/>
  <c r="BW28" i="13"/>
  <c r="BV28" i="13"/>
  <c r="BU28" i="13"/>
  <c r="BT28" i="13"/>
  <c r="BR28" i="13"/>
  <c r="BS28" i="13"/>
  <c r="CH27" i="13"/>
  <c r="CF27" i="13"/>
  <c r="CE27" i="13"/>
  <c r="CD27" i="13"/>
  <c r="CC27" i="13"/>
  <c r="CB27" i="13"/>
  <c r="CA27" i="13"/>
  <c r="BZ27" i="13"/>
  <c r="BY27" i="13"/>
  <c r="BX27" i="13"/>
  <c r="BW27" i="13"/>
  <c r="BV27" i="13"/>
  <c r="BU27" i="13"/>
  <c r="BT27" i="13"/>
  <c r="BR27" i="13"/>
  <c r="BS27" i="13"/>
  <c r="CH26" i="13"/>
  <c r="CF26" i="13"/>
  <c r="CE26" i="13"/>
  <c r="CD26" i="13"/>
  <c r="CC26" i="13"/>
  <c r="CB26" i="13"/>
  <c r="CA26" i="13"/>
  <c r="BZ26" i="13"/>
  <c r="BY26" i="13"/>
  <c r="BX26" i="13"/>
  <c r="BW26" i="13"/>
  <c r="BV26" i="13"/>
  <c r="BU26" i="13"/>
  <c r="BT26" i="13"/>
  <c r="BR26" i="13"/>
  <c r="BS26" i="13"/>
  <c r="CH25" i="13"/>
  <c r="CF25" i="13"/>
  <c r="CE25" i="13"/>
  <c r="CD25" i="13"/>
  <c r="CC25" i="13"/>
  <c r="CB25" i="13"/>
  <c r="CA25" i="13"/>
  <c r="BZ25" i="13"/>
  <c r="BY25" i="13"/>
  <c r="BX25" i="13"/>
  <c r="BW25" i="13"/>
  <c r="BV25" i="13"/>
  <c r="BU25" i="13"/>
  <c r="BT25" i="13"/>
  <c r="BR25" i="13"/>
  <c r="BS25" i="13"/>
  <c r="CL25" i="13"/>
  <c r="CH24" i="13"/>
  <c r="CF24" i="13"/>
  <c r="CE24" i="13"/>
  <c r="CD24" i="13"/>
  <c r="CC24" i="13"/>
  <c r="CB24" i="13"/>
  <c r="CA24" i="13"/>
  <c r="BZ24" i="13"/>
  <c r="BY24" i="13"/>
  <c r="BX24" i="13"/>
  <c r="BW24" i="13"/>
  <c r="BV24" i="13"/>
  <c r="BU24" i="13"/>
  <c r="BT24" i="13"/>
  <c r="BR24" i="13"/>
  <c r="BS24" i="13"/>
  <c r="CH23" i="13"/>
  <c r="CF23" i="13"/>
  <c r="CE23" i="13"/>
  <c r="CD23" i="13"/>
  <c r="CC23" i="13"/>
  <c r="CB23" i="13"/>
  <c r="CA23" i="13"/>
  <c r="BZ23" i="13"/>
  <c r="BY23" i="13"/>
  <c r="BX23" i="13"/>
  <c r="BW23" i="13"/>
  <c r="BV23" i="13"/>
  <c r="BU23" i="13"/>
  <c r="BT23" i="13"/>
  <c r="BR23" i="13"/>
  <c r="BS23" i="13"/>
  <c r="CL23" i="13"/>
  <c r="CH22" i="13"/>
  <c r="CF22" i="13"/>
  <c r="CE22" i="13"/>
  <c r="CD22" i="13"/>
  <c r="CC22" i="13"/>
  <c r="CB22" i="13"/>
  <c r="CA22" i="13"/>
  <c r="BZ22" i="13"/>
  <c r="BY22" i="13"/>
  <c r="BX22" i="13"/>
  <c r="BW22" i="13"/>
  <c r="BV22" i="13"/>
  <c r="BU22" i="13"/>
  <c r="BT22" i="13"/>
  <c r="BR22" i="13"/>
  <c r="BS22" i="13"/>
  <c r="CH21" i="13"/>
  <c r="CF21" i="13"/>
  <c r="CE21" i="13"/>
  <c r="CD21" i="13"/>
  <c r="CC21" i="13"/>
  <c r="CB21" i="13"/>
  <c r="CA21" i="13"/>
  <c r="BZ21" i="13"/>
  <c r="BY21" i="13"/>
  <c r="BX21" i="13"/>
  <c r="BW21" i="13"/>
  <c r="BV21" i="13"/>
  <c r="BU21" i="13"/>
  <c r="CL21" i="13"/>
  <c r="BT21" i="13"/>
  <c r="BR21" i="13"/>
  <c r="BS21" i="13"/>
  <c r="CH20" i="13"/>
  <c r="CF20" i="13"/>
  <c r="CE20" i="13"/>
  <c r="CD20" i="13"/>
  <c r="CC20" i="13"/>
  <c r="CB20" i="13"/>
  <c r="CA20" i="13"/>
  <c r="BZ20" i="13"/>
  <c r="BY20" i="13"/>
  <c r="BX20" i="13"/>
  <c r="BW20" i="13"/>
  <c r="BV20" i="13"/>
  <c r="BU20" i="13"/>
  <c r="BT20" i="13"/>
  <c r="BR20" i="13"/>
  <c r="BS20" i="13"/>
  <c r="CH19" i="13"/>
  <c r="CF19" i="13"/>
  <c r="CE19" i="13"/>
  <c r="CD19" i="13"/>
  <c r="CC19" i="13"/>
  <c r="CB19" i="13"/>
  <c r="CA19" i="13"/>
  <c r="BZ19" i="13"/>
  <c r="BY19" i="13"/>
  <c r="BX19" i="13"/>
  <c r="BW19" i="13"/>
  <c r="BV19" i="13"/>
  <c r="BU19" i="13"/>
  <c r="BT19" i="13"/>
  <c r="BR19" i="13"/>
  <c r="BS19" i="13"/>
  <c r="CH17" i="13"/>
  <c r="CF17" i="13"/>
  <c r="CE17" i="13"/>
  <c r="CD17" i="13"/>
  <c r="CC17" i="13"/>
  <c r="CB17" i="13"/>
  <c r="CA17" i="13"/>
  <c r="BZ17" i="13"/>
  <c r="BY17" i="13"/>
  <c r="BX17" i="13"/>
  <c r="BW17" i="13"/>
  <c r="BV17" i="13"/>
  <c r="BU17" i="13"/>
  <c r="BT17" i="13"/>
  <c r="BR17" i="13"/>
  <c r="BS17" i="13"/>
  <c r="CH16" i="13"/>
  <c r="CF16" i="13"/>
  <c r="CE16" i="13"/>
  <c r="CD16" i="13"/>
  <c r="CC16" i="13"/>
  <c r="CB16" i="13"/>
  <c r="CA16" i="13"/>
  <c r="BZ16" i="13"/>
  <c r="BY16" i="13"/>
  <c r="BX16" i="13"/>
  <c r="BW16" i="13"/>
  <c r="BV16" i="13"/>
  <c r="BU16" i="13"/>
  <c r="BT16" i="13"/>
  <c r="BR16" i="13"/>
  <c r="BS16" i="13"/>
  <c r="CH15" i="13"/>
  <c r="CF15" i="13"/>
  <c r="CE15" i="13"/>
  <c r="CD15" i="13"/>
  <c r="CC15" i="13"/>
  <c r="CB15" i="13"/>
  <c r="CA15" i="13"/>
  <c r="BZ15" i="13"/>
  <c r="BY15" i="13"/>
  <c r="BX15" i="13"/>
  <c r="BW15" i="13"/>
  <c r="BV15" i="13"/>
  <c r="BU15" i="13"/>
  <c r="BT15" i="13"/>
  <c r="BR15" i="13"/>
  <c r="BS15" i="13"/>
  <c r="CH12" i="13"/>
  <c r="CF12" i="13"/>
  <c r="CE12" i="13"/>
  <c r="CD12" i="13"/>
  <c r="CC12" i="13"/>
  <c r="CB12" i="13"/>
  <c r="CA12" i="13"/>
  <c r="BZ12" i="13"/>
  <c r="BY12" i="13"/>
  <c r="BX12" i="13"/>
  <c r="BW12" i="13"/>
  <c r="BV12" i="13"/>
  <c r="BU12" i="13"/>
  <c r="BT12" i="13"/>
  <c r="BR12" i="13"/>
  <c r="BS12" i="13"/>
  <c r="CH11" i="13"/>
  <c r="CF11" i="13"/>
  <c r="CE11" i="13"/>
  <c r="CD11" i="13"/>
  <c r="CC11" i="13"/>
  <c r="CB11" i="13"/>
  <c r="CA11" i="13"/>
  <c r="BZ11" i="13"/>
  <c r="BY11" i="13"/>
  <c r="BX11" i="13"/>
  <c r="BW11" i="13"/>
  <c r="BV11" i="13"/>
  <c r="BU11" i="13"/>
  <c r="BT11" i="13"/>
  <c r="BR11" i="13"/>
  <c r="BS11" i="13"/>
  <c r="CH10" i="13"/>
  <c r="CF10" i="13"/>
  <c r="CE10" i="13"/>
  <c r="CD10" i="13"/>
  <c r="CC10" i="13"/>
  <c r="CB10" i="13"/>
  <c r="CA10" i="13"/>
  <c r="BZ10" i="13"/>
  <c r="BY10" i="13"/>
  <c r="BX10" i="13"/>
  <c r="BW10" i="13"/>
  <c r="BV10" i="13"/>
  <c r="BU10" i="13"/>
  <c r="BT10" i="13"/>
  <c r="BR10" i="13"/>
  <c r="BS10" i="13"/>
  <c r="CH9" i="13"/>
  <c r="CF9" i="13"/>
  <c r="CE9" i="13"/>
  <c r="CD9" i="13"/>
  <c r="CC9" i="13"/>
  <c r="CB9" i="13"/>
  <c r="CA9" i="13"/>
  <c r="BZ9" i="13"/>
  <c r="BY9" i="13"/>
  <c r="BX9" i="13"/>
  <c r="BW9" i="13"/>
  <c r="BV9" i="13"/>
  <c r="BU9" i="13"/>
  <c r="BT9" i="13"/>
  <c r="BR9" i="13"/>
  <c r="BS9" i="13"/>
  <c r="CH8" i="13"/>
  <c r="CF8" i="13"/>
  <c r="CE8" i="13"/>
  <c r="CD8" i="13"/>
  <c r="CC8" i="13"/>
  <c r="CB8" i="13"/>
  <c r="CA8" i="13"/>
  <c r="BZ8" i="13"/>
  <c r="BY8" i="13"/>
  <c r="BX8" i="13"/>
  <c r="BW8" i="13"/>
  <c r="BV8" i="13"/>
  <c r="BU8" i="13"/>
  <c r="BT8" i="13"/>
  <c r="BR8" i="13"/>
  <c r="BS8" i="13"/>
  <c r="CL8" i="13"/>
  <c r="CH7" i="13"/>
  <c r="CF7" i="13"/>
  <c r="CE7" i="13"/>
  <c r="CD7" i="13"/>
  <c r="CC7" i="13"/>
  <c r="CB7" i="13"/>
  <c r="CA7" i="13"/>
  <c r="BZ7" i="13"/>
  <c r="BY7" i="13"/>
  <c r="BX7" i="13"/>
  <c r="BW7" i="13"/>
  <c r="BV7" i="13"/>
  <c r="BU7" i="13"/>
  <c r="BT7" i="13"/>
  <c r="BR7" i="13"/>
  <c r="BS7" i="13"/>
  <c r="CH6" i="13"/>
  <c r="CF6" i="13"/>
  <c r="CE6" i="13"/>
  <c r="CD6" i="13"/>
  <c r="CC6" i="13"/>
  <c r="CB6" i="13"/>
  <c r="CA6" i="13"/>
  <c r="BZ6" i="13"/>
  <c r="BY6" i="13"/>
  <c r="BX6" i="13"/>
  <c r="BW6" i="13"/>
  <c r="BV6" i="13"/>
  <c r="BU6" i="13"/>
  <c r="BT6" i="13"/>
  <c r="BR6" i="13"/>
  <c r="BS6" i="13"/>
  <c r="CH5" i="13"/>
  <c r="CK5" i="13"/>
  <c r="CF5" i="13"/>
  <c r="CD5" i="13"/>
  <c r="CC5" i="13"/>
  <c r="CB5" i="13"/>
  <c r="CA5" i="13"/>
  <c r="BZ5" i="13"/>
  <c r="BY5" i="13"/>
  <c r="BX5" i="13"/>
  <c r="BW5" i="13"/>
  <c r="BV5" i="13"/>
  <c r="BU5" i="13"/>
  <c r="BT5" i="13"/>
  <c r="BR5" i="13"/>
  <c r="BS5" i="13"/>
  <c r="CD5" i="9"/>
  <c r="CB5" i="9"/>
  <c r="CD57" i="9"/>
  <c r="CD56" i="9"/>
  <c r="CD55" i="9"/>
  <c r="CD54" i="9"/>
  <c r="CD53" i="9"/>
  <c r="CD52" i="9"/>
  <c r="CD51" i="9"/>
  <c r="CD50" i="9"/>
  <c r="CD49" i="9"/>
  <c r="CD48" i="9"/>
  <c r="CD46" i="9"/>
  <c r="CD44" i="9"/>
  <c r="CD43" i="9"/>
  <c r="CD41" i="9"/>
  <c r="CD40" i="9"/>
  <c r="CD39" i="9"/>
  <c r="CD38" i="9"/>
  <c r="CD37" i="9"/>
  <c r="CD35" i="9"/>
  <c r="CD34" i="9"/>
  <c r="CD33" i="9"/>
  <c r="CD31" i="9"/>
  <c r="CD30" i="9"/>
  <c r="CD29" i="9"/>
  <c r="CD28" i="9"/>
  <c r="CD27" i="9"/>
  <c r="CD26" i="9"/>
  <c r="CD25" i="9"/>
  <c r="CD24" i="9"/>
  <c r="CD23" i="9"/>
  <c r="CD22" i="9"/>
  <c r="CD21" i="9"/>
  <c r="CD20" i="9"/>
  <c r="CD19" i="9"/>
  <c r="CD17" i="9"/>
  <c r="CD16" i="9"/>
  <c r="CD15" i="9"/>
  <c r="CD12" i="9"/>
  <c r="CD11" i="9"/>
  <c r="CD10" i="9"/>
  <c r="CD9" i="9"/>
  <c r="CD8" i="9"/>
  <c r="CD7" i="9"/>
  <c r="BN33" i="9"/>
  <c r="BO33" i="9"/>
  <c r="BP33" i="9"/>
  <c r="BQ33" i="9"/>
  <c r="BR33" i="9"/>
  <c r="BS33" i="9"/>
  <c r="BT33" i="9"/>
  <c r="BU33" i="9"/>
  <c r="BV33" i="9"/>
  <c r="BW33" i="9"/>
  <c r="BX33" i="9"/>
  <c r="BY33" i="9"/>
  <c r="BZ33" i="9"/>
  <c r="CA33" i="9"/>
  <c r="CB33" i="9"/>
  <c r="BN5" i="9"/>
  <c r="BO5" i="9"/>
  <c r="BP5" i="9"/>
  <c r="BQ5" i="9"/>
  <c r="BR5" i="9"/>
  <c r="BS5" i="9"/>
  <c r="BT5" i="9"/>
  <c r="CG5" i="9"/>
  <c r="BU5" i="9"/>
  <c r="BV5" i="9"/>
  <c r="BW5" i="9"/>
  <c r="BX5" i="9"/>
  <c r="BY5" i="9"/>
  <c r="BZ5" i="9"/>
  <c r="CA5" i="9"/>
  <c r="BN39" i="9"/>
  <c r="BO39" i="9"/>
  <c r="BP39" i="9"/>
  <c r="BQ39" i="9"/>
  <c r="BR39" i="9"/>
  <c r="BS39" i="9"/>
  <c r="BT39" i="9"/>
  <c r="BU39" i="9"/>
  <c r="BV39" i="9"/>
  <c r="BW39" i="9"/>
  <c r="CG39" i="9"/>
  <c r="BX39" i="9"/>
  <c r="BY39" i="9"/>
  <c r="BZ39" i="9"/>
  <c r="CA39" i="9"/>
  <c r="CB39" i="9"/>
  <c r="BN28" i="9"/>
  <c r="BO28" i="9"/>
  <c r="BP28" i="9"/>
  <c r="BQ28" i="9"/>
  <c r="BR28" i="9"/>
  <c r="BS28" i="9"/>
  <c r="BT28" i="9"/>
  <c r="BU28" i="9"/>
  <c r="BV28" i="9"/>
  <c r="BW28" i="9"/>
  <c r="BX28" i="9"/>
  <c r="BY28" i="9"/>
  <c r="BZ28" i="9"/>
  <c r="CA28" i="9"/>
  <c r="CB28" i="9"/>
  <c r="CB57" i="9"/>
  <c r="CA57" i="9"/>
  <c r="BZ57" i="9"/>
  <c r="BY57" i="9"/>
  <c r="BX57" i="9"/>
  <c r="BW57" i="9"/>
  <c r="BV57" i="9"/>
  <c r="BU57" i="9"/>
  <c r="BT57" i="9"/>
  <c r="BS57" i="9"/>
  <c r="BR57" i="9"/>
  <c r="BQ57" i="9"/>
  <c r="BP57" i="9"/>
  <c r="BN57" i="9"/>
  <c r="BO57" i="9"/>
  <c r="CB56" i="9"/>
  <c r="CA56" i="9"/>
  <c r="BZ56" i="9"/>
  <c r="BY56" i="9"/>
  <c r="BX56" i="9"/>
  <c r="BW56" i="9"/>
  <c r="BV56" i="9"/>
  <c r="BU56" i="9"/>
  <c r="BT56" i="9"/>
  <c r="BS56" i="9"/>
  <c r="BR56" i="9"/>
  <c r="BQ56" i="9"/>
  <c r="BP56" i="9"/>
  <c r="BN56" i="9"/>
  <c r="BO56" i="9"/>
  <c r="CG56" i="9"/>
  <c r="CB55" i="9"/>
  <c r="CA55" i="9"/>
  <c r="BZ55" i="9"/>
  <c r="BY55" i="9"/>
  <c r="BX55" i="9"/>
  <c r="BW55" i="9"/>
  <c r="BV55" i="9"/>
  <c r="BU55" i="9"/>
  <c r="BT55" i="9"/>
  <c r="BS55" i="9"/>
  <c r="BR55" i="9"/>
  <c r="BQ55" i="9"/>
  <c r="BP55" i="9"/>
  <c r="BN55" i="9"/>
  <c r="BO55" i="9"/>
  <c r="CB54" i="9"/>
  <c r="CA54" i="9"/>
  <c r="BZ54" i="9"/>
  <c r="BY54" i="9"/>
  <c r="BX54" i="9"/>
  <c r="BW54" i="9"/>
  <c r="BV54" i="9"/>
  <c r="BU54" i="9"/>
  <c r="BT54" i="9"/>
  <c r="BS54" i="9"/>
  <c r="BR54" i="9"/>
  <c r="BQ54" i="9"/>
  <c r="BP54" i="9"/>
  <c r="BN54" i="9"/>
  <c r="BO54" i="9"/>
  <c r="CG54" i="9"/>
  <c r="CB53" i="9"/>
  <c r="CA53" i="9"/>
  <c r="BZ53" i="9"/>
  <c r="BY53" i="9"/>
  <c r="BX53" i="9"/>
  <c r="BW53" i="9"/>
  <c r="BV53" i="9"/>
  <c r="BU53" i="9"/>
  <c r="BT53" i="9"/>
  <c r="BS53" i="9"/>
  <c r="BR53" i="9"/>
  <c r="BQ53" i="9"/>
  <c r="BP53" i="9"/>
  <c r="BN53" i="9"/>
  <c r="BO53" i="9"/>
  <c r="CB52" i="9"/>
  <c r="CA52" i="9"/>
  <c r="BZ52" i="9"/>
  <c r="BY52" i="9"/>
  <c r="BX52" i="9"/>
  <c r="BW52" i="9"/>
  <c r="BV52" i="9"/>
  <c r="BU52" i="9"/>
  <c r="BT52" i="9"/>
  <c r="BS52" i="9"/>
  <c r="BR52" i="9"/>
  <c r="BQ52" i="9"/>
  <c r="BP52" i="9"/>
  <c r="BN52" i="9"/>
  <c r="BO52" i="9"/>
  <c r="CG52" i="9"/>
  <c r="CB51" i="9"/>
  <c r="CA51" i="9"/>
  <c r="BZ51" i="9"/>
  <c r="BY51" i="9"/>
  <c r="BX51" i="9"/>
  <c r="BW51" i="9"/>
  <c r="BV51" i="9"/>
  <c r="BU51" i="9"/>
  <c r="BT51" i="9"/>
  <c r="BS51" i="9"/>
  <c r="BR51" i="9"/>
  <c r="CF51" i="9"/>
  <c r="BQ51" i="9"/>
  <c r="BP51" i="9"/>
  <c r="BN51" i="9"/>
  <c r="BO51" i="9"/>
  <c r="CB50" i="9"/>
  <c r="CA50" i="9"/>
  <c r="BZ50" i="9"/>
  <c r="BY50" i="9"/>
  <c r="BX50" i="9"/>
  <c r="BW50" i="9"/>
  <c r="BV50" i="9"/>
  <c r="BU50" i="9"/>
  <c r="BT50" i="9"/>
  <c r="BS50" i="9"/>
  <c r="BR50" i="9"/>
  <c r="BQ50" i="9"/>
  <c r="CG50" i="9"/>
  <c r="BP50" i="9"/>
  <c r="BN50" i="9"/>
  <c r="BO50" i="9"/>
  <c r="CB49" i="9"/>
  <c r="CA49" i="9"/>
  <c r="BZ49" i="9"/>
  <c r="BY49" i="9"/>
  <c r="BX49" i="9"/>
  <c r="BW49" i="9"/>
  <c r="BV49" i="9"/>
  <c r="BU49" i="9"/>
  <c r="BT49" i="9"/>
  <c r="BS49" i="9"/>
  <c r="BR49" i="9"/>
  <c r="BQ49" i="9"/>
  <c r="BP49" i="9"/>
  <c r="CG49" i="9"/>
  <c r="BN49" i="9"/>
  <c r="BO49" i="9"/>
  <c r="CB48" i="9"/>
  <c r="CA48" i="9"/>
  <c r="BZ48" i="9"/>
  <c r="BY48" i="9"/>
  <c r="BX48" i="9"/>
  <c r="BW48" i="9"/>
  <c r="BV48" i="9"/>
  <c r="BU48" i="9"/>
  <c r="BT48" i="9"/>
  <c r="BS48" i="9"/>
  <c r="BR48" i="9"/>
  <c r="BQ48" i="9"/>
  <c r="BP48" i="9"/>
  <c r="BN48" i="9"/>
  <c r="BO48" i="9"/>
  <c r="CG48" i="9"/>
  <c r="CB46" i="9"/>
  <c r="CA46" i="9"/>
  <c r="BZ46" i="9"/>
  <c r="BY46" i="9"/>
  <c r="BX46" i="9"/>
  <c r="BW46" i="9"/>
  <c r="BV46" i="9"/>
  <c r="BU46" i="9"/>
  <c r="BT46" i="9"/>
  <c r="BS46" i="9"/>
  <c r="BR46" i="9"/>
  <c r="BQ46" i="9"/>
  <c r="BP46" i="9"/>
  <c r="BN46" i="9"/>
  <c r="BO46" i="9"/>
  <c r="CG46" i="9"/>
  <c r="CG47" i="9"/>
  <c r="F10" i="11"/>
  <c r="CB44" i="9"/>
  <c r="CA44" i="9"/>
  <c r="BZ44" i="9"/>
  <c r="BY44" i="9"/>
  <c r="BX44" i="9"/>
  <c r="BW44" i="9"/>
  <c r="BV44" i="9"/>
  <c r="BU44" i="9"/>
  <c r="BT44" i="9"/>
  <c r="BS44" i="9"/>
  <c r="BR44" i="9"/>
  <c r="BQ44" i="9"/>
  <c r="BP44" i="9"/>
  <c r="BN44" i="9"/>
  <c r="BO44" i="9"/>
  <c r="CB43" i="9"/>
  <c r="CA43" i="9"/>
  <c r="BZ43" i="9"/>
  <c r="BY43" i="9"/>
  <c r="BX43" i="9"/>
  <c r="BW43" i="9"/>
  <c r="BV43" i="9"/>
  <c r="BU43" i="9"/>
  <c r="BT43" i="9"/>
  <c r="BS43" i="9"/>
  <c r="BR43" i="9"/>
  <c r="BQ43" i="9"/>
  <c r="BP43" i="9"/>
  <c r="BN43" i="9"/>
  <c r="BO43" i="9"/>
  <c r="CB41" i="9"/>
  <c r="CA41" i="9"/>
  <c r="BZ41" i="9"/>
  <c r="BY41" i="9"/>
  <c r="BX41" i="9"/>
  <c r="BW41" i="9"/>
  <c r="BV41" i="9"/>
  <c r="BU41" i="9"/>
  <c r="BT41" i="9"/>
  <c r="BS41" i="9"/>
  <c r="BR41" i="9"/>
  <c r="BQ41" i="9"/>
  <c r="BP41" i="9"/>
  <c r="BN41" i="9"/>
  <c r="BO41" i="9"/>
  <c r="CB40" i="9"/>
  <c r="CA40" i="9"/>
  <c r="BZ40" i="9"/>
  <c r="BY40" i="9"/>
  <c r="BX40" i="9"/>
  <c r="BW40" i="9"/>
  <c r="BV40" i="9"/>
  <c r="BU40" i="9"/>
  <c r="BT40" i="9"/>
  <c r="BS40" i="9"/>
  <c r="BR40" i="9"/>
  <c r="BQ40" i="9"/>
  <c r="BP40" i="9"/>
  <c r="BN40" i="9"/>
  <c r="BO40" i="9"/>
  <c r="CB38" i="9"/>
  <c r="CA38" i="9"/>
  <c r="BZ38" i="9"/>
  <c r="BY38" i="9"/>
  <c r="BX38" i="9"/>
  <c r="BW38" i="9"/>
  <c r="BV38" i="9"/>
  <c r="BU38" i="9"/>
  <c r="BT38" i="9"/>
  <c r="BS38" i="9"/>
  <c r="BR38" i="9"/>
  <c r="BQ38" i="9"/>
  <c r="BP38" i="9"/>
  <c r="BN38" i="9"/>
  <c r="BO38" i="9"/>
  <c r="CB37" i="9"/>
  <c r="CA37" i="9"/>
  <c r="BZ37" i="9"/>
  <c r="CF37" i="9"/>
  <c r="BY37" i="9"/>
  <c r="BX37" i="9"/>
  <c r="BW37" i="9"/>
  <c r="BV37" i="9"/>
  <c r="BU37" i="9"/>
  <c r="BT37" i="9"/>
  <c r="BS37" i="9"/>
  <c r="BR37" i="9"/>
  <c r="BQ37" i="9"/>
  <c r="BP37" i="9"/>
  <c r="BN37" i="9"/>
  <c r="BO37" i="9"/>
  <c r="CB35" i="9"/>
  <c r="CA35" i="9"/>
  <c r="BZ35" i="9"/>
  <c r="BY35" i="9"/>
  <c r="BX35" i="9"/>
  <c r="BW35" i="9"/>
  <c r="BV35" i="9"/>
  <c r="BU35" i="9"/>
  <c r="BT35" i="9"/>
  <c r="BS35" i="9"/>
  <c r="BR35" i="9"/>
  <c r="BQ35" i="9"/>
  <c r="BP35" i="9"/>
  <c r="BN35" i="9"/>
  <c r="BO35" i="9"/>
  <c r="CB34" i="9"/>
  <c r="CA34" i="9"/>
  <c r="BZ34" i="9"/>
  <c r="CF34" i="9"/>
  <c r="BY34" i="9"/>
  <c r="BX34" i="9"/>
  <c r="BW34" i="9"/>
  <c r="BV34" i="9"/>
  <c r="BU34" i="9"/>
  <c r="BT34" i="9"/>
  <c r="BS34" i="9"/>
  <c r="BR34" i="9"/>
  <c r="BQ34" i="9"/>
  <c r="BP34" i="9"/>
  <c r="BN34" i="9"/>
  <c r="BO34" i="9"/>
  <c r="CB31" i="9"/>
  <c r="CA31" i="9"/>
  <c r="BZ31" i="9"/>
  <c r="BY31" i="9"/>
  <c r="BX31" i="9"/>
  <c r="BW31" i="9"/>
  <c r="BV31" i="9"/>
  <c r="BU31" i="9"/>
  <c r="BT31" i="9"/>
  <c r="BS31" i="9"/>
  <c r="BR31" i="9"/>
  <c r="BQ31" i="9"/>
  <c r="BP31" i="9"/>
  <c r="BN31" i="9"/>
  <c r="BO31" i="9"/>
  <c r="CB30" i="9"/>
  <c r="CA30" i="9"/>
  <c r="BZ30" i="9"/>
  <c r="BY30" i="9"/>
  <c r="BX30" i="9"/>
  <c r="BW30" i="9"/>
  <c r="BV30" i="9"/>
  <c r="BU30" i="9"/>
  <c r="BT30" i="9"/>
  <c r="BS30" i="9"/>
  <c r="BR30" i="9"/>
  <c r="BQ30" i="9"/>
  <c r="CF30" i="9"/>
  <c r="BP30" i="9"/>
  <c r="BN30" i="9"/>
  <c r="BO30" i="9"/>
  <c r="CB29" i="9"/>
  <c r="CA29" i="9"/>
  <c r="BZ29" i="9"/>
  <c r="BY29" i="9"/>
  <c r="BX29" i="9"/>
  <c r="BW29" i="9"/>
  <c r="BV29" i="9"/>
  <c r="BU29" i="9"/>
  <c r="BT29" i="9"/>
  <c r="BS29" i="9"/>
  <c r="BR29" i="9"/>
  <c r="BQ29" i="9"/>
  <c r="BP29" i="9"/>
  <c r="BN29" i="9"/>
  <c r="BO29" i="9"/>
  <c r="CB27" i="9"/>
  <c r="CA27" i="9"/>
  <c r="BZ27" i="9"/>
  <c r="BY27" i="9"/>
  <c r="BX27" i="9"/>
  <c r="BW27" i="9"/>
  <c r="BV27" i="9"/>
  <c r="BU27" i="9"/>
  <c r="BT27" i="9"/>
  <c r="BS27" i="9"/>
  <c r="BR27" i="9"/>
  <c r="BQ27" i="9"/>
  <c r="BP27" i="9"/>
  <c r="BN27" i="9"/>
  <c r="BO27" i="9"/>
  <c r="CB26" i="9"/>
  <c r="CA26" i="9"/>
  <c r="BZ26" i="9"/>
  <c r="BY26" i="9"/>
  <c r="BX26" i="9"/>
  <c r="BW26" i="9"/>
  <c r="BV26" i="9"/>
  <c r="BU26" i="9"/>
  <c r="BT26" i="9"/>
  <c r="BS26" i="9"/>
  <c r="BR26" i="9"/>
  <c r="BQ26" i="9"/>
  <c r="BP26" i="9"/>
  <c r="BN26" i="9"/>
  <c r="BO26" i="9"/>
  <c r="CB25" i="9"/>
  <c r="CA25" i="9"/>
  <c r="BZ25" i="9"/>
  <c r="BY25" i="9"/>
  <c r="BX25" i="9"/>
  <c r="BW25" i="9"/>
  <c r="BV25" i="9"/>
  <c r="BU25" i="9"/>
  <c r="BT25" i="9"/>
  <c r="BS25" i="9"/>
  <c r="BR25" i="9"/>
  <c r="BQ25" i="9"/>
  <c r="BP25" i="9"/>
  <c r="BN25" i="9"/>
  <c r="BO25" i="9"/>
  <c r="CB24" i="9"/>
  <c r="CA24" i="9"/>
  <c r="BZ24" i="9"/>
  <c r="BY24" i="9"/>
  <c r="BX24" i="9"/>
  <c r="BW24" i="9"/>
  <c r="BV24" i="9"/>
  <c r="BU24" i="9"/>
  <c r="BT24" i="9"/>
  <c r="BS24" i="9"/>
  <c r="BR24" i="9"/>
  <c r="BQ24" i="9"/>
  <c r="BP24" i="9"/>
  <c r="BN24" i="9"/>
  <c r="BO24" i="9"/>
  <c r="CB23" i="9"/>
  <c r="CA23" i="9"/>
  <c r="BZ23" i="9"/>
  <c r="BY23" i="9"/>
  <c r="BX23" i="9"/>
  <c r="BW23" i="9"/>
  <c r="BV23" i="9"/>
  <c r="BU23" i="9"/>
  <c r="BT23" i="9"/>
  <c r="BS23" i="9"/>
  <c r="BR23" i="9"/>
  <c r="BQ23" i="9"/>
  <c r="BP23" i="9"/>
  <c r="BN23" i="9"/>
  <c r="BO23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N22" i="9"/>
  <c r="BO22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N21" i="9"/>
  <c r="BO21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N20" i="9"/>
  <c r="BO20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N19" i="9"/>
  <c r="BO19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N17" i="9"/>
  <c r="BO17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N16" i="9"/>
  <c r="BO16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N15" i="9"/>
  <c r="BO15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N12" i="9"/>
  <c r="BO12" i="9"/>
  <c r="CF12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N11" i="9"/>
  <c r="BO11" i="9"/>
  <c r="CG11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N10" i="9"/>
  <c r="BO10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N9" i="9"/>
  <c r="BO9" i="9"/>
  <c r="CG9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N8" i="9"/>
  <c r="BO8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N7" i="9"/>
  <c r="BO7" i="9"/>
  <c r="BU6" i="10"/>
  <c r="BI5" i="10"/>
  <c r="BJ5" i="10"/>
  <c r="BT5" i="10"/>
  <c r="BU5" i="10"/>
  <c r="BK5" i="10"/>
  <c r="BL5" i="10"/>
  <c r="BM5" i="10"/>
  <c r="BN5" i="10"/>
  <c r="BO5" i="10"/>
  <c r="BP5" i="10"/>
  <c r="BQ5" i="10"/>
  <c r="BR5" i="10"/>
  <c r="BS5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S6" i="10"/>
  <c r="BT6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S7" i="10"/>
  <c r="BT7" i="10"/>
  <c r="BU7" i="10"/>
  <c r="BG8" i="10"/>
  <c r="BH8" i="10"/>
  <c r="BI8" i="10"/>
  <c r="BJ8" i="10"/>
  <c r="BK8" i="10"/>
  <c r="BW8" i="10"/>
  <c r="BL8" i="10"/>
  <c r="BM8" i="10"/>
  <c r="BN8" i="10"/>
  <c r="BO8" i="10"/>
  <c r="BP8" i="10"/>
  <c r="BQ8" i="10"/>
  <c r="BR8" i="10"/>
  <c r="BS8" i="10"/>
  <c r="BT8" i="10"/>
  <c r="BU8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S9" i="10"/>
  <c r="BT9" i="10"/>
  <c r="BU9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S10" i="10"/>
  <c r="BT10" i="10"/>
  <c r="BU10" i="10"/>
  <c r="BG11" i="10"/>
  <c r="BH11" i="10"/>
  <c r="BI11" i="10"/>
  <c r="BJ11" i="10"/>
  <c r="BK11" i="10"/>
  <c r="BL11" i="10"/>
  <c r="BM11" i="10"/>
  <c r="BX11" i="10"/>
  <c r="BN11" i="10"/>
  <c r="BO11" i="10"/>
  <c r="BP11" i="10"/>
  <c r="BQ11" i="10"/>
  <c r="BR11" i="10"/>
  <c r="BS11" i="10"/>
  <c r="BT11" i="10"/>
  <c r="BU11" i="10"/>
  <c r="BG12" i="10"/>
  <c r="BH12" i="10"/>
  <c r="BI12" i="10"/>
  <c r="BJ12" i="10"/>
  <c r="BK12" i="10"/>
  <c r="BL12" i="10"/>
  <c r="BM12" i="10"/>
  <c r="BW12" i="10"/>
  <c r="BN12" i="10"/>
  <c r="BO12" i="10"/>
  <c r="BP12" i="10"/>
  <c r="BQ12" i="10"/>
  <c r="BR12" i="10"/>
  <c r="BS12" i="10"/>
  <c r="BT12" i="10"/>
  <c r="BU12" i="10"/>
  <c r="BG15" i="10"/>
  <c r="BH15" i="10"/>
  <c r="BI15" i="10"/>
  <c r="BJ15" i="10"/>
  <c r="BW15" i="10"/>
  <c r="BK15" i="10"/>
  <c r="BL15" i="10"/>
  <c r="BM15" i="10"/>
  <c r="BN15" i="10"/>
  <c r="BO15" i="10"/>
  <c r="BP15" i="10"/>
  <c r="BQ15" i="10"/>
  <c r="BR15" i="10"/>
  <c r="BS15" i="10"/>
  <c r="BT15" i="10"/>
  <c r="BU15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S16" i="10"/>
  <c r="BT16" i="10"/>
  <c r="BU16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S17" i="10"/>
  <c r="BT17" i="10"/>
  <c r="BU17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S19" i="10"/>
  <c r="BT19" i="10"/>
  <c r="BU19" i="10"/>
  <c r="BG20" i="10"/>
  <c r="BH20" i="10"/>
  <c r="BX20" i="10"/>
  <c r="BI20" i="10"/>
  <c r="BJ20" i="10"/>
  <c r="BK20" i="10"/>
  <c r="BL20" i="10"/>
  <c r="BM20" i="10"/>
  <c r="BN20" i="10"/>
  <c r="BO20" i="10"/>
  <c r="BP20" i="10"/>
  <c r="BQ20" i="10"/>
  <c r="BR20" i="10"/>
  <c r="BS20" i="10"/>
  <c r="BT20" i="10"/>
  <c r="BU20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S21" i="10"/>
  <c r="BT21" i="10"/>
  <c r="BU21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S22" i="10"/>
  <c r="BT22" i="10"/>
  <c r="BU22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S23" i="10"/>
  <c r="BT23" i="10"/>
  <c r="BU23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S24" i="10"/>
  <c r="BT24" i="10"/>
  <c r="BU24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S25" i="10"/>
  <c r="BT25" i="10"/>
  <c r="BU25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S26" i="10"/>
  <c r="BT26" i="10"/>
  <c r="BU26" i="10"/>
  <c r="BG27" i="10"/>
  <c r="BH27" i="10"/>
  <c r="BI27" i="10"/>
  <c r="BJ27" i="10"/>
  <c r="BK27" i="10"/>
  <c r="BL27" i="10"/>
  <c r="BM27" i="10"/>
  <c r="BN27" i="10"/>
  <c r="BO27" i="10"/>
  <c r="BP27" i="10"/>
  <c r="BQ27" i="10"/>
  <c r="BX27" i="10"/>
  <c r="BR27" i="10"/>
  <c r="BS27" i="10"/>
  <c r="BT27" i="10"/>
  <c r="BU27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S28" i="10"/>
  <c r="BT28" i="10"/>
  <c r="BU28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X29" i="10"/>
  <c r="BS29" i="10"/>
  <c r="BT29" i="10"/>
  <c r="BU29" i="10"/>
  <c r="BG30" i="10"/>
  <c r="BH30" i="10"/>
  <c r="BX30" i="10"/>
  <c r="BI30" i="10"/>
  <c r="BJ30" i="10"/>
  <c r="BK30" i="10"/>
  <c r="BL30" i="10"/>
  <c r="BM30" i="10"/>
  <c r="BN30" i="10"/>
  <c r="BO30" i="10"/>
  <c r="BP30" i="10"/>
  <c r="BQ30" i="10"/>
  <c r="BR30" i="10"/>
  <c r="BS30" i="10"/>
  <c r="BT30" i="10"/>
  <c r="BU30" i="10"/>
  <c r="BG31" i="10"/>
  <c r="BH31" i="10"/>
  <c r="BX31" i="10"/>
  <c r="BI31" i="10"/>
  <c r="BJ31" i="10"/>
  <c r="BK31" i="10"/>
  <c r="BL31" i="10"/>
  <c r="BM31" i="10"/>
  <c r="BN31" i="10"/>
  <c r="BO31" i="10"/>
  <c r="BP31" i="10"/>
  <c r="BQ31" i="10"/>
  <c r="BR31" i="10"/>
  <c r="BS31" i="10"/>
  <c r="BT31" i="10"/>
  <c r="BU31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S33" i="10"/>
  <c r="BT33" i="10"/>
  <c r="BU33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S34" i="10"/>
  <c r="BT34" i="10"/>
  <c r="BU34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S35" i="10"/>
  <c r="BT35" i="10"/>
  <c r="BU35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S37" i="10"/>
  <c r="BT37" i="10"/>
  <c r="BU37" i="10"/>
  <c r="BG38" i="10"/>
  <c r="BH38" i="10"/>
  <c r="BI38" i="10"/>
  <c r="BJ38" i="10"/>
  <c r="BK38" i="10"/>
  <c r="BL38" i="10"/>
  <c r="BM38" i="10"/>
  <c r="BN38" i="10"/>
  <c r="BO38" i="10"/>
  <c r="BP38" i="10"/>
  <c r="BQ38" i="10"/>
  <c r="BX38" i="10"/>
  <c r="BR38" i="10"/>
  <c r="BS38" i="10"/>
  <c r="BT38" i="10"/>
  <c r="BU38" i="10"/>
  <c r="BG39" i="10"/>
  <c r="BH39" i="10"/>
  <c r="BI39" i="10"/>
  <c r="BJ39" i="10"/>
  <c r="BK39" i="10"/>
  <c r="BL39" i="10"/>
  <c r="BM39" i="10"/>
  <c r="BN39" i="10"/>
  <c r="BO39" i="10"/>
  <c r="BP39" i="10"/>
  <c r="BQ39" i="10"/>
  <c r="BX39" i="10"/>
  <c r="BR39" i="10"/>
  <c r="BS39" i="10"/>
  <c r="BT39" i="10"/>
  <c r="BU39" i="10"/>
  <c r="BG40" i="10"/>
  <c r="BH40" i="10"/>
  <c r="BX40" i="10"/>
  <c r="BI40" i="10"/>
  <c r="BJ40" i="10"/>
  <c r="BK40" i="10"/>
  <c r="BL40" i="10"/>
  <c r="BM40" i="10"/>
  <c r="BN40" i="10"/>
  <c r="BO40" i="10"/>
  <c r="BP40" i="10"/>
  <c r="BQ40" i="10"/>
  <c r="BR40" i="10"/>
  <c r="BS40" i="10"/>
  <c r="BT40" i="10"/>
  <c r="BU40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S41" i="10"/>
  <c r="BT41" i="10"/>
  <c r="BU41" i="10"/>
  <c r="BG42" i="10"/>
  <c r="BH42" i="10"/>
  <c r="BX42" i="10"/>
  <c r="BI42" i="10"/>
  <c r="BJ42" i="10"/>
  <c r="BK42" i="10"/>
  <c r="BL42" i="10"/>
  <c r="BM42" i="10"/>
  <c r="BN42" i="10"/>
  <c r="BO42" i="10"/>
  <c r="BP42" i="10"/>
  <c r="BQ42" i="10"/>
  <c r="BR42" i="10"/>
  <c r="BS42" i="10"/>
  <c r="BT42" i="10"/>
  <c r="BU42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S43" i="10"/>
  <c r="BT43" i="10"/>
  <c r="BU43" i="10"/>
  <c r="BG44" i="10"/>
  <c r="BH44" i="10"/>
  <c r="BX44" i="10"/>
  <c r="BI44" i="10"/>
  <c r="BJ44" i="10"/>
  <c r="BK44" i="10"/>
  <c r="BL44" i="10"/>
  <c r="BM44" i="10"/>
  <c r="BN44" i="10"/>
  <c r="BO44" i="10"/>
  <c r="BP44" i="10"/>
  <c r="BQ44" i="10"/>
  <c r="BR44" i="10"/>
  <c r="BS44" i="10"/>
  <c r="BT44" i="10"/>
  <c r="BU44" i="10"/>
  <c r="BG46" i="10"/>
  <c r="BH46" i="10"/>
  <c r="BX46" i="10"/>
  <c r="BX47" i="10"/>
  <c r="F4" i="11"/>
  <c r="BI46" i="10"/>
  <c r="BJ46" i="10"/>
  <c r="BK46" i="10"/>
  <c r="BL46" i="10"/>
  <c r="BM46" i="10"/>
  <c r="BN46" i="10"/>
  <c r="BO46" i="10"/>
  <c r="BP46" i="10"/>
  <c r="BQ46" i="10"/>
  <c r="BR46" i="10"/>
  <c r="BS46" i="10"/>
  <c r="BT46" i="10"/>
  <c r="BU46" i="10"/>
  <c r="BG48" i="10"/>
  <c r="BH48" i="10"/>
  <c r="BX48" i="10"/>
  <c r="BI48" i="10"/>
  <c r="BJ48" i="10"/>
  <c r="BK48" i="10"/>
  <c r="BL48" i="10"/>
  <c r="BM48" i="10"/>
  <c r="BN48" i="10"/>
  <c r="BO48" i="10"/>
  <c r="BP48" i="10"/>
  <c r="BQ48" i="10"/>
  <c r="BR48" i="10"/>
  <c r="BS48" i="10"/>
  <c r="BT48" i="10"/>
  <c r="BU48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S49" i="10"/>
  <c r="BT49" i="10"/>
  <c r="BW49" i="10"/>
  <c r="BU49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S50" i="10"/>
  <c r="BT50" i="10"/>
  <c r="BU50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S51" i="10"/>
  <c r="BT51" i="10"/>
  <c r="BU51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S52" i="10"/>
  <c r="BT52" i="10"/>
  <c r="BU52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S53" i="10"/>
  <c r="BT53" i="10"/>
  <c r="BU53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S54" i="10"/>
  <c r="BT54" i="10"/>
  <c r="BU54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S55" i="10"/>
  <c r="BT55" i="10"/>
  <c r="BU55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S56" i="10"/>
  <c r="BT56" i="10"/>
  <c r="BU56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S57" i="10"/>
  <c r="BT57" i="10"/>
  <c r="BU57" i="10"/>
  <c r="BD13" i="10"/>
  <c r="BD59" i="10"/>
  <c r="BG58" i="14"/>
  <c r="BH59" i="15"/>
  <c r="BG45" i="15"/>
  <c r="BG59" i="15"/>
  <c r="CO51" i="15"/>
  <c r="BG58" i="9"/>
  <c r="CY19" i="15"/>
  <c r="CY7" i="15"/>
  <c r="CY30" i="15"/>
  <c r="CY12" i="15"/>
  <c r="CY46" i="15"/>
  <c r="CY11" i="15"/>
  <c r="CY6" i="15"/>
  <c r="CY8" i="15"/>
  <c r="CY9" i="15"/>
  <c r="CY47" i="15"/>
  <c r="B21" i="11"/>
  <c r="CJ30" i="13"/>
  <c r="BV42" i="10"/>
  <c r="BW42" i="10"/>
  <c r="CE22" i="9"/>
  <c r="BV55" i="10"/>
  <c r="BI45" i="14"/>
  <c r="CC33" i="9"/>
  <c r="BI45" i="13"/>
  <c r="BC58" i="15"/>
  <c r="BV50" i="10"/>
  <c r="BV28" i="10"/>
  <c r="BV7" i="10"/>
  <c r="BV56" i="10"/>
  <c r="BV54" i="10"/>
  <c r="BV38" i="10"/>
  <c r="BC47" i="13"/>
  <c r="BC59" i="13"/>
  <c r="C20" i="11"/>
  <c r="BV29" i="10"/>
  <c r="BW29" i="10"/>
  <c r="CT19" i="14"/>
  <c r="CE43" i="9"/>
  <c r="BN58" i="15"/>
  <c r="BV48" i="10"/>
  <c r="BV58" i="10"/>
  <c r="D5" i="11"/>
  <c r="B5" i="11"/>
  <c r="H5" i="11" s="1"/>
  <c r="BV49" i="10"/>
  <c r="BV53" i="10"/>
  <c r="BV51" i="10"/>
  <c r="C22" i="11"/>
  <c r="H22" i="11" s="1"/>
  <c r="BC47" i="15"/>
  <c r="BV33" i="10"/>
  <c r="BC47" i="10"/>
  <c r="BC59" i="10"/>
  <c r="C4" i="11"/>
  <c r="BV46" i="10"/>
  <c r="BR13" i="15"/>
  <c r="BC58" i="9"/>
  <c r="BC59" i="9"/>
  <c r="CO12" i="14"/>
  <c r="BC47" i="14"/>
  <c r="BJ58" i="15"/>
  <c r="D22" i="11"/>
  <c r="BN45" i="15"/>
  <c r="CO11" i="14"/>
  <c r="B17" i="11"/>
  <c r="CJ48" i="13"/>
  <c r="CJ49" i="13"/>
  <c r="CJ57" i="13"/>
  <c r="BJ58" i="13"/>
  <c r="CO35" i="14"/>
  <c r="CP35" i="14"/>
  <c r="BN47" i="14"/>
  <c r="CJ6" i="13"/>
  <c r="BV15" i="10"/>
  <c r="BV40" i="10"/>
  <c r="BV23" i="10"/>
  <c r="BW23" i="10"/>
  <c r="CE33" i="9"/>
  <c r="CF33" i="9"/>
  <c r="BV17" i="10"/>
  <c r="BV24" i="10"/>
  <c r="BJ45" i="13"/>
  <c r="BN47" i="13"/>
  <c r="C16" i="11"/>
  <c r="H16" i="11"/>
  <c r="CJ39" i="13"/>
  <c r="BV57" i="10"/>
  <c r="BC58" i="14"/>
  <c r="BC59" i="14"/>
  <c r="CJ8" i="13"/>
  <c r="CK8" i="13"/>
  <c r="B3" i="11"/>
  <c r="BV43" i="10"/>
  <c r="BW43" i="10"/>
  <c r="BV27" i="10"/>
  <c r="BV26" i="10"/>
  <c r="BW26" i="10"/>
  <c r="BV44" i="10"/>
  <c r="BV31" i="10"/>
  <c r="BW31" i="10"/>
  <c r="BV41" i="10"/>
  <c r="CJ19" i="13"/>
  <c r="CJ17" i="13"/>
  <c r="CJ43" i="13"/>
  <c r="BV34" i="10"/>
  <c r="BC45" i="14"/>
  <c r="CO24" i="14"/>
  <c r="CJ7" i="13"/>
  <c r="BV16" i="10"/>
  <c r="BV35" i="10"/>
  <c r="BV22" i="10"/>
  <c r="BV21" i="10"/>
  <c r="BV45" i="10"/>
  <c r="BN45" i="14"/>
  <c r="BN59" i="14"/>
  <c r="CO55" i="14"/>
  <c r="CP55" i="14"/>
  <c r="CO53" i="14"/>
  <c r="CP53" i="14"/>
  <c r="CE30" i="9"/>
  <c r="CE50" i="9"/>
  <c r="BJ13" i="9"/>
  <c r="C8" i="11"/>
  <c r="H8" i="11" s="1"/>
  <c r="C5" i="11"/>
  <c r="CE41" i="9"/>
  <c r="CE49" i="9"/>
  <c r="CE57" i="9"/>
  <c r="CE54" i="9"/>
  <c r="CE53" i="9"/>
  <c r="CE48" i="9"/>
  <c r="CE51" i="9"/>
  <c r="CE52" i="9"/>
  <c r="CF52" i="9"/>
  <c r="CE55" i="9"/>
  <c r="CF55" i="9"/>
  <c r="CE56" i="9"/>
  <c r="CJ12" i="13"/>
  <c r="CJ23" i="13"/>
  <c r="BJ45" i="9"/>
  <c r="CE24" i="9"/>
  <c r="CO52" i="14"/>
  <c r="CO57" i="14"/>
  <c r="CO56" i="14"/>
  <c r="CO50" i="14"/>
  <c r="BC45" i="13"/>
  <c r="CJ15" i="13"/>
  <c r="CE11" i="9"/>
  <c r="BJ45" i="15"/>
  <c r="CO33" i="14"/>
  <c r="CA19" i="10"/>
  <c r="BR45" i="14"/>
  <c r="BV9" i="10"/>
  <c r="BW9" i="10"/>
  <c r="BC13" i="10"/>
  <c r="C2" i="11"/>
  <c r="C6" i="11" s="1"/>
  <c r="CJ31" i="13"/>
  <c r="BC13" i="14"/>
  <c r="CO6" i="14"/>
  <c r="CO8" i="14"/>
  <c r="BV12" i="10"/>
  <c r="BV10" i="10"/>
  <c r="BJ58" i="14"/>
  <c r="CE46" i="9"/>
  <c r="CF46" i="9"/>
  <c r="CF47" i="9"/>
  <c r="CE47" i="9"/>
  <c r="D10" i="11"/>
  <c r="E10" i="11" s="1"/>
  <c r="CE7" i="9"/>
  <c r="B9" i="11"/>
  <c r="CE39" i="9"/>
  <c r="CE40" i="9"/>
  <c r="CE28" i="9"/>
  <c r="CE44" i="9"/>
  <c r="BV6" i="10"/>
  <c r="CE10" i="9"/>
  <c r="BC45" i="9"/>
  <c r="CJ27" i="13"/>
  <c r="CJ41" i="13"/>
  <c r="CJ46" i="13"/>
  <c r="CJ47" i="13"/>
  <c r="D16" i="11"/>
  <c r="E16" i="11" s="1"/>
  <c r="CO42" i="14"/>
  <c r="CP42" i="14"/>
  <c r="CO48" i="14"/>
  <c r="CO49" i="14"/>
  <c r="CO54" i="14"/>
  <c r="CE20" i="9"/>
  <c r="BV52" i="10"/>
  <c r="CE5" i="9"/>
  <c r="BC13" i="9"/>
  <c r="CE8" i="9"/>
  <c r="CJ10" i="13"/>
  <c r="CJ42" i="13"/>
  <c r="CJ56" i="13"/>
  <c r="CJ50" i="13"/>
  <c r="CK50" i="13"/>
  <c r="CJ52" i="13"/>
  <c r="CJ55" i="13"/>
  <c r="BJ13" i="15"/>
  <c r="CJ53" i="13"/>
  <c r="CO28" i="14"/>
  <c r="CP28" i="14"/>
  <c r="CO44" i="14"/>
  <c r="CO39" i="14"/>
  <c r="BV8" i="10"/>
  <c r="BV13" i="10"/>
  <c r="BC45" i="10"/>
  <c r="C3" i="11"/>
  <c r="CJ19" i="9"/>
  <c r="CJ11" i="13"/>
  <c r="CJ21" i="13"/>
  <c r="BC45" i="15"/>
  <c r="BJ13" i="14"/>
  <c r="BJ45" i="14"/>
  <c r="BN13" i="15"/>
  <c r="BN59" i="15"/>
  <c r="CE9" i="9"/>
  <c r="CO9" i="14"/>
  <c r="BV11" i="10"/>
  <c r="BW11" i="10"/>
  <c r="BV30" i="10"/>
  <c r="BJ13" i="13"/>
  <c r="BJ59" i="13"/>
  <c r="BC13" i="13"/>
  <c r="CO5" i="14"/>
  <c r="CJ54" i="13"/>
  <c r="B2" i="11"/>
  <c r="CJ26" i="13"/>
  <c r="CO19" i="13"/>
  <c r="CJ40" i="13"/>
  <c r="CJ16" i="13"/>
  <c r="CK16" i="13"/>
  <c r="CJ22" i="13"/>
  <c r="CE16" i="9"/>
  <c r="CE23" i="9"/>
  <c r="CJ37" i="13"/>
  <c r="CJ5" i="13"/>
  <c r="CO41" i="14"/>
  <c r="DA33" i="17"/>
  <c r="CL44" i="13"/>
  <c r="BJ59" i="15"/>
  <c r="CO17" i="14"/>
  <c r="CO38" i="14"/>
  <c r="CO16" i="14"/>
  <c r="CO29" i="14"/>
  <c r="CO30" i="14"/>
  <c r="CO37" i="14"/>
  <c r="CO40" i="14"/>
  <c r="CO34" i="14"/>
  <c r="CO15" i="14"/>
  <c r="CO26" i="14"/>
  <c r="CO22" i="14"/>
  <c r="CO25" i="14"/>
  <c r="CE42" i="9"/>
  <c r="CE35" i="9"/>
  <c r="CE31" i="9"/>
  <c r="CE38" i="9"/>
  <c r="CE21" i="9"/>
  <c r="CE27" i="9"/>
  <c r="CE15" i="9"/>
  <c r="CE29" i="9"/>
  <c r="CO23" i="14"/>
  <c r="CO20" i="14"/>
  <c r="CO43" i="14"/>
  <c r="CO31" i="14"/>
  <c r="CJ25" i="13"/>
  <c r="CJ38" i="13"/>
  <c r="CJ20" i="13"/>
  <c r="CJ28" i="13"/>
  <c r="CE17" i="9"/>
  <c r="CJ24" i="13"/>
  <c r="BV37" i="10"/>
  <c r="BV25" i="10"/>
  <c r="BV20" i="10"/>
  <c r="CO27" i="14"/>
  <c r="CO21" i="14"/>
  <c r="CE34" i="9"/>
  <c r="CO25" i="15"/>
  <c r="BN47" i="19"/>
  <c r="BN58" i="19"/>
  <c r="CS51" i="19"/>
  <c r="W59" i="19"/>
  <c r="BR45" i="19"/>
  <c r="I59" i="19"/>
  <c r="Y59" i="19"/>
  <c r="BN13" i="19"/>
  <c r="BS45" i="19"/>
  <c r="BR58" i="19"/>
  <c r="BR59" i="19"/>
  <c r="BJ58" i="19"/>
  <c r="BR13" i="19"/>
  <c r="X59" i="19"/>
  <c r="BC13" i="19"/>
  <c r="BJ13" i="19"/>
  <c r="AL59" i="19"/>
  <c r="BB59" i="19"/>
  <c r="BL59" i="19"/>
  <c r="BP59" i="19"/>
  <c r="BT59" i="19"/>
  <c r="BC45" i="19"/>
  <c r="BR58" i="18"/>
  <c r="BJ58" i="18"/>
  <c r="BJ59" i="18"/>
  <c r="BC45" i="18"/>
  <c r="BJ13" i="18"/>
  <c r="BN58" i="18"/>
  <c r="D59" i="18"/>
  <c r="X59" i="18"/>
  <c r="AF59" i="18"/>
  <c r="AJ59" i="18"/>
  <c r="AV59" i="18"/>
  <c r="BC58" i="18"/>
  <c r="BC59" i="18"/>
  <c r="BH59" i="18"/>
  <c r="BL59" i="18"/>
  <c r="BR45" i="18"/>
  <c r="BN13" i="18"/>
  <c r="BC13" i="18"/>
  <c r="CW35" i="18"/>
  <c r="BN47" i="18"/>
  <c r="BN59" i="18"/>
  <c r="Q59" i="18"/>
  <c r="AC59" i="18"/>
  <c r="AG59" i="18"/>
  <c r="AO59" i="18"/>
  <c r="AW59" i="18"/>
  <c r="BJ45" i="18"/>
  <c r="F59" i="18"/>
  <c r="N59" i="18"/>
  <c r="V59" i="18"/>
  <c r="Z59" i="18"/>
  <c r="AD59" i="18"/>
  <c r="AT59" i="18"/>
  <c r="BN45" i="18"/>
  <c r="BS45" i="18"/>
  <c r="W59" i="18"/>
  <c r="AE59" i="18"/>
  <c r="AI59" i="18"/>
  <c r="AU59" i="18"/>
  <c r="AY59" i="18"/>
  <c r="BM59" i="18"/>
  <c r="BX59" i="15"/>
  <c r="CY59" i="15"/>
  <c r="CB59" i="19"/>
  <c r="CF59" i="18"/>
  <c r="BR58" i="20"/>
  <c r="BN13" i="20"/>
  <c r="W59" i="20"/>
  <c r="CB59" i="20"/>
  <c r="AF59" i="20"/>
  <c r="BS45" i="20"/>
  <c r="BG58" i="20"/>
  <c r="BP59" i="20"/>
  <c r="CC59" i="20"/>
  <c r="BO59" i="20"/>
  <c r="D59" i="20"/>
  <c r="DE19" i="20"/>
  <c r="BC13" i="20"/>
  <c r="BR13" i="20"/>
  <c r="BE59" i="20"/>
  <c r="BJ13" i="20"/>
  <c r="AG59" i="20"/>
  <c r="AO59" i="20"/>
  <c r="AW59" i="20"/>
  <c r="BC45" i="20"/>
  <c r="BJ45" i="20"/>
  <c r="BJ59" i="20"/>
  <c r="BN45" i="20"/>
  <c r="BJ58" i="20"/>
  <c r="BR45" i="20"/>
  <c r="BC58" i="20"/>
  <c r="B40" i="11"/>
  <c r="B41" i="11"/>
  <c r="B39" i="11"/>
  <c r="B28" i="11"/>
  <c r="DD40" i="18"/>
  <c r="DD55" i="18"/>
  <c r="DH55" i="18" s="1"/>
  <c r="CT56" i="15"/>
  <c r="CX56" i="15" s="1"/>
  <c r="DA53" i="19"/>
  <c r="DA50" i="19"/>
  <c r="CV38" i="15"/>
  <c r="BW48" i="10"/>
  <c r="BW24" i="10"/>
  <c r="BX24" i="10"/>
  <c r="CE37" i="9"/>
  <c r="CJ29" i="13"/>
  <c r="BV39" i="10"/>
  <c r="BV19" i="10"/>
  <c r="B15" i="11"/>
  <c r="H15" i="11" s="1"/>
  <c r="CJ34" i="13"/>
  <c r="CJ44" i="13"/>
  <c r="BN13" i="14"/>
  <c r="BN45" i="19"/>
  <c r="BN59" i="19"/>
  <c r="BI45" i="19"/>
  <c r="CS25" i="19"/>
  <c r="DA51" i="17"/>
  <c r="DA35" i="17"/>
  <c r="BJ47" i="20"/>
  <c r="DE26" i="20"/>
  <c r="BN58" i="20"/>
  <c r="BN47" i="20"/>
  <c r="BN59" i="20"/>
  <c r="DE51" i="20"/>
  <c r="BR47" i="20"/>
  <c r="BR59" i="20"/>
  <c r="BC47" i="20"/>
  <c r="BW47" i="19"/>
  <c r="CQ48" i="14"/>
  <c r="CP48" i="14"/>
  <c r="BM59" i="19"/>
  <c r="CW33" i="18"/>
  <c r="BG45" i="18"/>
  <c r="CP39" i="14"/>
  <c r="BX59" i="20"/>
  <c r="BX34" i="10"/>
  <c r="CF43" i="9"/>
  <c r="CL19" i="13"/>
  <c r="CG42" i="9"/>
  <c r="BX17" i="10"/>
  <c r="BW17" i="10"/>
  <c r="CP40" i="14"/>
  <c r="BW40" i="10"/>
  <c r="CG19" i="13"/>
  <c r="U59" i="18"/>
  <c r="CQ49" i="14"/>
  <c r="CP49" i="14"/>
  <c r="K59" i="17"/>
  <c r="U59" i="19"/>
  <c r="CK46" i="13"/>
  <c r="CK47" i="13"/>
  <c r="DA25" i="17"/>
  <c r="CG59" i="18"/>
  <c r="BW16" i="10"/>
  <c r="BW27" i="10"/>
  <c r="BX16" i="10"/>
  <c r="CG31" i="9"/>
  <c r="CF22" i="9"/>
  <c r="CG22" i="9"/>
  <c r="CP41" i="14"/>
  <c r="CQ40" i="14"/>
  <c r="CQ41" i="14"/>
  <c r="D2" i="11"/>
  <c r="E2" i="11" s="1"/>
  <c r="AH59" i="17"/>
  <c r="DE25" i="20"/>
  <c r="CK37" i="13"/>
  <c r="BX8" i="10"/>
  <c r="CO19" i="14"/>
  <c r="BG45" i="14"/>
  <c r="CK19" i="14"/>
  <c r="CP38" i="14"/>
  <c r="C9" i="11"/>
  <c r="BJ59" i="9"/>
  <c r="CG33" i="13"/>
  <c r="CJ33" i="13"/>
  <c r="BH59" i="14"/>
  <c r="BX43" i="10"/>
  <c r="CG30" i="9"/>
  <c r="CL11" i="13"/>
  <c r="CJ59" i="17"/>
  <c r="AY59" i="19"/>
  <c r="BJ59" i="14"/>
  <c r="CG12" i="9"/>
  <c r="CN19" i="13"/>
  <c r="AJ59" i="19"/>
  <c r="BK59" i="20"/>
  <c r="CL16" i="13"/>
  <c r="AK59" i="19"/>
  <c r="BL59" i="20"/>
  <c r="CK41" i="13"/>
  <c r="BX12" i="10"/>
  <c r="CF11" i="9"/>
  <c r="BI59" i="15"/>
  <c r="O59" i="17"/>
  <c r="N59" i="20"/>
  <c r="AD59" i="20"/>
  <c r="CO26" i="15"/>
  <c r="V59" i="17"/>
  <c r="F59" i="17"/>
  <c r="CP44" i="14"/>
  <c r="CQ28" i="14"/>
  <c r="CQ29" i="14"/>
  <c r="CP56" i="14"/>
  <c r="CE19" i="9"/>
  <c r="BR59" i="18"/>
  <c r="BT59" i="17"/>
  <c r="DI13" i="18"/>
  <c r="CF59" i="17"/>
  <c r="CG53" i="9"/>
  <c r="I59" i="20"/>
  <c r="CK57" i="13"/>
  <c r="CP7" i="14"/>
  <c r="AQ59" i="17"/>
  <c r="BO59" i="14"/>
  <c r="BQ59" i="17"/>
  <c r="K59" i="19"/>
  <c r="BX59" i="19"/>
  <c r="BX37" i="10"/>
  <c r="BX6" i="10"/>
  <c r="Z59" i="17"/>
  <c r="N59" i="17"/>
  <c r="CB59" i="18"/>
  <c r="M59" i="19"/>
  <c r="CO59" i="20"/>
  <c r="BC59" i="15"/>
  <c r="CL17" i="13"/>
  <c r="CL26" i="13"/>
  <c r="CL48" i="13"/>
  <c r="CQ10" i="14"/>
  <c r="CQ57" i="14"/>
  <c r="BL59" i="17"/>
  <c r="AK59" i="17"/>
  <c r="BM59" i="15"/>
  <c r="CK35" i="14"/>
  <c r="CQ35" i="14"/>
  <c r="AJ59" i="17"/>
  <c r="AV59" i="17"/>
  <c r="AI59" i="17"/>
  <c r="DE29" i="20"/>
  <c r="CT40" i="15"/>
  <c r="CX40" i="15" s="1"/>
  <c r="BX52" i="10"/>
  <c r="BW52" i="10"/>
  <c r="CF35" i="9"/>
  <c r="BW53" i="10"/>
  <c r="BX53" i="10"/>
  <c r="BX58" i="10"/>
  <c r="F5" i="11"/>
  <c r="CU43" i="15"/>
  <c r="CK24" i="13"/>
  <c r="CL24" i="13"/>
  <c r="CQ25" i="14"/>
  <c r="CU30" i="15"/>
  <c r="CU29" i="15"/>
  <c r="CP19" i="14"/>
  <c r="CO45" i="14"/>
  <c r="D21" i="11"/>
  <c r="E21" i="11" s="1"/>
  <c r="BW57" i="10"/>
  <c r="CG44" i="9"/>
  <c r="CF44" i="9"/>
  <c r="CK9" i="13"/>
  <c r="CL9" i="13"/>
  <c r="CK10" i="13"/>
  <c r="CL10" i="13"/>
  <c r="CK11" i="13"/>
  <c r="CP50" i="14"/>
  <c r="CP58" i="14"/>
  <c r="CQ50" i="14"/>
  <c r="CQ58" i="14"/>
  <c r="F23" i="11"/>
  <c r="DJ50" i="17"/>
  <c r="CZ39" i="19"/>
  <c r="CZ53" i="19"/>
  <c r="D3" i="11"/>
  <c r="E3" i="11" s="1"/>
  <c r="CG57" i="9"/>
  <c r="CF57" i="9"/>
  <c r="DE29" i="18"/>
  <c r="CZ5" i="19"/>
  <c r="CZ16" i="19"/>
  <c r="CZ44" i="19"/>
  <c r="CZ48" i="19"/>
  <c r="CG10" i="9"/>
  <c r="CF10" i="9"/>
  <c r="CU42" i="15"/>
  <c r="CG17" i="9"/>
  <c r="CF17" i="9"/>
  <c r="CI19" i="9"/>
  <c r="CH19" i="9"/>
  <c r="CG20" i="9"/>
  <c r="CG23" i="9"/>
  <c r="CF23" i="9"/>
  <c r="CF27" i="9"/>
  <c r="CG27" i="9"/>
  <c r="CF29" i="9"/>
  <c r="CG29" i="9"/>
  <c r="CP25" i="14"/>
  <c r="AZ59" i="20"/>
  <c r="CU55" i="15"/>
  <c r="BW10" i="10"/>
  <c r="BX10" i="10"/>
  <c r="CG16" i="9"/>
  <c r="CF16" i="9"/>
  <c r="CG26" i="9"/>
  <c r="CF26" i="9"/>
  <c r="CG28" i="9"/>
  <c r="CQ17" i="14"/>
  <c r="CP17" i="14"/>
  <c r="CU19" i="15"/>
  <c r="DE43" i="18"/>
  <c r="DE55" i="18"/>
  <c r="DE56" i="18"/>
  <c r="CZ26" i="19"/>
  <c r="CZ40" i="19"/>
  <c r="CZ41" i="19"/>
  <c r="CK25" i="13"/>
  <c r="BX51" i="10"/>
  <c r="BW51" i="10"/>
  <c r="CG15" i="9"/>
  <c r="CF15" i="9"/>
  <c r="CG41" i="9"/>
  <c r="CF41" i="9"/>
  <c r="CQ20" i="14"/>
  <c r="CP20" i="14"/>
  <c r="CU20" i="15"/>
  <c r="BX55" i="10"/>
  <c r="CJ35" i="13"/>
  <c r="CK35" i="13"/>
  <c r="BG45" i="13"/>
  <c r="BG59" i="13"/>
  <c r="BW41" i="10"/>
  <c r="BX41" i="10"/>
  <c r="BW55" i="10"/>
  <c r="CQ22" i="14"/>
  <c r="CQ46" i="14"/>
  <c r="CQ47" i="14"/>
  <c r="F22" i="11"/>
  <c r="CP46" i="14"/>
  <c r="CP47" i="14"/>
  <c r="E22" i="11"/>
  <c r="DE11" i="18"/>
  <c r="DE40" i="18"/>
  <c r="O59" i="19"/>
  <c r="CZ54" i="19"/>
  <c r="CP21" i="14"/>
  <c r="CP23" i="14"/>
  <c r="CK23" i="13"/>
  <c r="BX54" i="10"/>
  <c r="CG35" i="9"/>
  <c r="CF40" i="9"/>
  <c r="CG40" i="9"/>
  <c r="CQ5" i="14"/>
  <c r="CQ13" i="14"/>
  <c r="CP5" i="14"/>
  <c r="CP13" i="14"/>
  <c r="CU7" i="15"/>
  <c r="CX7" i="15" s="1"/>
  <c r="DJ41" i="17"/>
  <c r="CZ6" i="19"/>
  <c r="CP27" i="14"/>
  <c r="CK12" i="13"/>
  <c r="BW44" i="10"/>
  <c r="BX35" i="10"/>
  <c r="BW35" i="10"/>
  <c r="BY19" i="10"/>
  <c r="BZ19" i="10"/>
  <c r="BX19" i="10"/>
  <c r="CG24" i="9"/>
  <c r="CF24" i="9"/>
  <c r="CG38" i="9"/>
  <c r="CK54" i="13"/>
  <c r="CL54" i="13"/>
  <c r="CQ11" i="14"/>
  <c r="CP11" i="14"/>
  <c r="CQ12" i="14"/>
  <c r="CP12" i="14"/>
  <c r="CP24" i="14"/>
  <c r="DJ5" i="17"/>
  <c r="DJ35" i="17"/>
  <c r="DJ46" i="17"/>
  <c r="DJ47" i="17" s="1"/>
  <c r="CF49" i="9"/>
  <c r="BR59" i="14"/>
  <c r="C21" i="11"/>
  <c r="CF56" i="9"/>
  <c r="BX5" i="10"/>
  <c r="BW5" i="10"/>
  <c r="CL38" i="13"/>
  <c r="CL39" i="13"/>
  <c r="CL53" i="13"/>
  <c r="CU24" i="15"/>
  <c r="DJ17" i="17"/>
  <c r="DA26" i="17"/>
  <c r="BG45" i="17"/>
  <c r="BG59" i="17"/>
  <c r="BV47" i="10"/>
  <c r="D4" i="11"/>
  <c r="BW46" i="10"/>
  <c r="BW47" i="10"/>
  <c r="BX56" i="10"/>
  <c r="CL52" i="13"/>
  <c r="CK52" i="13"/>
  <c r="CU25" i="15"/>
  <c r="CE25" i="9"/>
  <c r="CE45" i="9"/>
  <c r="D9" i="11"/>
  <c r="E9" i="11" s="1"/>
  <c r="CC25" i="9"/>
  <c r="CG25" i="9"/>
  <c r="BG45" i="9"/>
  <c r="BG59" i="9"/>
  <c r="CF39" i="9"/>
  <c r="BW21" i="10"/>
  <c r="BG59" i="14"/>
  <c r="CL34" i="13"/>
  <c r="CL51" i="13"/>
  <c r="CU23" i="15"/>
  <c r="CU26" i="15"/>
  <c r="CU54" i="15"/>
  <c r="CF9" i="9"/>
  <c r="BX28" i="10"/>
  <c r="CL27" i="13"/>
  <c r="CK27" i="13"/>
  <c r="CL28" i="13"/>
  <c r="CK29" i="13"/>
  <c r="CL29" i="13"/>
  <c r="CL31" i="13"/>
  <c r="CK33" i="13"/>
  <c r="CL50" i="13"/>
  <c r="CU27" i="15"/>
  <c r="CF31" i="9"/>
  <c r="CK26" i="13"/>
  <c r="CL49" i="13"/>
  <c r="CL58" i="13"/>
  <c r="F17" i="11"/>
  <c r="CU28" i="15"/>
  <c r="CU41" i="15"/>
  <c r="CF6" i="9"/>
  <c r="CG6" i="9"/>
  <c r="CF42" i="9"/>
  <c r="CF20" i="9"/>
  <c r="CF7" i="9"/>
  <c r="CE13" i="9"/>
  <c r="CP33" i="14"/>
  <c r="BW22" i="10"/>
  <c r="BX21" i="10"/>
  <c r="CG8" i="9"/>
  <c r="CF8" i="9"/>
  <c r="CG37" i="9"/>
  <c r="CG55" i="9"/>
  <c r="CK6" i="13"/>
  <c r="CK13" i="13"/>
  <c r="CL6" i="13"/>
  <c r="CL7" i="13"/>
  <c r="CK7" i="13"/>
  <c r="CP30" i="14"/>
  <c r="CU11" i="15"/>
  <c r="CU17" i="15"/>
  <c r="CU44" i="15"/>
  <c r="DJ56" i="17"/>
  <c r="BG59" i="18"/>
  <c r="DE57" i="18"/>
  <c r="DE35" i="20"/>
  <c r="BI45" i="20"/>
  <c r="BI59" i="20"/>
  <c r="AN59" i="20"/>
  <c r="CK28" i="13"/>
  <c r="CP54" i="14"/>
  <c r="CE58" i="9"/>
  <c r="D11" i="11"/>
  <c r="E11" i="11" s="1"/>
  <c r="CF48" i="9"/>
  <c r="BX22" i="10"/>
  <c r="BW6" i="10"/>
  <c r="CG7" i="9"/>
  <c r="CG13" i="9"/>
  <c r="CL5" i="13"/>
  <c r="CL42" i="13"/>
  <c r="CL43" i="13"/>
  <c r="AF59" i="17"/>
  <c r="DE44" i="18"/>
  <c r="CZ7" i="19"/>
  <c r="BH59" i="19"/>
  <c r="AL59" i="20"/>
  <c r="J59" i="20"/>
  <c r="BC59" i="20"/>
  <c r="CK20" i="13"/>
  <c r="BW30" i="10"/>
  <c r="BW33" i="10"/>
  <c r="BX33" i="10"/>
  <c r="CF53" i="9"/>
  <c r="CL22" i="13"/>
  <c r="CK22" i="13"/>
  <c r="CL41" i="13"/>
  <c r="CQ34" i="14"/>
  <c r="CU46" i="15"/>
  <c r="CU47" i="15" s="1"/>
  <c r="CU5" i="15"/>
  <c r="DJ15" i="17"/>
  <c r="DJ44" i="17"/>
  <c r="DJ53" i="17"/>
  <c r="DE6" i="18"/>
  <c r="DE9" i="18"/>
  <c r="CZ19" i="19"/>
  <c r="BX59" i="18"/>
  <c r="CF28" i="9"/>
  <c r="CK44" i="13"/>
  <c r="CK38" i="13"/>
  <c r="CP26" i="14"/>
  <c r="CO58" i="14"/>
  <c r="D23" i="11"/>
  <c r="CK15" i="13"/>
  <c r="CF54" i="9"/>
  <c r="BX23" i="10"/>
  <c r="CG34" i="9"/>
  <c r="CG33" i="9"/>
  <c r="CM19" i="13"/>
  <c r="CK19" i="13"/>
  <c r="CL40" i="13"/>
  <c r="CK40" i="13"/>
  <c r="CK42" i="13"/>
  <c r="CQ8" i="14"/>
  <c r="CP8" i="14"/>
  <c r="CQ26" i="14"/>
  <c r="CQ53" i="14"/>
  <c r="CQ54" i="14"/>
  <c r="CQ55" i="14"/>
  <c r="AA59" i="20"/>
  <c r="CJ13" i="13"/>
  <c r="CP9" i="14"/>
  <c r="CK53" i="13"/>
  <c r="BX49" i="10"/>
  <c r="BW34" i="10"/>
  <c r="BW7" i="10"/>
  <c r="BX7" i="10"/>
  <c r="CG51" i="9"/>
  <c r="CL37" i="13"/>
  <c r="CK39" i="13"/>
  <c r="CQ15" i="14"/>
  <c r="CP15" i="14"/>
  <c r="CQ23" i="14"/>
  <c r="CP37" i="14"/>
  <c r="CQ51" i="14"/>
  <c r="CP51" i="14"/>
  <c r="CQ52" i="14"/>
  <c r="CP52" i="14"/>
  <c r="BN59" i="13"/>
  <c r="C17" i="11"/>
  <c r="DJ9" i="17"/>
  <c r="DJ29" i="17"/>
  <c r="DJ40" i="17"/>
  <c r="DJ43" i="17"/>
  <c r="AS59" i="17"/>
  <c r="AD59" i="17"/>
  <c r="CZ8" i="19"/>
  <c r="AS59" i="19"/>
  <c r="CK21" i="13"/>
  <c r="CP31" i="14"/>
  <c r="BW25" i="10"/>
  <c r="CL35" i="13"/>
  <c r="CU8" i="15"/>
  <c r="DJ16" i="17"/>
  <c r="AR59" i="17"/>
  <c r="DE49" i="18"/>
  <c r="AD59" i="19"/>
  <c r="M59" i="20"/>
  <c r="CP43" i="14"/>
  <c r="BX50" i="10"/>
  <c r="CL12" i="13"/>
  <c r="CL15" i="13"/>
  <c r="CK34" i="13"/>
  <c r="CL56" i="13"/>
  <c r="CK56" i="13"/>
  <c r="CR19" i="14"/>
  <c r="CQ19" i="14"/>
  <c r="CS19" i="14"/>
  <c r="BR59" i="15"/>
  <c r="DJ10" i="17"/>
  <c r="DJ21" i="17"/>
  <c r="DJ25" i="17"/>
  <c r="DJ39" i="17"/>
  <c r="DJ42" i="17"/>
  <c r="DJ54" i="17"/>
  <c r="CZ42" i="19"/>
  <c r="CZ52" i="19"/>
  <c r="DJ8" i="17"/>
  <c r="CK43" i="13"/>
  <c r="BX9" i="10"/>
  <c r="CL55" i="13"/>
  <c r="CQ42" i="14"/>
  <c r="CQ43" i="14"/>
  <c r="CC19" i="9"/>
  <c r="CF19" i="9"/>
  <c r="CO13" i="14"/>
  <c r="DJ30" i="17"/>
  <c r="BC59" i="17"/>
  <c r="CZ9" i="19"/>
  <c r="CZ15" i="19"/>
  <c r="AF59" i="19"/>
  <c r="BW20" i="10"/>
  <c r="BW38" i="10"/>
  <c r="BX57" i="10"/>
  <c r="CG43" i="9"/>
  <c r="CU35" i="15"/>
  <c r="CU48" i="15"/>
  <c r="CG51" i="13"/>
  <c r="DJ22" i="17"/>
  <c r="DJ31" i="17"/>
  <c r="DJ37" i="17"/>
  <c r="BJ59" i="17"/>
  <c r="DJ55" i="17"/>
  <c r="DE41" i="18"/>
  <c r="DE54" i="18"/>
  <c r="AS59" i="18"/>
  <c r="DI58" i="18"/>
  <c r="CZ23" i="19"/>
  <c r="CZ27" i="19"/>
  <c r="CZ35" i="19"/>
  <c r="AT59" i="20"/>
  <c r="BW37" i="10"/>
  <c r="BX26" i="10"/>
  <c r="CU9" i="15"/>
  <c r="CJ51" i="13"/>
  <c r="DE7" i="18"/>
  <c r="BW19" i="10"/>
  <c r="BW45" i="10"/>
  <c r="BW56" i="10"/>
  <c r="CF21" i="9"/>
  <c r="CG21" i="9"/>
  <c r="CQ39" i="14"/>
  <c r="CU37" i="15"/>
  <c r="CU49" i="15"/>
  <c r="BI59" i="14"/>
  <c r="DJ12" i="17"/>
  <c r="X59" i="17"/>
  <c r="DE10" i="18"/>
  <c r="BW39" i="10"/>
  <c r="CU10" i="15"/>
  <c r="CU50" i="15"/>
  <c r="DJ27" i="17"/>
  <c r="H59" i="17"/>
  <c r="CF38" i="9"/>
  <c r="BW28" i="10"/>
  <c r="BX15" i="10"/>
  <c r="CU38" i="15"/>
  <c r="CU51" i="15"/>
  <c r="BK59" i="15"/>
  <c r="DJ23" i="17"/>
  <c r="DE17" i="18"/>
  <c r="BS59" i="19"/>
  <c r="CZ24" i="19"/>
  <c r="CZ28" i="19"/>
  <c r="CZ51" i="19"/>
  <c r="BW50" i="10"/>
  <c r="BW58" i="10"/>
  <c r="E5" i="11"/>
  <c r="CL30" i="13"/>
  <c r="CQ27" i="14"/>
  <c r="CU52" i="15"/>
  <c r="DJ33" i="17"/>
  <c r="DE42" i="18"/>
  <c r="DI45" i="18"/>
  <c r="DE46" i="18"/>
  <c r="DE47" i="18" s="1"/>
  <c r="CZ56" i="19"/>
  <c r="BY59" i="15"/>
  <c r="CF50" i="9"/>
  <c r="CU12" i="15"/>
  <c r="CU39" i="15"/>
  <c r="CU53" i="15"/>
  <c r="BK59" i="13"/>
  <c r="CC35" i="9"/>
  <c r="DJ28" i="17"/>
  <c r="DJ49" i="17"/>
  <c r="DJ57" i="17"/>
  <c r="DE5" i="18"/>
  <c r="DE35" i="18"/>
  <c r="CZ20" i="19"/>
  <c r="AQ59" i="19"/>
  <c r="BF59" i="19"/>
  <c r="AJ59" i="20"/>
  <c r="CU15" i="15"/>
  <c r="DJ24" i="17"/>
  <c r="DE21" i="18"/>
  <c r="AZ59" i="18"/>
  <c r="BU59" i="18"/>
  <c r="CZ33" i="19"/>
  <c r="N59" i="19"/>
  <c r="AC59" i="19"/>
  <c r="BA59" i="20"/>
  <c r="CP29" i="14"/>
  <c r="BW54" i="10"/>
  <c r="BX25" i="10"/>
  <c r="CF5" i="9"/>
  <c r="CU40" i="15"/>
  <c r="BI59" i="13"/>
  <c r="CC59" i="17"/>
  <c r="BM59" i="17"/>
  <c r="CW51" i="18"/>
  <c r="DE51" i="18"/>
  <c r="CZ10" i="19"/>
  <c r="CZ37" i="19"/>
  <c r="J59" i="19"/>
  <c r="BC59" i="19"/>
  <c r="AP59" i="19"/>
  <c r="BE59" i="19"/>
  <c r="T59" i="20"/>
  <c r="CU21" i="15"/>
  <c r="CU33" i="15"/>
  <c r="CU56" i="15"/>
  <c r="BI45" i="17"/>
  <c r="BI59" i="17"/>
  <c r="DA19" i="17"/>
  <c r="DE15" i="18"/>
  <c r="DE52" i="18"/>
  <c r="CZ12" i="19"/>
  <c r="BY59" i="18"/>
  <c r="DO31" i="20"/>
  <c r="CU22" i="15"/>
  <c r="P59" i="17"/>
  <c r="DE33" i="18"/>
  <c r="DE37" i="18"/>
  <c r="CZ29" i="19"/>
  <c r="CZ34" i="19"/>
  <c r="AU59" i="19"/>
  <c r="CZ50" i="19"/>
  <c r="AH59" i="19"/>
  <c r="AV59" i="19"/>
  <c r="CU57" i="15"/>
  <c r="DJ19" i="17"/>
  <c r="DJ48" i="17"/>
  <c r="DJ51" i="17"/>
  <c r="AK59" i="18"/>
  <c r="DI59" i="18"/>
  <c r="BS59" i="18"/>
  <c r="CZ17" i="19"/>
  <c r="AG59" i="19"/>
  <c r="AS59" i="20"/>
  <c r="I59" i="17"/>
  <c r="BB59" i="17"/>
  <c r="AP59" i="17"/>
  <c r="AB59" i="17"/>
  <c r="DE12" i="18"/>
  <c r="DE30" i="18"/>
  <c r="DE50" i="18"/>
  <c r="BT59" i="18"/>
  <c r="CZ30" i="19"/>
  <c r="F59" i="19"/>
  <c r="DJ52" i="17"/>
  <c r="W59" i="17"/>
  <c r="DE19" i="18"/>
  <c r="S59" i="18"/>
  <c r="G59" i="18"/>
  <c r="AM59" i="18"/>
  <c r="G59" i="17"/>
  <c r="DE34" i="18"/>
  <c r="T59" i="18"/>
  <c r="DE53" i="18"/>
  <c r="H59" i="18"/>
  <c r="AN59" i="18"/>
  <c r="CS19" i="19"/>
  <c r="BG45" i="19"/>
  <c r="BG59" i="19"/>
  <c r="CS35" i="19"/>
  <c r="O59" i="20"/>
  <c r="AC59" i="20"/>
  <c r="DJ34" i="17"/>
  <c r="DE16" i="18"/>
  <c r="BI45" i="18"/>
  <c r="BI59" i="18"/>
  <c r="CW25" i="18"/>
  <c r="E59" i="18"/>
  <c r="I59" i="18"/>
  <c r="CZ55" i="19"/>
  <c r="BG45" i="20"/>
  <c r="BG59" i="20"/>
  <c r="CU31" i="15"/>
  <c r="F8" i="11"/>
  <c r="CQ45" i="14"/>
  <c r="F21" i="11"/>
  <c r="CG19" i="9"/>
  <c r="BV59" i="10"/>
  <c r="CK45" i="13"/>
  <c r="CK59" i="13"/>
  <c r="DE25" i="18"/>
  <c r="CL45" i="13"/>
  <c r="F15" i="11"/>
  <c r="CJ45" i="13"/>
  <c r="D15" i="11"/>
  <c r="E15" i="11" s="1"/>
  <c r="D14" i="11"/>
  <c r="E14" i="11" s="1"/>
  <c r="BX45" i="10"/>
  <c r="F3" i="11"/>
  <c r="CF25" i="9"/>
  <c r="CF45" i="9"/>
  <c r="CF13" i="9"/>
  <c r="CO59" i="14"/>
  <c r="D20" i="11"/>
  <c r="E20" i="11" s="1"/>
  <c r="CG58" i="9"/>
  <c r="F11" i="11"/>
  <c r="E23" i="11"/>
  <c r="D8" i="11"/>
  <c r="E8" i="11" s="1"/>
  <c r="CE59" i="9"/>
  <c r="E4" i="11"/>
  <c r="BW13" i="10"/>
  <c r="CK51" i="13"/>
  <c r="CK58" i="13"/>
  <c r="CJ58" i="13"/>
  <c r="D17" i="11"/>
  <c r="E17" i="11" s="1"/>
  <c r="BX13" i="10"/>
  <c r="CQ59" i="14"/>
  <c r="F20" i="11"/>
  <c r="CF58" i="9"/>
  <c r="CP45" i="14"/>
  <c r="CG45" i="9"/>
  <c r="F9" i="11"/>
  <c r="DJ26" i="17"/>
  <c r="CL13" i="13"/>
  <c r="CL59" i="13"/>
  <c r="F14" i="11"/>
  <c r="F2" i="11"/>
  <c r="BX59" i="10"/>
  <c r="CP59" i="14"/>
  <c r="CF59" i="9"/>
  <c r="CJ59" i="13"/>
  <c r="BW59" i="10"/>
  <c r="CG59" i="9"/>
  <c r="B45" i="11"/>
  <c r="DA39" i="19"/>
  <c r="DD48" i="18"/>
  <c r="DH48" i="18" s="1"/>
  <c r="CT57" i="15"/>
  <c r="CV53" i="15"/>
  <c r="CT48" i="15"/>
  <c r="CX48" i="15" s="1"/>
  <c r="CV57" i="15"/>
  <c r="CT50" i="15"/>
  <c r="CX50" i="15" s="1"/>
  <c r="CT53" i="15"/>
  <c r="CX53" i="15"/>
  <c r="CT49" i="15"/>
  <c r="CX49" i="15" s="1"/>
  <c r="CV56" i="15"/>
  <c r="CV50" i="15"/>
  <c r="B29" i="11"/>
  <c r="CT52" i="15"/>
  <c r="CT6" i="15"/>
  <c r="CT7" i="15"/>
  <c r="CV6" i="15"/>
  <c r="CV51" i="15"/>
  <c r="BW58" i="15"/>
  <c r="CV52" i="15"/>
  <c r="DK43" i="17"/>
  <c r="CV5" i="15"/>
  <c r="DF44" i="18"/>
  <c r="CA58" i="17"/>
  <c r="BZ13" i="19"/>
  <c r="C32" i="11"/>
  <c r="CT10" i="15"/>
  <c r="C34" i="11"/>
  <c r="DA54" i="19"/>
  <c r="CY50" i="19"/>
  <c r="CY54" i="19"/>
  <c r="DA56" i="19"/>
  <c r="CY49" i="19"/>
  <c r="DA49" i="19"/>
  <c r="CY56" i="19"/>
  <c r="H70" i="20"/>
  <c r="H77" i="20"/>
  <c r="DA48" i="19"/>
  <c r="CY53" i="19"/>
  <c r="CY55" i="19"/>
  <c r="DA55" i="19"/>
  <c r="CV20" i="15"/>
  <c r="CY20" i="19"/>
  <c r="CY43" i="19"/>
  <c r="B27" i="11"/>
  <c r="CU32" i="15"/>
  <c r="CV25" i="15"/>
  <c r="DA23" i="19"/>
  <c r="CT36" i="15"/>
  <c r="CT44" i="15"/>
  <c r="CX44" i="15"/>
  <c r="CV43" i="15"/>
  <c r="B33" i="11"/>
  <c r="CT21" i="15"/>
  <c r="CY44" i="19"/>
  <c r="DA43" i="19"/>
  <c r="CT32" i="15"/>
  <c r="CT26" i="15"/>
  <c r="CZ32" i="19"/>
  <c r="CY40" i="19"/>
  <c r="CV40" i="15"/>
  <c r="K69" i="20"/>
  <c r="CT24" i="15"/>
  <c r="DA40" i="19"/>
  <c r="CT39" i="15"/>
  <c r="CX39" i="15"/>
  <c r="B38" i="11"/>
  <c r="CV35" i="15"/>
  <c r="CY38" i="19"/>
  <c r="CV16" i="15"/>
  <c r="CY39" i="19"/>
  <c r="CV44" i="15"/>
  <c r="CZ36" i="19"/>
  <c r="C18" i="11" l="1"/>
  <c r="F12" i="11"/>
  <c r="H21" i="11"/>
  <c r="H4" i="11"/>
  <c r="H9" i="11"/>
  <c r="H12" i="11" s="1"/>
  <c r="H41" i="11"/>
  <c r="D12" i="11"/>
  <c r="H17" i="11"/>
  <c r="H18" i="11" s="1"/>
  <c r="F6" i="11"/>
  <c r="F18" i="11"/>
  <c r="H3" i="11"/>
  <c r="F24" i="11"/>
  <c r="E24" i="11"/>
  <c r="H2" i="11"/>
  <c r="H6" i="11" s="1"/>
  <c r="E12" i="11"/>
  <c r="C24" i="11"/>
  <c r="H24" i="11"/>
  <c r="E18" i="11"/>
  <c r="E6" i="11"/>
  <c r="H33" i="11"/>
  <c r="C12" i="11"/>
  <c r="D18" i="11"/>
  <c r="D6" i="11"/>
  <c r="D24" i="11"/>
  <c r="H45" i="11"/>
  <c r="H46" i="11"/>
  <c r="H47" i="11"/>
  <c r="DO22" i="20"/>
  <c r="DO40" i="20"/>
  <c r="DO23" i="20"/>
  <c r="DO5" i="20"/>
  <c r="DO42" i="20"/>
  <c r="DO6" i="20"/>
  <c r="DO7" i="20"/>
  <c r="DO26" i="20"/>
  <c r="DO25" i="20"/>
  <c r="DO8" i="20"/>
  <c r="DO49" i="20"/>
  <c r="DO33" i="20"/>
  <c r="DO48" i="20"/>
  <c r="DO58" i="20" s="1"/>
  <c r="C52" i="11"/>
  <c r="CL13" i="20"/>
  <c r="CL45" i="20"/>
  <c r="C48" i="11"/>
  <c r="CH45" i="20"/>
  <c r="K68" i="20" s="1"/>
  <c r="DK6" i="17"/>
  <c r="H44" i="11"/>
  <c r="CH13" i="20"/>
  <c r="J70" i="20"/>
  <c r="J77" i="20" s="1"/>
  <c r="CD59" i="20"/>
  <c r="CD45" i="18"/>
  <c r="C39" i="11" s="1"/>
  <c r="H39" i="11" s="1"/>
  <c r="DI9" i="17"/>
  <c r="DF31" i="18"/>
  <c r="CD13" i="18"/>
  <c r="C38" i="11" s="1"/>
  <c r="C42" i="11" s="1"/>
  <c r="I83" i="20"/>
  <c r="BZ13" i="17"/>
  <c r="H83" i="20"/>
  <c r="BZ45" i="18"/>
  <c r="BZ59" i="18" s="1"/>
  <c r="BZ13" i="20"/>
  <c r="I71" i="20" s="1"/>
  <c r="I72" i="20" s="1"/>
  <c r="DI8" i="17"/>
  <c r="DI27" i="17"/>
  <c r="DF11" i="18"/>
  <c r="DA17" i="19"/>
  <c r="DF12" i="18"/>
  <c r="CZ13" i="19"/>
  <c r="CA59" i="20"/>
  <c r="CX21" i="15"/>
  <c r="DF35" i="18"/>
  <c r="BW45" i="15"/>
  <c r="DA24" i="19"/>
  <c r="DA52" i="19"/>
  <c r="CA45" i="19"/>
  <c r="CA59" i="19" s="1"/>
  <c r="DI26" i="17"/>
  <c r="DK27" i="17"/>
  <c r="CT29" i="15"/>
  <c r="CX29" i="15" s="1"/>
  <c r="DI20" i="17"/>
  <c r="CT30" i="15"/>
  <c r="CX30" i="15" s="1"/>
  <c r="CT31" i="15"/>
  <c r="CX31" i="15" s="1"/>
  <c r="CI13" i="20"/>
  <c r="CI59" i="20" s="1"/>
  <c r="CE59" i="20"/>
  <c r="CY17" i="19"/>
  <c r="CT16" i="15"/>
  <c r="CT33" i="15"/>
  <c r="CY29" i="19"/>
  <c r="DD8" i="18"/>
  <c r="DH8" i="18" s="1"/>
  <c r="CM13" i="20"/>
  <c r="DH25" i="18"/>
  <c r="CY46" i="19"/>
  <c r="CY47" i="19" s="1"/>
  <c r="D34" i="11" s="1"/>
  <c r="E34" i="11" s="1"/>
  <c r="CT11" i="15"/>
  <c r="DD23" i="18"/>
  <c r="DH23" i="18" s="1"/>
  <c r="CT12" i="15"/>
  <c r="CX12" i="15" s="1"/>
  <c r="CV9" i="15"/>
  <c r="CT15" i="15"/>
  <c r="CX15" i="15" s="1"/>
  <c r="DD7" i="18"/>
  <c r="DH7" i="18" s="1"/>
  <c r="DD57" i="18"/>
  <c r="DH57" i="18" s="1"/>
  <c r="CV34" i="15"/>
  <c r="CY30" i="19"/>
  <c r="CA45" i="18"/>
  <c r="CI58" i="17"/>
  <c r="CI59" i="17" s="1"/>
  <c r="CE13" i="20"/>
  <c r="CX5" i="15"/>
  <c r="CM45" i="20"/>
  <c r="DK41" i="17"/>
  <c r="CY27" i="19"/>
  <c r="DA10" i="19"/>
  <c r="CT18" i="15"/>
  <c r="CT35" i="15"/>
  <c r="CX35" i="15" s="1"/>
  <c r="DA15" i="19"/>
  <c r="DA45" i="19" s="1"/>
  <c r="F33" i="11" s="1"/>
  <c r="CY31" i="19"/>
  <c r="DF10" i="18"/>
  <c r="BW13" i="15"/>
  <c r="DD12" i="18"/>
  <c r="DH12" i="18" s="1"/>
  <c r="CT19" i="15"/>
  <c r="CX19" i="15" s="1"/>
  <c r="CT37" i="15"/>
  <c r="CX37" i="15" s="1"/>
  <c r="DF24" i="18"/>
  <c r="DA51" i="19"/>
  <c r="DF25" i="18"/>
  <c r="BV45" i="20"/>
  <c r="CV29" i="15"/>
  <c r="CX57" i="15"/>
  <c r="DF16" i="18"/>
  <c r="DK7" i="17"/>
  <c r="CT34" i="15"/>
  <c r="CX34" i="15" s="1"/>
  <c r="CT28" i="15"/>
  <c r="CX28" i="15" s="1"/>
  <c r="CX6" i="15"/>
  <c r="CV28" i="15"/>
  <c r="CY52" i="19"/>
  <c r="BV13" i="15"/>
  <c r="C26" i="11" s="1"/>
  <c r="DI18" i="17"/>
  <c r="DK8" i="17"/>
  <c r="CY25" i="19"/>
  <c r="DA26" i="19"/>
  <c r="CY57" i="19"/>
  <c r="CX24" i="15"/>
  <c r="H29" i="11"/>
  <c r="BV58" i="19"/>
  <c r="CX16" i="15"/>
  <c r="CX33" i="15"/>
  <c r="CU18" i="15"/>
  <c r="DD11" i="18"/>
  <c r="DH11" i="18" s="1"/>
  <c r="DA30" i="19"/>
  <c r="CT20" i="15"/>
  <c r="CX20" i="15" s="1"/>
  <c r="CY16" i="19"/>
  <c r="CY35" i="19"/>
  <c r="CT42" i="15"/>
  <c r="DA33" i="19"/>
  <c r="DA37" i="19"/>
  <c r="BV59" i="17"/>
  <c r="CY24" i="19"/>
  <c r="DA19" i="19"/>
  <c r="CV19" i="15"/>
  <c r="CT46" i="15"/>
  <c r="CZ58" i="19"/>
  <c r="DE58" i="18"/>
  <c r="BV13" i="20"/>
  <c r="CX26" i="15"/>
  <c r="DH40" i="18"/>
  <c r="CV7" i="15"/>
  <c r="CV13" i="15" s="1"/>
  <c r="F26" i="11" s="1"/>
  <c r="C40" i="11"/>
  <c r="H40" i="11" s="1"/>
  <c r="I75" i="20"/>
  <c r="CA59" i="18"/>
  <c r="DI54" i="17"/>
  <c r="DI49" i="17"/>
  <c r="DK56" i="17"/>
  <c r="DK55" i="17"/>
  <c r="DI50" i="17"/>
  <c r="DK53" i="17"/>
  <c r="DI55" i="17"/>
  <c r="DI48" i="17"/>
  <c r="DK50" i="17"/>
  <c r="DK52" i="17"/>
  <c r="DA5" i="19"/>
  <c r="DA13" i="19" s="1"/>
  <c r="B32" i="11"/>
  <c r="H32" i="11" s="1"/>
  <c r="CY8" i="19"/>
  <c r="DI37" i="17"/>
  <c r="DK37" i="17"/>
  <c r="DI52" i="17"/>
  <c r="DF50" i="18"/>
  <c r="DD52" i="18"/>
  <c r="DH52" i="18" s="1"/>
  <c r="CH59" i="17"/>
  <c r="DF23" i="18"/>
  <c r="DI56" i="17"/>
  <c r="DD27" i="18"/>
  <c r="DH27" i="18" s="1"/>
  <c r="DA57" i="19"/>
  <c r="DF39" i="18"/>
  <c r="CY10" i="19"/>
  <c r="DI51" i="17"/>
  <c r="BW59" i="17"/>
  <c r="CT41" i="15"/>
  <c r="CX41" i="15" s="1"/>
  <c r="CV41" i="15"/>
  <c r="DI7" i="17"/>
  <c r="DF21" i="18"/>
  <c r="DD10" i="18"/>
  <c r="DH10" i="18" s="1"/>
  <c r="DF20" i="18"/>
  <c r="DA31" i="19"/>
  <c r="CX9" i="15"/>
  <c r="DD43" i="18"/>
  <c r="DH43" i="18" s="1"/>
  <c r="DE13" i="18"/>
  <c r="DJ58" i="17"/>
  <c r="CV21" i="15"/>
  <c r="DD5" i="18"/>
  <c r="DF22" i="18"/>
  <c r="DD22" i="18"/>
  <c r="DH22" i="18" s="1"/>
  <c r="DK24" i="17"/>
  <c r="CV30" i="15"/>
  <c r="DF52" i="18"/>
  <c r="DD39" i="18"/>
  <c r="DH39" i="18" s="1"/>
  <c r="DD30" i="18"/>
  <c r="DH30" i="18" s="1"/>
  <c r="BW13" i="18"/>
  <c r="DI25" i="17"/>
  <c r="DD46" i="18"/>
  <c r="BV47" i="18"/>
  <c r="DF46" i="18"/>
  <c r="DF47" i="18" s="1"/>
  <c r="F40" i="11" s="1"/>
  <c r="H27" i="11"/>
  <c r="DK44" i="17"/>
  <c r="DI40" i="17"/>
  <c r="DI32" i="17"/>
  <c r="DK39" i="17"/>
  <c r="DK34" i="17"/>
  <c r="DI39" i="17"/>
  <c r="DI29" i="17"/>
  <c r="DI31" i="17"/>
  <c r="DK17" i="17"/>
  <c r="DI43" i="17"/>
  <c r="DI34" i="17"/>
  <c r="DJ18" i="17"/>
  <c r="DI35" i="17"/>
  <c r="DI17" i="17"/>
  <c r="DK26" i="17"/>
  <c r="DK15" i="17"/>
  <c r="DK35" i="17"/>
  <c r="DI33" i="17"/>
  <c r="DI44" i="17"/>
  <c r="DI38" i="17"/>
  <c r="DJ32" i="17"/>
  <c r="DI23" i="17"/>
  <c r="DK40" i="17"/>
  <c r="DK33" i="17"/>
  <c r="DI46" i="17"/>
  <c r="DI47" i="17" s="1"/>
  <c r="D46" i="11" s="1"/>
  <c r="E46" i="11" s="1"/>
  <c r="DA27" i="19"/>
  <c r="CV33" i="15"/>
  <c r="DK23" i="17"/>
  <c r="BZ59" i="20"/>
  <c r="DI28" i="17"/>
  <c r="DF17" i="18"/>
  <c r="H34" i="11"/>
  <c r="CV22" i="15"/>
  <c r="CT22" i="15"/>
  <c r="CX22" i="15" s="1"/>
  <c r="DI11" i="17"/>
  <c r="DD26" i="18"/>
  <c r="DH26" i="18" s="1"/>
  <c r="DK49" i="17"/>
  <c r="DI36" i="17"/>
  <c r="DF29" i="18"/>
  <c r="C28" i="11"/>
  <c r="H28" i="11" s="1"/>
  <c r="CH59" i="20"/>
  <c r="DD31" i="18"/>
  <c r="DH31" i="18" s="1"/>
  <c r="DF6" i="18"/>
  <c r="DD6" i="18"/>
  <c r="DH6" i="18" s="1"/>
  <c r="BV58" i="18"/>
  <c r="DD51" i="18"/>
  <c r="DH51" i="18" s="1"/>
  <c r="DF51" i="18"/>
  <c r="DA28" i="19"/>
  <c r="CY28" i="19"/>
  <c r="DI41" i="17"/>
  <c r="DA9" i="19"/>
  <c r="DF38" i="18"/>
  <c r="H69" i="20"/>
  <c r="DF27" i="18"/>
  <c r="DK54" i="17"/>
  <c r="CX42" i="15"/>
  <c r="BW45" i="20"/>
  <c r="DK46" i="17"/>
  <c r="DK47" i="17" s="1"/>
  <c r="F46" i="11" s="1"/>
  <c r="CL59" i="20"/>
  <c r="DD20" i="18"/>
  <c r="DH20" i="18" s="1"/>
  <c r="DF41" i="18"/>
  <c r="DA46" i="19"/>
  <c r="DA47" i="19" s="1"/>
  <c r="F34" i="11" s="1"/>
  <c r="DI24" i="17"/>
  <c r="DK30" i="17"/>
  <c r="CX52" i="15"/>
  <c r="BW47" i="15"/>
  <c r="BW59" i="15" s="1"/>
  <c r="DF19" i="18"/>
  <c r="CY37" i="19"/>
  <c r="CY41" i="19"/>
  <c r="DA41" i="19"/>
  <c r="DI53" i="17"/>
  <c r="DD53" i="18"/>
  <c r="DH53" i="18" s="1"/>
  <c r="DD50" i="18"/>
  <c r="DH50" i="18" s="1"/>
  <c r="DF53" i="18"/>
  <c r="DD49" i="18"/>
  <c r="DH49" i="18" s="1"/>
  <c r="DF55" i="18"/>
  <c r="DF56" i="18"/>
  <c r="DF48" i="18"/>
  <c r="DD54" i="18"/>
  <c r="DH54" i="18" s="1"/>
  <c r="DD56" i="18"/>
  <c r="DH56" i="18" s="1"/>
  <c r="BW59" i="20"/>
  <c r="DK21" i="17"/>
  <c r="DI21" i="17"/>
  <c r="DF7" i="18"/>
  <c r="DK38" i="17"/>
  <c r="DA11" i="19"/>
  <c r="CY11" i="19"/>
  <c r="DF57" i="18"/>
  <c r="DF8" i="18"/>
  <c r="DA29" i="19"/>
  <c r="DF43" i="18"/>
  <c r="DE32" i="18"/>
  <c r="DD38" i="18"/>
  <c r="DH38" i="18" s="1"/>
  <c r="DD36" i="18"/>
  <c r="DE36" i="18"/>
  <c r="DF40" i="18"/>
  <c r="DF33" i="18"/>
  <c r="DD32" i="18"/>
  <c r="DF34" i="18"/>
  <c r="DD42" i="18"/>
  <c r="DH42" i="18" s="1"/>
  <c r="DD33" i="18"/>
  <c r="DH33" i="18" s="1"/>
  <c r="DD37" i="18"/>
  <c r="DH37" i="18" s="1"/>
  <c r="DD34" i="18"/>
  <c r="DH34" i="18" s="1"/>
  <c r="DF15" i="18"/>
  <c r="DF30" i="18"/>
  <c r="DD19" i="18"/>
  <c r="DH19" i="18" s="1"/>
  <c r="DD44" i="18"/>
  <c r="DH44" i="18" s="1"/>
  <c r="DF26" i="18"/>
  <c r="DD15" i="18"/>
  <c r="CV37" i="15"/>
  <c r="DK16" i="17"/>
  <c r="CY9" i="19"/>
  <c r="DD24" i="18"/>
  <c r="DH24" i="18" s="1"/>
  <c r="DK20" i="17"/>
  <c r="DF5" i="18"/>
  <c r="CV15" i="15"/>
  <c r="DD28" i="18"/>
  <c r="DH28" i="18" s="1"/>
  <c r="DA8" i="19"/>
  <c r="CX32" i="15"/>
  <c r="DI16" i="17"/>
  <c r="CX11" i="15"/>
  <c r="BW59" i="18"/>
  <c r="DA6" i="19"/>
  <c r="CY6" i="19"/>
  <c r="DD41" i="18"/>
  <c r="DH41" i="18" s="1"/>
  <c r="C35" i="11"/>
  <c r="H35" i="11" s="1"/>
  <c r="BZ59" i="19"/>
  <c r="DI19" i="17"/>
  <c r="DK19" i="17"/>
  <c r="DK42" i="17"/>
  <c r="DI42" i="17"/>
  <c r="DI22" i="17"/>
  <c r="DK22" i="17"/>
  <c r="DK57" i="17"/>
  <c r="DI57" i="17"/>
  <c r="DF54" i="18"/>
  <c r="BV45" i="19"/>
  <c r="BV59" i="19" s="1"/>
  <c r="CY15" i="19"/>
  <c r="DK25" i="17"/>
  <c r="DD21" i="18"/>
  <c r="DH21" i="18" s="1"/>
  <c r="DF49" i="18"/>
  <c r="CU58" i="15"/>
  <c r="DJ36" i="17"/>
  <c r="CV42" i="15"/>
  <c r="CX10" i="15"/>
  <c r="DI15" i="17"/>
  <c r="DK51" i="17"/>
  <c r="CY5" i="19"/>
  <c r="CY13" i="19" s="1"/>
  <c r="DD35" i="18"/>
  <c r="DH35" i="18" s="1"/>
  <c r="DK48" i="17"/>
  <c r="DF42" i="18"/>
  <c r="CY7" i="19"/>
  <c r="DA7" i="19"/>
  <c r="H68" i="20"/>
  <c r="BV59" i="20"/>
  <c r="DF37" i="18"/>
  <c r="DI12" i="17"/>
  <c r="K70" i="20"/>
  <c r="K77" i="20" s="1"/>
  <c r="DA12" i="19"/>
  <c r="DD9" i="18"/>
  <c r="DH9" i="18" s="1"/>
  <c r="DI5" i="17"/>
  <c r="DK5" i="17"/>
  <c r="DK10" i="17"/>
  <c r="DI10" i="17"/>
  <c r="CV11" i="15"/>
  <c r="B26" i="11"/>
  <c r="DF28" i="18"/>
  <c r="K71" i="20"/>
  <c r="K76" i="20" s="1"/>
  <c r="DK28" i="17"/>
  <c r="CY36" i="19"/>
  <c r="CY32" i="19"/>
  <c r="DA44" i="19"/>
  <c r="CV23" i="15"/>
  <c r="CV46" i="15"/>
  <c r="CV47" i="15" s="1"/>
  <c r="F28" i="11" s="1"/>
  <c r="B83" i="11" s="1"/>
  <c r="C88" i="11" s="1"/>
  <c r="CY34" i="19"/>
  <c r="H71" i="20"/>
  <c r="DD29" i="18"/>
  <c r="DH29" i="18" s="1"/>
  <c r="CT8" i="15"/>
  <c r="CX8" i="15" s="1"/>
  <c r="CY18" i="19"/>
  <c r="DA35" i="19"/>
  <c r="DK9" i="17"/>
  <c r="CT43" i="15"/>
  <c r="CX43" i="15" s="1"/>
  <c r="CT38" i="15"/>
  <c r="CX38" i="15" s="1"/>
  <c r="CV39" i="15"/>
  <c r="CU36" i="15"/>
  <c r="CX36" i="15" s="1"/>
  <c r="CT27" i="15"/>
  <c r="CX27" i="15" s="1"/>
  <c r="CT25" i="15"/>
  <c r="CX25" i="15" s="1"/>
  <c r="CV17" i="15"/>
  <c r="DA38" i="19"/>
  <c r="DD16" i="18"/>
  <c r="DH16" i="18" s="1"/>
  <c r="CY12" i="19"/>
  <c r="CV49" i="15"/>
  <c r="CU13" i="15"/>
  <c r="CV10" i="15"/>
  <c r="DK11" i="17"/>
  <c r="DK29" i="17"/>
  <c r="CA59" i="17"/>
  <c r="DA25" i="19"/>
  <c r="BZ59" i="17"/>
  <c r="CY21" i="19"/>
  <c r="CY42" i="19"/>
  <c r="DD17" i="18"/>
  <c r="DH17" i="18" s="1"/>
  <c r="DK12" i="17"/>
  <c r="DI30" i="17"/>
  <c r="CY26" i="19"/>
  <c r="CT55" i="15"/>
  <c r="CX55" i="15" s="1"/>
  <c r="CV55" i="15"/>
  <c r="CV48" i="15"/>
  <c r="CV58" i="15" s="1"/>
  <c r="F29" i="11" s="1"/>
  <c r="CT54" i="15"/>
  <c r="CX54" i="15" s="1"/>
  <c r="CV54" i="15"/>
  <c r="CT51" i="15"/>
  <c r="CX51" i="15" s="1"/>
  <c r="DA22" i="19"/>
  <c r="CY22" i="19"/>
  <c r="DE18" i="18"/>
  <c r="DE45" i="18" s="1"/>
  <c r="DK31" i="17"/>
  <c r="DD18" i="18"/>
  <c r="CZ18" i="19"/>
  <c r="CZ45" i="19" s="1"/>
  <c r="DF9" i="18"/>
  <c r="DJ13" i="17"/>
  <c r="CY23" i="19"/>
  <c r="CY51" i="19"/>
  <c r="J71" i="20"/>
  <c r="J69" i="20"/>
  <c r="J72" i="20" s="1"/>
  <c r="CY48" i="19"/>
  <c r="H38" i="11" l="1"/>
  <c r="C30" i="11"/>
  <c r="H42" i="11"/>
  <c r="H48" i="11"/>
  <c r="CM59" i="20"/>
  <c r="DO13" i="20"/>
  <c r="C51" i="11"/>
  <c r="C50" i="11"/>
  <c r="C54" i="11" s="1"/>
  <c r="DK45" i="17"/>
  <c r="F45" i="11" s="1"/>
  <c r="DK13" i="17"/>
  <c r="DJ45" i="17"/>
  <c r="DI45" i="17"/>
  <c r="D45" i="11" s="1"/>
  <c r="K72" i="20"/>
  <c r="DI13" i="17"/>
  <c r="D44" i="11" s="1"/>
  <c r="DF45" i="18"/>
  <c r="F39" i="11" s="1"/>
  <c r="J75" i="20"/>
  <c r="CD59" i="18"/>
  <c r="DF13" i="18"/>
  <c r="F38" i="11" s="1"/>
  <c r="DA58" i="19"/>
  <c r="F35" i="11" s="1"/>
  <c r="I76" i="20"/>
  <c r="CY45" i="19"/>
  <c r="D33" i="11" s="1"/>
  <c r="E33" i="11" s="1"/>
  <c r="C36" i="11"/>
  <c r="CZ59" i="19"/>
  <c r="H36" i="11"/>
  <c r="CX18" i="15"/>
  <c r="CV45" i="15"/>
  <c r="F27" i="11" s="1"/>
  <c r="F30" i="11" s="1"/>
  <c r="DK58" i="17"/>
  <c r="F47" i="11" s="1"/>
  <c r="CT45" i="15"/>
  <c r="CT13" i="15"/>
  <c r="D26" i="11" s="1"/>
  <c r="E26" i="11" s="1"/>
  <c r="DH18" i="18"/>
  <c r="CU45" i="15"/>
  <c r="CU59" i="15" s="1"/>
  <c r="DF58" i="18"/>
  <c r="F41" i="11" s="1"/>
  <c r="BV59" i="15"/>
  <c r="DD58" i="18"/>
  <c r="DH58" i="18" s="1"/>
  <c r="H26" i="11"/>
  <c r="H30" i="11" s="1"/>
  <c r="DJ59" i="17"/>
  <c r="CX46" i="15"/>
  <c r="CT47" i="15"/>
  <c r="CV59" i="15"/>
  <c r="H76" i="20"/>
  <c r="H82" i="20" s="1"/>
  <c r="DE59" i="18"/>
  <c r="I81" i="20"/>
  <c r="I78" i="20"/>
  <c r="I79" i="20" s="1"/>
  <c r="CT58" i="15"/>
  <c r="D32" i="11"/>
  <c r="D27" i="11"/>
  <c r="E27" i="11" s="1"/>
  <c r="DI58" i="17"/>
  <c r="D47" i="11" s="1"/>
  <c r="E47" i="11" s="1"/>
  <c r="H72" i="20"/>
  <c r="H75" i="20"/>
  <c r="DH5" i="18"/>
  <c r="DD13" i="18"/>
  <c r="DH32" i="18"/>
  <c r="K75" i="20"/>
  <c r="J81" i="20" s="1"/>
  <c r="F44" i="11"/>
  <c r="E45" i="11"/>
  <c r="DH36" i="18"/>
  <c r="BV59" i="18"/>
  <c r="DA59" i="19"/>
  <c r="F32" i="11"/>
  <c r="F36" i="11" s="1"/>
  <c r="DD47" i="18"/>
  <c r="DH46" i="18"/>
  <c r="CY58" i="19"/>
  <c r="D35" i="11" s="1"/>
  <c r="E35" i="11" s="1"/>
  <c r="J76" i="20"/>
  <c r="J78" i="20" s="1"/>
  <c r="J79" i="20" s="1"/>
  <c r="J83" i="20"/>
  <c r="DH15" i="18"/>
  <c r="DD45" i="18"/>
  <c r="B81" i="11" l="1"/>
  <c r="C87" i="11" s="1"/>
  <c r="F48" i="11"/>
  <c r="F42" i="11"/>
  <c r="DK59" i="17"/>
  <c r="CX45" i="15"/>
  <c r="D41" i="11"/>
  <c r="E41" i="11" s="1"/>
  <c r="DF59" i="18"/>
  <c r="CX13" i="15"/>
  <c r="B82" i="11"/>
  <c r="C89" i="11" s="1"/>
  <c r="C90" i="11" s="1"/>
  <c r="CX47" i="15"/>
  <c r="D28" i="11"/>
  <c r="E28" i="11" s="1"/>
  <c r="B80" i="11" s="1"/>
  <c r="B88" i="11" s="1"/>
  <c r="CT59" i="15"/>
  <c r="CX59" i="15" s="1"/>
  <c r="D36" i="11"/>
  <c r="E32" i="11"/>
  <c r="E36" i="11" s="1"/>
  <c r="D40" i="11"/>
  <c r="E40" i="11" s="1"/>
  <c r="DH47" i="18"/>
  <c r="CY59" i="19"/>
  <c r="DI59" i="17"/>
  <c r="DD59" i="18"/>
  <c r="DH59" i="18" s="1"/>
  <c r="DH13" i="18"/>
  <c r="D38" i="11"/>
  <c r="H78" i="20"/>
  <c r="H79" i="20" s="1"/>
  <c r="H81" i="20"/>
  <c r="H84" i="20" s="1"/>
  <c r="E44" i="11"/>
  <c r="E48" i="11" s="1"/>
  <c r="D48" i="11"/>
  <c r="D39" i="11"/>
  <c r="E39" i="11" s="1"/>
  <c r="DH45" i="18"/>
  <c r="CX58" i="15"/>
  <c r="D29" i="11"/>
  <c r="E29" i="11" s="1"/>
  <c r="B79" i="11" s="1"/>
  <c r="B89" i="11" s="1"/>
  <c r="K78" i="20"/>
  <c r="K79" i="20" s="1"/>
  <c r="J82" i="20"/>
  <c r="J84" i="20" s="1"/>
  <c r="I82" i="20"/>
  <c r="I84" i="20" s="1"/>
  <c r="E30" i="11" l="1"/>
  <c r="B78" i="11"/>
  <c r="B87" i="11" s="1"/>
  <c r="B90" i="11" s="1"/>
  <c r="D30" i="11"/>
  <c r="E38" i="11"/>
  <c r="E42" i="11" s="1"/>
  <c r="D42" i="11"/>
  <c r="L70" i="23" l="1"/>
  <c r="L77" i="23" s="1"/>
  <c r="K83" i="23" s="1"/>
  <c r="L69" i="23"/>
  <c r="L68" i="23"/>
  <c r="DZ9" i="22" l="1"/>
  <c r="DX12" i="22"/>
  <c r="DX9" i="22"/>
  <c r="DZ6" i="22"/>
  <c r="DZ7" i="22"/>
  <c r="DX5" i="22"/>
  <c r="DZ10" i="22"/>
  <c r="DZ5" i="22"/>
  <c r="DZ11" i="22"/>
  <c r="DX8" i="22"/>
  <c r="DX7" i="22"/>
  <c r="DX11" i="22"/>
  <c r="DZ8" i="22"/>
  <c r="DZ12" i="22"/>
  <c r="DX10" i="22"/>
  <c r="DX6" i="22"/>
  <c r="L71" i="22"/>
  <c r="B50" i="11"/>
  <c r="H50" i="11" s="1"/>
  <c r="DP6" i="20"/>
  <c r="DP12" i="20"/>
  <c r="DN8" i="20"/>
  <c r="DP5" i="20"/>
  <c r="DP7" i="20"/>
  <c r="DN9" i="20"/>
  <c r="DN5" i="20"/>
  <c r="DN10" i="20"/>
  <c r="DP10" i="20"/>
  <c r="DP8" i="20"/>
  <c r="DP11" i="20"/>
  <c r="DN11" i="20"/>
  <c r="DP9" i="20"/>
  <c r="DN7" i="20"/>
  <c r="DN6" i="20"/>
  <c r="DN12" i="20"/>
  <c r="L71" i="20"/>
  <c r="DU46" i="21"/>
  <c r="DU47" i="21" s="1"/>
  <c r="F58" i="11" s="1"/>
  <c r="DS46" i="21"/>
  <c r="DS47" i="21" s="1"/>
  <c r="D58" i="11" s="1"/>
  <c r="E58" i="11" s="1"/>
  <c r="L70" i="21"/>
  <c r="L77" i="21" s="1"/>
  <c r="K83" i="21" s="1"/>
  <c r="DN55" i="20"/>
  <c r="B53" i="11"/>
  <c r="H53" i="11" s="1"/>
  <c r="DN56" i="20"/>
  <c r="L69" i="20"/>
  <c r="DP57" i="20"/>
  <c r="DP49" i="20"/>
  <c r="DP56" i="20"/>
  <c r="DP50" i="20"/>
  <c r="DP51" i="20"/>
  <c r="DN50" i="20"/>
  <c r="DN51" i="20"/>
  <c r="DP54" i="20"/>
  <c r="DP55" i="20"/>
  <c r="DN57" i="20"/>
  <c r="DN53" i="20"/>
  <c r="DN48" i="20"/>
  <c r="DN49" i="20"/>
  <c r="DP52" i="20"/>
  <c r="DP53" i="20"/>
  <c r="DN54" i="20"/>
  <c r="DN52" i="20"/>
  <c r="DP48" i="20"/>
  <c r="DP58" i="20" s="1"/>
  <c r="F53" i="11" s="1"/>
  <c r="DX54" i="22"/>
  <c r="DZ53" i="22"/>
  <c r="DX53" i="22"/>
  <c r="DZ50" i="22"/>
  <c r="DZ56" i="22"/>
  <c r="DX50" i="22"/>
  <c r="DZ49" i="22"/>
  <c r="DX56" i="22"/>
  <c r="DZ55" i="22"/>
  <c r="DX49" i="22"/>
  <c r="DZ48" i="22"/>
  <c r="DX55" i="22"/>
  <c r="DZ54" i="22"/>
  <c r="DX48" i="22"/>
  <c r="DZ52" i="22"/>
  <c r="DX52" i="22"/>
  <c r="DX51" i="22"/>
  <c r="DZ51" i="22"/>
  <c r="DZ57" i="22"/>
  <c r="DX57" i="22"/>
  <c r="L69" i="22"/>
  <c r="DZ44" i="22"/>
  <c r="DX44" i="22"/>
  <c r="DZ40" i="22"/>
  <c r="DX40" i="22"/>
  <c r="DZ39" i="22"/>
  <c r="DX39" i="22"/>
  <c r="DZ38" i="22"/>
  <c r="DX38" i="22"/>
  <c r="DZ28" i="22"/>
  <c r="DZ21" i="22"/>
  <c r="DZ43" i="22"/>
  <c r="DZ42" i="22"/>
  <c r="DZ15" i="22"/>
  <c r="DX27" i="22"/>
  <c r="DZ16" i="22"/>
  <c r="DZ37" i="22"/>
  <c r="DZ27" i="22"/>
  <c r="DX30" i="22"/>
  <c r="DZ19" i="22"/>
  <c r="DZ31" i="22"/>
  <c r="DX15" i="22"/>
  <c r="DX43" i="22"/>
  <c r="DX19" i="22"/>
  <c r="DZ41" i="22"/>
  <c r="DX22" i="22"/>
  <c r="DX34" i="22"/>
  <c r="DX29" i="22"/>
  <c r="DX25" i="22"/>
  <c r="DZ25" i="22"/>
  <c r="DX21" i="22"/>
  <c r="DX42" i="22"/>
  <c r="DZ22" i="22"/>
  <c r="DZ34" i="22"/>
  <c r="DZ23" i="22"/>
  <c r="DZ30" i="22"/>
  <c r="DZ17" i="22"/>
  <c r="DX28" i="22"/>
  <c r="DZ29" i="22"/>
  <c r="DZ26" i="22"/>
  <c r="DX41" i="22"/>
  <c r="DX17" i="22"/>
  <c r="DX20" i="22"/>
  <c r="DX33" i="22"/>
  <c r="DX16" i="22"/>
  <c r="DX24" i="22"/>
  <c r="DX23" i="22"/>
  <c r="DX37" i="22"/>
  <c r="DZ33" i="22"/>
  <c r="DX26" i="22"/>
  <c r="DX35" i="22"/>
  <c r="DZ24" i="22"/>
  <c r="DZ20" i="22"/>
  <c r="DZ35" i="22"/>
  <c r="DX31" i="22"/>
  <c r="L68" i="22"/>
  <c r="DZ46" i="22"/>
  <c r="DZ47" i="22" s="1"/>
  <c r="F64" i="11" s="1"/>
  <c r="DX46" i="22"/>
  <c r="DX47" i="22" s="1"/>
  <c r="D64" i="11" s="1"/>
  <c r="E64" i="11" s="1"/>
  <c r="L70" i="22"/>
  <c r="L77" i="22" s="1"/>
  <c r="K83" i="22" s="1"/>
  <c r="DS7" i="21"/>
  <c r="DS5" i="21"/>
  <c r="DU8" i="21"/>
  <c r="DS6" i="21"/>
  <c r="DU6" i="21"/>
  <c r="DS11" i="21"/>
  <c r="DS8" i="21"/>
  <c r="DU7" i="21"/>
  <c r="DU11" i="21"/>
  <c r="DU10" i="21"/>
  <c r="DS12" i="21"/>
  <c r="DU9" i="21"/>
  <c r="DS10" i="21"/>
  <c r="DU12" i="21"/>
  <c r="DS9" i="21"/>
  <c r="DU5" i="21"/>
  <c r="L71" i="21"/>
  <c r="DS40" i="21"/>
  <c r="DU39" i="21"/>
  <c r="DS39" i="21"/>
  <c r="DU38" i="21"/>
  <c r="DS38" i="21"/>
  <c r="DU44" i="21"/>
  <c r="DS44" i="21"/>
  <c r="DU40" i="21"/>
  <c r="DU23" i="21"/>
  <c r="DU18" i="21"/>
  <c r="DS35" i="21"/>
  <c r="DS20" i="21"/>
  <c r="DU34" i="21"/>
  <c r="DU42" i="21"/>
  <c r="DS31" i="21"/>
  <c r="DS16" i="21"/>
  <c r="DT36" i="21"/>
  <c r="DU24" i="21"/>
  <c r="DS17" i="21"/>
  <c r="DU41" i="21"/>
  <c r="DS42" i="21"/>
  <c r="DU30" i="21"/>
  <c r="DU25" i="21"/>
  <c r="DS19" i="21"/>
  <c r="DU36" i="21"/>
  <c r="DU21" i="21"/>
  <c r="DU37" i="21"/>
  <c r="DS29" i="21"/>
  <c r="DU15" i="21"/>
  <c r="DS37" i="21"/>
  <c r="DU16" i="21"/>
  <c r="DS34" i="21"/>
  <c r="DS26" i="21"/>
  <c r="DT18" i="21"/>
  <c r="DT45" i="21" s="1"/>
  <c r="DT59" i="21" s="1"/>
  <c r="DS21" i="21"/>
  <c r="DU33" i="21"/>
  <c r="DS22" i="21"/>
  <c r="DU27" i="21"/>
  <c r="DU20" i="21"/>
  <c r="DS18" i="21"/>
  <c r="DU31" i="21"/>
  <c r="DS33" i="21"/>
  <c r="DU43" i="21"/>
  <c r="DU28" i="21"/>
  <c r="DU17" i="21"/>
  <c r="DS25" i="21"/>
  <c r="DU29" i="21"/>
  <c r="DU26" i="21"/>
  <c r="DU19" i="21"/>
  <c r="DS32" i="21"/>
  <c r="DU22" i="21"/>
  <c r="DT32" i="21"/>
  <c r="DU32" i="21"/>
  <c r="DS15" i="21"/>
  <c r="DS41" i="21"/>
  <c r="DU35" i="21"/>
  <c r="DS23" i="21"/>
  <c r="DS43" i="21"/>
  <c r="DS24" i="21"/>
  <c r="DS27" i="21"/>
  <c r="DS28" i="21"/>
  <c r="DS36" i="21"/>
  <c r="DS30" i="21"/>
  <c r="L68" i="21"/>
  <c r="B52" i="11"/>
  <c r="H52" i="11" s="1"/>
  <c r="DP46" i="20"/>
  <c r="DP47" i="20" s="1"/>
  <c r="F52" i="11" s="1"/>
  <c r="DN46" i="20"/>
  <c r="DN47" i="20" s="1"/>
  <c r="D52" i="11" s="1"/>
  <c r="E52" i="11" s="1"/>
  <c r="L70" i="20"/>
  <c r="L77" i="20" s="1"/>
  <c r="K83" i="20" s="1"/>
  <c r="L71" i="23"/>
  <c r="L76" i="23" s="1"/>
  <c r="K82" i="23" s="1"/>
  <c r="DU49" i="21"/>
  <c r="DU56" i="21"/>
  <c r="DS49" i="21"/>
  <c r="DS56" i="21"/>
  <c r="DU48" i="21"/>
  <c r="DU55" i="21"/>
  <c r="DS48" i="21"/>
  <c r="DS55" i="21"/>
  <c r="DU54" i="21"/>
  <c r="DS54" i="21"/>
  <c r="DU53" i="21"/>
  <c r="DS53" i="21"/>
  <c r="DU50" i="21"/>
  <c r="DU52" i="21"/>
  <c r="DS57" i="21"/>
  <c r="DU57" i="21"/>
  <c r="DS50" i="21"/>
  <c r="DU51" i="21"/>
  <c r="DS52" i="21"/>
  <c r="DS51" i="21"/>
  <c r="L69" i="21"/>
  <c r="L76" i="21" s="1"/>
  <c r="K82" i="21" s="1"/>
  <c r="DO18" i="20"/>
  <c r="DN39" i="20"/>
  <c r="DN40" i="20"/>
  <c r="B51" i="11"/>
  <c r="H51" i="11" s="1"/>
  <c r="DN33" i="20"/>
  <c r="DP38" i="20"/>
  <c r="DN24" i="20"/>
  <c r="DP35" i="20"/>
  <c r="DP43" i="20"/>
  <c r="DN26" i="20"/>
  <c r="DN19" i="20"/>
  <c r="DP37" i="20"/>
  <c r="DN30" i="20"/>
  <c r="DN38" i="20"/>
  <c r="DP20" i="20"/>
  <c r="DN25" i="20"/>
  <c r="DP31" i="20"/>
  <c r="DP24" i="20"/>
  <c r="DN41" i="20"/>
  <c r="DN22" i="20"/>
  <c r="DN17" i="20"/>
  <c r="DN35" i="20"/>
  <c r="DP21" i="20"/>
  <c r="DN37" i="20"/>
  <c r="DP17" i="20"/>
  <c r="DP22" i="20"/>
  <c r="DN28" i="20"/>
  <c r="DP27" i="20"/>
  <c r="DP25" i="20"/>
  <c r="DN27" i="20"/>
  <c r="DN36" i="20"/>
  <c r="DP40" i="20"/>
  <c r="DP42" i="20"/>
  <c r="DN32" i="20"/>
  <c r="DP28" i="20"/>
  <c r="DP19" i="20"/>
  <c r="DO32" i="20"/>
  <c r="DN23" i="20"/>
  <c r="DP15" i="20"/>
  <c r="DP30" i="20"/>
  <c r="DN18" i="20"/>
  <c r="DN42" i="20"/>
  <c r="DP16" i="20"/>
  <c r="DP26" i="20"/>
  <c r="DN31" i="20"/>
  <c r="DN15" i="20"/>
  <c r="DP23" i="20"/>
  <c r="DP39" i="20"/>
  <c r="DN43" i="20"/>
  <c r="DP41" i="20"/>
  <c r="DN20" i="20"/>
  <c r="DO36" i="20"/>
  <c r="DN34" i="20"/>
  <c r="DP34" i="20"/>
  <c r="DN16" i="20"/>
  <c r="DN29" i="20"/>
  <c r="DN44" i="20"/>
  <c r="DN21" i="20"/>
  <c r="DP33" i="20"/>
  <c r="DP44" i="20"/>
  <c r="DP29" i="20"/>
  <c r="L68" i="20"/>
  <c r="DS58" i="21" l="1"/>
  <c r="D59" i="11" s="1"/>
  <c r="E59" i="11" s="1"/>
  <c r="DO45" i="20"/>
  <c r="DO59" i="20" s="1"/>
  <c r="L75" i="23"/>
  <c r="DZ45" i="22"/>
  <c r="F63" i="11" s="1"/>
  <c r="DU58" i="21"/>
  <c r="F59" i="11" s="1"/>
  <c r="L72" i="23"/>
  <c r="DS13" i="21"/>
  <c r="L72" i="21"/>
  <c r="L75" i="21"/>
  <c r="L72" i="20"/>
  <c r="L75" i="20"/>
  <c r="DN45" i="20"/>
  <c r="D51" i="11" s="1"/>
  <c r="E51" i="11" s="1"/>
  <c r="DU13" i="21"/>
  <c r="DX58" i="22"/>
  <c r="D65" i="11" s="1"/>
  <c r="E65" i="11" s="1"/>
  <c r="L76" i="20"/>
  <c r="K82" i="20" s="1"/>
  <c r="DU45" i="21"/>
  <c r="F57" i="11" s="1"/>
  <c r="L75" i="22"/>
  <c r="L72" i="22"/>
  <c r="DN13" i="20"/>
  <c r="DZ58" i="22"/>
  <c r="F65" i="11" s="1"/>
  <c r="DZ13" i="22"/>
  <c r="DX45" i="22"/>
  <c r="D63" i="11" s="1"/>
  <c r="E63" i="11" s="1"/>
  <c r="DN58" i="20"/>
  <c r="D53" i="11" s="1"/>
  <c r="E53" i="11" s="1"/>
  <c r="DP13" i="20"/>
  <c r="DX13" i="22"/>
  <c r="DP45" i="20"/>
  <c r="F51" i="11" s="1"/>
  <c r="DS45" i="21"/>
  <c r="D57" i="11" s="1"/>
  <c r="E57" i="11" s="1"/>
  <c r="L76" i="22"/>
  <c r="K82" i="22" s="1"/>
  <c r="H54" i="11"/>
  <c r="D62" i="11" l="1"/>
  <c r="DX59" i="22"/>
  <c r="F56" i="11"/>
  <c r="F60" i="11" s="1"/>
  <c r="DU59" i="21"/>
  <c r="L78" i="20"/>
  <c r="L79" i="20" s="1"/>
  <c r="K81" i="20"/>
  <c r="K84" i="20" s="1"/>
  <c r="L78" i="21"/>
  <c r="L79" i="21" s="1"/>
  <c r="K81" i="21"/>
  <c r="K84" i="21" s="1"/>
  <c r="D56" i="11"/>
  <c r="DS59" i="21"/>
  <c r="K81" i="23"/>
  <c r="K84" i="23" s="1"/>
  <c r="L78" i="23"/>
  <c r="L79" i="23" s="1"/>
  <c r="D50" i="11"/>
  <c r="DN59" i="20"/>
  <c r="F50" i="11"/>
  <c r="F54" i="11" s="1"/>
  <c r="DP59" i="20"/>
  <c r="F62" i="11"/>
  <c r="F66" i="11" s="1"/>
  <c r="DZ59" i="22"/>
  <c r="K81" i="22"/>
  <c r="K84" i="22" s="1"/>
  <c r="L78" i="22"/>
  <c r="L79" i="22" s="1"/>
  <c r="EE52" i="23" l="1"/>
  <c r="EE15" i="23"/>
  <c r="EE27" i="23"/>
  <c r="EE24" i="23"/>
  <c r="EC5" i="23"/>
  <c r="EE41" i="23"/>
  <c r="EC34" i="23"/>
  <c r="EC54" i="23"/>
  <c r="EC9" i="23"/>
  <c r="EE39" i="23"/>
  <c r="EE50" i="23"/>
  <c r="EE29" i="23"/>
  <c r="EE22" i="23"/>
  <c r="EC24" i="23"/>
  <c r="EC42" i="23"/>
  <c r="EC23" i="23"/>
  <c r="EC16" i="23"/>
  <c r="EE5" i="23"/>
  <c r="EC19" i="23"/>
  <c r="EC43" i="23"/>
  <c r="EE10" i="23"/>
  <c r="EE30" i="23"/>
  <c r="EE19" i="23"/>
  <c r="EC25" i="23"/>
  <c r="EC44" i="23"/>
  <c r="EC52" i="23"/>
  <c r="EE31" i="23"/>
  <c r="EE43" i="23"/>
  <c r="EE57" i="23"/>
  <c r="EC32" i="23"/>
  <c r="EE40" i="23"/>
  <c r="EC22" i="23"/>
  <c r="EE38" i="23"/>
  <c r="EC15" i="23"/>
  <c r="EC27" i="23"/>
  <c r="EC39" i="23"/>
  <c r="EE20" i="23"/>
  <c r="EC41" i="23"/>
  <c r="EC55" i="23"/>
  <c r="EE16" i="23"/>
  <c r="EC40" i="23"/>
  <c r="EE35" i="23"/>
  <c r="EC17" i="23"/>
  <c r="EE53" i="23"/>
  <c r="EE46" i="23"/>
  <c r="EE47" i="23" s="1"/>
  <c r="F70" i="11" s="1"/>
  <c r="ED36" i="23"/>
  <c r="EE49" i="23"/>
  <c r="EE28" i="23"/>
  <c r="EE48" i="23"/>
  <c r="EC50" i="23"/>
  <c r="EE32" i="23"/>
  <c r="ED18" i="23"/>
  <c r="EC12" i="23"/>
  <c r="EC31" i="23"/>
  <c r="EC10" i="23"/>
  <c r="EE18" i="23"/>
  <c r="EE36" i="23"/>
  <c r="EC29" i="23"/>
  <c r="EC7" i="23"/>
  <c r="EE6" i="23"/>
  <c r="EE37" i="23"/>
  <c r="EC57" i="23"/>
  <c r="EC20" i="23"/>
  <c r="EE17" i="23"/>
  <c r="EC38" i="23"/>
  <c r="EE11" i="23"/>
  <c r="EC21" i="23"/>
  <c r="EC33" i="23"/>
  <c r="EC46" i="23"/>
  <c r="EC47" i="23" s="1"/>
  <c r="D70" i="11" s="1"/>
  <c r="E70" i="11" s="1"/>
  <c r="EC56" i="23"/>
  <c r="EE8" i="23"/>
  <c r="EE44" i="23"/>
  <c r="EE7" i="23"/>
  <c r="EE21" i="23"/>
  <c r="EE33" i="23"/>
  <c r="EE26" i="23"/>
  <c r="EC49" i="23"/>
  <c r="EC28" i="23"/>
  <c r="EE34" i="23"/>
  <c r="EE54" i="23"/>
  <c r="EE9" i="23"/>
  <c r="EC8" i="23"/>
  <c r="EC30" i="23"/>
  <c r="EE55" i="23"/>
  <c r="EC18" i="23"/>
  <c r="EC36" i="23"/>
  <c r="EE42" i="23"/>
  <c r="EC48" i="23"/>
  <c r="EC35" i="23"/>
  <c r="EC37" i="23"/>
  <c r="EC51" i="23"/>
  <c r="EC6" i="23"/>
  <c r="EC26" i="23"/>
  <c r="EC53" i="23"/>
  <c r="EC11" i="23"/>
  <c r="EE25" i="23"/>
  <c r="ED32" i="23"/>
  <c r="EE51" i="23"/>
  <c r="EE12" i="23"/>
  <c r="EE23" i="23"/>
  <c r="EE56" i="23"/>
  <c r="D54" i="11"/>
  <c r="E50" i="11"/>
  <c r="E54" i="11" s="1"/>
  <c r="E56" i="11"/>
  <c r="E60" i="11" s="1"/>
  <c r="D60" i="11"/>
  <c r="E62" i="11"/>
  <c r="E66" i="11" s="1"/>
  <c r="D66" i="11"/>
  <c r="EC58" i="23" l="1"/>
  <c r="D71" i="11" s="1"/>
  <c r="E71" i="11" s="1"/>
  <c r="EC13" i="23"/>
  <c r="ED45" i="23"/>
  <c r="ED59" i="23" s="1"/>
  <c r="EC45" i="23"/>
  <c r="D69" i="11" s="1"/>
  <c r="E69" i="11" s="1"/>
  <c r="EE13" i="23"/>
  <c r="EE45" i="23"/>
  <c r="F69" i="11" s="1"/>
  <c r="EE58" i="23"/>
  <c r="F71" i="11" s="1"/>
  <c r="F68" i="11" l="1"/>
  <c r="F72" i="11" s="1"/>
  <c r="EE59" i="23"/>
  <c r="D68" i="11"/>
  <c r="EC59" i="23"/>
  <c r="E68" i="11" l="1"/>
  <c r="E72" i="11" s="1"/>
  <c r="D72" i="11"/>
</calcChain>
</file>

<file path=xl/sharedStrings.xml><?xml version="1.0" encoding="utf-8"?>
<sst xmlns="http://schemas.openxmlformats.org/spreadsheetml/2006/main" count="2325" uniqueCount="141">
  <si>
    <t>LÍNEA DE NEGOCIO</t>
  </si>
  <si>
    <t>CUENTAS</t>
  </si>
  <si>
    <t>Vida útil estándar</t>
  </si>
  <si>
    <t>RETIROS ACUMUL</t>
  </si>
  <si>
    <t>ATR</t>
  </si>
  <si>
    <t xml:space="preserve">ADICIONES </t>
  </si>
  <si>
    <t>PROPIEDADES Y PLANTA</t>
  </si>
  <si>
    <t>Planta Intangible</t>
  </si>
  <si>
    <t xml:space="preserve">Terrenos </t>
  </si>
  <si>
    <t>Edificios y mejoras</t>
  </si>
  <si>
    <t>Mobiliario y equipo de oficina</t>
  </si>
  <si>
    <t>Equipo de computación</t>
  </si>
  <si>
    <t>Equipos de transporte y carga</t>
  </si>
  <si>
    <t>Equipos de comunicaciones</t>
  </si>
  <si>
    <t>Otros equipos de uso general</t>
  </si>
  <si>
    <t>TOTAL PROPIEDADES Y PLANTA</t>
  </si>
  <si>
    <t>SISTEMA DE DISTRIBUCIÓN</t>
  </si>
  <si>
    <t>Activos intangibles (software)</t>
  </si>
  <si>
    <t>Alta tensión AT (230 y 115 Kv)</t>
  </si>
  <si>
    <t>Media tensión MT</t>
  </si>
  <si>
    <t>Líneas aéreas de 34,5 kV</t>
  </si>
  <si>
    <t>Líneas aéreas de 13,8 kV</t>
  </si>
  <si>
    <t>Líneas aéreas de otras tensiones</t>
  </si>
  <si>
    <t>Líneas subterráneas de 34,5 kV</t>
  </si>
  <si>
    <t>Líneas subterráneas de 13,8 kV</t>
  </si>
  <si>
    <t>Líneas subterráneas de otras tensiones</t>
  </si>
  <si>
    <t>Subestaciones  34,5 kV / MT</t>
  </si>
  <si>
    <t>Subestaciones  13,8 kV / MT</t>
  </si>
  <si>
    <t>Otras subestaciones  MT/MT</t>
  </si>
  <si>
    <t>Baja tensión BT (&lt;600V)</t>
  </si>
  <si>
    <t>Líneas aéreas BT</t>
  </si>
  <si>
    <t>Líneas subterráneas BT</t>
  </si>
  <si>
    <t>Otros equipos del sistema de distribución</t>
  </si>
  <si>
    <t>Equipos de computación</t>
  </si>
  <si>
    <t>TOTAL SISTEMA DE DISTRIBUCIÓN</t>
  </si>
  <si>
    <t>ALUMBRADO PÚBLICO</t>
  </si>
  <si>
    <t>Lámparas, accesorios y postes de alumbrado público</t>
  </si>
  <si>
    <t>TOTAL ALUMBRADO PÚBLICO</t>
  </si>
  <si>
    <t>COMERCIALIZACIÓN</t>
  </si>
  <si>
    <t>Terrenos</t>
  </si>
  <si>
    <t>Sistema de medidores y accesorios</t>
  </si>
  <si>
    <t>Otros equipos del sistema de comercialización</t>
  </si>
  <si>
    <t>TOTAL SISTEMA DE COMERCIALIZACIÓN</t>
  </si>
  <si>
    <t>TOTAL PROPIEDADES Y PLANTA + SISTEMA DE DISTRIBUCIÓN + ALUMBRADO PÚBLICO + COMERCIALIZACIÓN</t>
  </si>
  <si>
    <t>SISTEMA DE COMERCIALIZACIÓN</t>
  </si>
  <si>
    <t>ATR Retiros acumul</t>
  </si>
  <si>
    <t>COEFICIENTE DE EFICIENCIA</t>
  </si>
  <si>
    <t>Centro de transformación  34,5 kV / BT</t>
  </si>
  <si>
    <t>Centro de transformación  13,8 kV / BT</t>
  </si>
  <si>
    <t>Otros centros de transformación  MT/BT</t>
  </si>
  <si>
    <t>Acometidas BT</t>
  </si>
  <si>
    <t>Despachos de maniobra y SCADA</t>
  </si>
  <si>
    <t>Equipos de medición y control de la calidad del suministro</t>
  </si>
  <si>
    <t>Centros de reflexión MT</t>
  </si>
  <si>
    <t>Equipos de medida SMEC</t>
  </si>
  <si>
    <t>PLANILLA AA-01</t>
  </si>
  <si>
    <t xml:space="preserve"> BC BRUTA  31/12</t>
  </si>
  <si>
    <t xml:space="preserve"> BC BRUTA tdep  31/12</t>
  </si>
  <si>
    <t>BC NETA 31/12</t>
  </si>
  <si>
    <t>Otros equipos del sistema de Distribución</t>
  </si>
  <si>
    <t>SISTEMA DE</t>
  </si>
  <si>
    <t>DISTRIBUCION</t>
  </si>
  <si>
    <t>Vida activos 2006</t>
  </si>
  <si>
    <t>Año de alta activos &lt; 2005</t>
  </si>
  <si>
    <t>Vida activos 2007</t>
  </si>
  <si>
    <t>Vida activos 2008</t>
  </si>
  <si>
    <t>Vida activos 2009</t>
  </si>
  <si>
    <t>Vida activos 2010</t>
  </si>
  <si>
    <t>t&lt;2001</t>
  </si>
  <si>
    <t xml:space="preserve"> BC BRUTA  31/12/01</t>
  </si>
  <si>
    <t>BC NETA 31/12/01</t>
  </si>
  <si>
    <t>Vida activos &lt; 2001</t>
  </si>
  <si>
    <t>Vida activos 2002</t>
  </si>
  <si>
    <t>Vida activos 2003</t>
  </si>
  <si>
    <t>Vida activos 2004</t>
  </si>
  <si>
    <t>Vida activos 2005</t>
  </si>
  <si>
    <t>Vida activos 2011</t>
  </si>
  <si>
    <t>Vida activos 2012</t>
  </si>
  <si>
    <t>Vida activos 2013</t>
  </si>
  <si>
    <t>Vida activos 2014</t>
  </si>
  <si>
    <t>Propiedades y planta</t>
  </si>
  <si>
    <t>BCBruto</t>
  </si>
  <si>
    <t>BCNeta</t>
  </si>
  <si>
    <t>Sistema de distribución</t>
  </si>
  <si>
    <t>Alumbrado Público</t>
  </si>
  <si>
    <t>Comercialización</t>
  </si>
  <si>
    <t>Eficiencia</t>
  </si>
  <si>
    <t>BCD</t>
  </si>
  <si>
    <t>BCC</t>
  </si>
  <si>
    <t>BCNC</t>
  </si>
  <si>
    <t>BCAP</t>
  </si>
  <si>
    <t>BCDN</t>
  </si>
  <si>
    <t>BCNAP</t>
  </si>
  <si>
    <t>Depr RETIROS ACUMUL</t>
  </si>
  <si>
    <t>Base de Capital</t>
  </si>
  <si>
    <t xml:space="preserve">Líneas aéreas </t>
  </si>
  <si>
    <t>Líneas subterraneas</t>
  </si>
  <si>
    <t>Subestaciones AT/BT</t>
  </si>
  <si>
    <t>Vida activos 2015</t>
  </si>
  <si>
    <t>Vida activos 2016</t>
  </si>
  <si>
    <t>Vida activos 2017</t>
  </si>
  <si>
    <t>Vida activos 2018</t>
  </si>
  <si>
    <t>Inversiones</t>
  </si>
  <si>
    <t xml:space="preserve">Total </t>
  </si>
  <si>
    <t>Base (Jun 2018)</t>
  </si>
  <si>
    <t xml:space="preserve"> BC BRUTA  Changuinola</t>
  </si>
  <si>
    <t>BC NETA Changuinola</t>
  </si>
  <si>
    <t>OER</t>
  </si>
  <si>
    <t>Vida activos Changi</t>
  </si>
  <si>
    <t xml:space="preserve">EDECHI 2014 </t>
  </si>
  <si>
    <t>EDECHI 2015</t>
  </si>
  <si>
    <t>EDECHI 2016</t>
  </si>
  <si>
    <t>EDECHI 2017</t>
  </si>
  <si>
    <t>BCBruta</t>
  </si>
  <si>
    <t>Tipo de Activo</t>
  </si>
  <si>
    <t>Base sin lo total depreciado</t>
  </si>
  <si>
    <t>Retiros</t>
  </si>
  <si>
    <t>Vida activos 2019</t>
  </si>
  <si>
    <t>Vida activos 2020</t>
  </si>
  <si>
    <t>Vida activos 2021</t>
  </si>
  <si>
    <t>EDECHI 2018</t>
  </si>
  <si>
    <t>EDECHI 2019</t>
  </si>
  <si>
    <t>EDECHI 2020</t>
  </si>
  <si>
    <t>EDECHI 2021</t>
  </si>
  <si>
    <t>ATR y AE</t>
  </si>
  <si>
    <t>INVERSIONES RECONOCIDAS</t>
  </si>
  <si>
    <t>DISTRIBUCIÓN</t>
  </si>
  <si>
    <t>PROPIEDAD Y PLANTA</t>
  </si>
  <si>
    <t>TOTAL</t>
  </si>
  <si>
    <t>JUL 18 - JUN 19</t>
  </si>
  <si>
    <t>JUL 19 - JUN 20</t>
  </si>
  <si>
    <t>JUL 20 - JUN 21</t>
  </si>
  <si>
    <t>JUL 21 - JUN 22</t>
  </si>
  <si>
    <t>EDECHI</t>
  </si>
  <si>
    <t>Vida activos 2022</t>
  </si>
  <si>
    <t>Vida activos 2023</t>
  </si>
  <si>
    <t>Vida activos 2024</t>
  </si>
  <si>
    <t>EDECHI 2022</t>
  </si>
  <si>
    <t>EDECHI 2023</t>
  </si>
  <si>
    <t>EDECHI 2024</t>
  </si>
  <si>
    <t>EDECHI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</si>
</sst>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* #,##0.00\ _$_-;\-* #,##0.00\ _$_-;_-* &quot;-&quot;??\ _$_-;_-@_-"/>
    <numFmt numFmtId="165" formatCode="_-* #,##0.00\ _€_-;\-* #,##0.00\ _€_-;_-* &quot;-&quot;??\ _€_-;_-@_-"/>
    <numFmt numFmtId="166" formatCode="_-* #,##0.00\ _P_t_a_-;\-* #,##0.00\ _P_t_a_-;_-* &quot;-&quot;??\ _P_t_a_-;_-@_-"/>
    <numFmt numFmtId="167" formatCode="0.0"/>
    <numFmt numFmtId="168" formatCode="_(* #,##0_);_(* \(#,##0\);_(* &quot;-&quot;??_);_(@_)"/>
    <numFmt numFmtId="169" formatCode="0.0000"/>
    <numFmt numFmtId="170" formatCode="_-* #,##0\ _P_t_a_-;\-* #,##0\ _P_t_a_-;_-* &quot;-&quot;??\ _P_t_a_-;_-@_-"/>
    <numFmt numFmtId="171" formatCode="_-[$B/.-180A]\ * #,##0.00_ ;_-[$B/.-180A]\ * \-#,##0.00\ ;_-[$B/.-180A]\ * &quot;-&quot;??_ ;_-@_ "/>
    <numFmt numFmtId="172" formatCode="_-[$B/.-180A]\ * #,##0_ ;_-[$B/.-180A]\ * \-#,##0\ ;_-[$B/.-180A]\ * &quot;-&quot;??_ ;_-@_ "/>
    <numFmt numFmtId="173" formatCode="_-[$B/.-180A]* #,##0.00_-;\-[$B/.-180A]* #,##0.00_-;_-[$B/.-180A]* &quot;-&quot;??_-;_-@_-"/>
    <numFmt numFmtId="174" formatCode="0.000000000"/>
  </numFmts>
  <fonts count="21" x14ac:knownFonts="1">
    <font>
      <sz val="10"/>
      <name val="Arial"/>
    </font>
    <font>
      <sz val="10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7"/>
      <color indexed="8"/>
      <name val="Arial"/>
      <family val="2"/>
    </font>
    <font>
      <b/>
      <sz val="6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56"/>
      <name val="Calibri"/>
      <family val="2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medium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medium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medium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medium">
        <color theme="3" tint="0.39994506668294322"/>
      </bottom>
      <diagonal/>
    </border>
    <border>
      <left style="thin">
        <color theme="3" tint="0.39994506668294322"/>
      </left>
      <right style="medium">
        <color theme="3" tint="0.39994506668294322"/>
      </right>
      <top style="thin">
        <color theme="3" tint="0.39994506668294322"/>
      </top>
      <bottom style="medium">
        <color theme="3" tint="0.39994506668294322"/>
      </bottom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0" fontId="15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614">
    <xf numFmtId="0" fontId="0" fillId="0" borderId="0" xfId="0"/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9" fillId="2" borderId="9" xfId="0" applyFont="1" applyFill="1" applyBorder="1"/>
    <xf numFmtId="0" fontId="9" fillId="5" borderId="10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/>
    </xf>
    <xf numFmtId="0" fontId="8" fillId="3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2" borderId="1" xfId="0" applyFont="1" applyFill="1" applyBorder="1" applyAlignment="1">
      <alignment horizontal="justify" vertical="top" wrapText="1"/>
    </xf>
    <xf numFmtId="1" fontId="0" fillId="6" borderId="13" xfId="0" applyNumberForma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9" fillId="2" borderId="10" xfId="0" applyFont="1" applyFill="1" applyBorder="1"/>
    <xf numFmtId="0" fontId="9" fillId="5" borderId="14" xfId="0" applyFont="1" applyFill="1" applyBorder="1"/>
    <xf numFmtId="1" fontId="0" fillId="7" borderId="13" xfId="0" applyNumberFormat="1" applyFill="1" applyBorder="1" applyAlignment="1">
      <alignment horizontal="center" vertical="center"/>
    </xf>
    <xf numFmtId="1" fontId="0" fillId="8" borderId="13" xfId="0" applyNumberFormat="1" applyFill="1" applyBorder="1" applyAlignment="1">
      <alignment horizontal="center" vertical="center"/>
    </xf>
    <xf numFmtId="1" fontId="0" fillId="9" borderId="13" xfId="0" applyNumberForma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/>
    </xf>
    <xf numFmtId="1" fontId="0" fillId="9" borderId="1" xfId="0" applyNumberFormat="1" applyFill="1" applyBorder="1" applyAlignment="1">
      <alignment horizontal="center" vertical="center"/>
    </xf>
    <xf numFmtId="3" fontId="10" fillId="7" borderId="1" xfId="1" applyNumberFormat="1" applyFont="1" applyFill="1" applyBorder="1" applyAlignment="1">
      <alignment horizontal="right"/>
    </xf>
    <xf numFmtId="3" fontId="4" fillId="7" borderId="15" xfId="0" applyNumberFormat="1" applyFont="1" applyFill="1" applyBorder="1" applyAlignment="1">
      <alignment horizontal="center"/>
    </xf>
    <xf numFmtId="3" fontId="10" fillId="7" borderId="16" xfId="1" applyNumberFormat="1" applyFont="1" applyFill="1" applyBorder="1" applyAlignment="1">
      <alignment horizontal="right"/>
    </xf>
    <xf numFmtId="3" fontId="10" fillId="10" borderId="1" xfId="1" applyNumberFormat="1" applyFont="1" applyFill="1" applyBorder="1"/>
    <xf numFmtId="3" fontId="10" fillId="7" borderId="17" xfId="1" applyNumberFormat="1" applyFont="1" applyFill="1" applyBorder="1" applyAlignment="1">
      <alignment horizontal="right"/>
    </xf>
    <xf numFmtId="3" fontId="10" fillId="7" borderId="2" xfId="1" applyNumberFormat="1" applyFont="1" applyFill="1" applyBorder="1" applyAlignment="1">
      <alignment horizontal="right"/>
    </xf>
    <xf numFmtId="2" fontId="0" fillId="4" borderId="1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2" fontId="4" fillId="11" borderId="15" xfId="0" applyNumberFormat="1" applyFont="1" applyFill="1" applyBorder="1" applyAlignment="1">
      <alignment horizontal="center"/>
    </xf>
    <xf numFmtId="2" fontId="0" fillId="4" borderId="13" xfId="0" applyNumberFormat="1" applyFill="1" applyBorder="1" applyAlignment="1">
      <alignment horizontal="center"/>
    </xf>
    <xf numFmtId="2" fontId="0" fillId="11" borderId="1" xfId="0" applyNumberFormat="1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3" fontId="10" fillId="12" borderId="1" xfId="1" applyNumberFormat="1" applyFont="1" applyFill="1" applyBorder="1"/>
    <xf numFmtId="0" fontId="0" fillId="12" borderId="1" xfId="0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3" fontId="4" fillId="12" borderId="15" xfId="0" applyNumberFormat="1" applyFont="1" applyFill="1" applyBorder="1" applyAlignment="1">
      <alignment horizontal="center"/>
    </xf>
    <xf numFmtId="3" fontId="0" fillId="12" borderId="1" xfId="0" applyNumberFormat="1" applyFill="1" applyBorder="1" applyAlignment="1">
      <alignment horizontal="center"/>
    </xf>
    <xf numFmtId="0" fontId="4" fillId="11" borderId="15" xfId="0" applyFont="1" applyFill="1" applyBorder="1" applyAlignment="1">
      <alignment horizontal="center"/>
    </xf>
    <xf numFmtId="0" fontId="0" fillId="4" borderId="13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3" fontId="10" fillId="6" borderId="1" xfId="1" applyNumberFormat="1" applyFont="1" applyFill="1" applyBorder="1"/>
    <xf numFmtId="0" fontId="0" fillId="6" borderId="1" xfId="0" applyFill="1" applyBorder="1" applyAlignment="1">
      <alignment horizontal="center"/>
    </xf>
    <xf numFmtId="168" fontId="10" fillId="8" borderId="12" xfId="1" applyNumberFormat="1" applyFont="1" applyFill="1" applyBorder="1"/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3" fontId="10" fillId="9" borderId="1" xfId="1" applyNumberFormat="1" applyFont="1" applyFill="1" applyBorder="1"/>
    <xf numFmtId="0" fontId="0" fillId="6" borderId="6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3" fontId="4" fillId="6" borderId="15" xfId="0" applyNumberFormat="1" applyFont="1" applyFill="1" applyBorder="1" applyAlignment="1">
      <alignment horizontal="center"/>
    </xf>
    <xf numFmtId="3" fontId="4" fillId="9" borderId="15" xfId="0" applyNumberFormat="1" applyFont="1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3" fontId="10" fillId="8" borderId="12" xfId="1" applyNumberFormat="1" applyFont="1" applyFill="1" applyBorder="1"/>
    <xf numFmtId="0" fontId="0" fillId="8" borderId="13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3" fontId="10" fillId="2" borderId="1" xfId="1" applyNumberFormat="1" applyFont="1" applyFill="1" applyBorder="1"/>
    <xf numFmtId="0" fontId="0" fillId="13" borderId="1" xfId="0" applyFill="1" applyBorder="1" applyAlignment="1">
      <alignment horizontal="center"/>
    </xf>
    <xf numFmtId="3" fontId="10" fillId="8" borderId="1" xfId="1" applyNumberFormat="1" applyFont="1" applyFill="1" applyBorder="1"/>
    <xf numFmtId="3" fontId="0" fillId="10" borderId="1" xfId="0" applyNumberFormat="1" applyFill="1" applyBorder="1" applyAlignment="1">
      <alignment horizontal="center"/>
    </xf>
    <xf numFmtId="3" fontId="10" fillId="8" borderId="6" xfId="1" applyNumberFormat="1" applyFont="1" applyFill="1" applyBorder="1"/>
    <xf numFmtId="0" fontId="0" fillId="6" borderId="2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168" fontId="10" fillId="9" borderId="12" xfId="1" applyNumberFormat="1" applyFont="1" applyFill="1" applyBorder="1"/>
    <xf numFmtId="0" fontId="0" fillId="9" borderId="2" xfId="0" applyFill="1" applyBorder="1" applyAlignment="1">
      <alignment horizontal="center"/>
    </xf>
    <xf numFmtId="3" fontId="0" fillId="7" borderId="1" xfId="0" applyNumberFormat="1" applyFill="1" applyBorder="1" applyAlignment="1">
      <alignment horizontal="center"/>
    </xf>
    <xf numFmtId="3" fontId="11" fillId="5" borderId="6" xfId="0" applyNumberFormat="1" applyFont="1" applyFill="1" applyBorder="1" applyAlignment="1">
      <alignment horizontal="right"/>
    </xf>
    <xf numFmtId="3" fontId="10" fillId="14" borderId="1" xfId="1" applyNumberFormat="1" applyFont="1" applyFill="1" applyBorder="1"/>
    <xf numFmtId="0" fontId="0" fillId="14" borderId="1" xfId="0" applyFill="1" applyBorder="1" applyAlignment="1">
      <alignment horizontal="center"/>
    </xf>
    <xf numFmtId="1" fontId="10" fillId="6" borderId="1" xfId="1" applyNumberFormat="1" applyFont="1" applyFill="1" applyBorder="1"/>
    <xf numFmtId="1" fontId="0" fillId="6" borderId="1" xfId="0" applyNumberFormat="1" applyFill="1" applyBorder="1" applyAlignment="1">
      <alignment horizontal="center"/>
    </xf>
    <xf numFmtId="1" fontId="10" fillId="8" borderId="1" xfId="1" applyNumberFormat="1" applyFont="1" applyFill="1" applyBorder="1"/>
    <xf numFmtId="1" fontId="0" fillId="8" borderId="1" xfId="0" applyNumberFormat="1" applyFill="1" applyBorder="1" applyAlignment="1">
      <alignment horizontal="right"/>
    </xf>
    <xf numFmtId="1" fontId="0" fillId="8" borderId="1" xfId="0" applyNumberFormat="1" applyFill="1" applyBorder="1" applyAlignment="1">
      <alignment horizontal="center"/>
    </xf>
    <xf numFmtId="1" fontId="10" fillId="9" borderId="12" xfId="1" applyNumberFormat="1" applyFont="1" applyFill="1" applyBorder="1"/>
    <xf numFmtId="1" fontId="0" fillId="9" borderId="1" xfId="0" applyNumberFormat="1" applyFill="1" applyBorder="1" applyAlignment="1">
      <alignment horizontal="center"/>
    </xf>
    <xf numFmtId="1" fontId="10" fillId="9" borderId="1" xfId="1" applyNumberFormat="1" applyFont="1" applyFill="1" applyBorder="1" applyAlignment="1">
      <alignment horizontal="right"/>
    </xf>
    <xf numFmtId="1" fontId="10" fillId="9" borderId="1" xfId="1" applyNumberFormat="1" applyFont="1" applyFill="1" applyBorder="1"/>
    <xf numFmtId="1" fontId="0" fillId="6" borderId="6" xfId="0" applyNumberFormat="1" applyFill="1" applyBorder="1" applyAlignment="1">
      <alignment horizontal="center"/>
    </xf>
    <xf numFmtId="1" fontId="0" fillId="8" borderId="6" xfId="0" applyNumberFormat="1" applyFill="1" applyBorder="1" applyAlignment="1">
      <alignment horizontal="right"/>
    </xf>
    <xf numFmtId="1" fontId="0" fillId="8" borderId="6" xfId="0" applyNumberFormat="1" applyFill="1" applyBorder="1" applyAlignment="1">
      <alignment horizontal="center"/>
    </xf>
    <xf numFmtId="1" fontId="0" fillId="9" borderId="6" xfId="0" applyNumberFormat="1" applyFill="1" applyBorder="1" applyAlignment="1">
      <alignment horizontal="center"/>
    </xf>
    <xf numFmtId="1" fontId="0" fillId="6" borderId="13" xfId="0" applyNumberFormat="1" applyFill="1" applyBorder="1" applyAlignment="1">
      <alignment horizontal="center"/>
    </xf>
    <xf numFmtId="1" fontId="0" fillId="8" borderId="13" xfId="0" applyNumberFormat="1" applyFill="1" applyBorder="1" applyAlignment="1">
      <alignment horizontal="right"/>
    </xf>
    <xf numFmtId="1" fontId="0" fillId="8" borderId="13" xfId="0" applyNumberFormat="1" applyFill="1" applyBorder="1" applyAlignment="1">
      <alignment horizontal="center"/>
    </xf>
    <xf numFmtId="1" fontId="0" fillId="9" borderId="13" xfId="0" applyNumberFormat="1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13" borderId="1" xfId="0" applyNumberFormat="1" applyFill="1" applyBorder="1" applyAlignment="1">
      <alignment horizontal="center"/>
    </xf>
    <xf numFmtId="1" fontId="0" fillId="13" borderId="1" xfId="0" applyNumberFormat="1" applyFill="1" applyBorder="1" applyAlignment="1">
      <alignment horizontal="right"/>
    </xf>
    <xf numFmtId="1" fontId="0" fillId="12" borderId="1" xfId="0" applyNumberFormat="1" applyFill="1" applyBorder="1" applyAlignment="1">
      <alignment horizontal="center"/>
    </xf>
    <xf numFmtId="1" fontId="10" fillId="8" borderId="1" xfId="1" applyNumberFormat="1" applyFont="1" applyFill="1" applyBorder="1" applyAlignment="1">
      <alignment horizontal="right"/>
    </xf>
    <xf numFmtId="1" fontId="0" fillId="10" borderId="1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center"/>
    </xf>
    <xf numFmtId="1" fontId="0" fillId="8" borderId="2" xfId="0" applyNumberFormat="1" applyFill="1" applyBorder="1" applyAlignment="1">
      <alignment horizontal="right"/>
    </xf>
    <xf numFmtId="1" fontId="0" fillId="8" borderId="2" xfId="0" applyNumberFormat="1" applyFill="1" applyBorder="1" applyAlignment="1">
      <alignment horizontal="center"/>
    </xf>
    <xf numFmtId="1" fontId="0" fillId="9" borderId="2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right"/>
    </xf>
    <xf numFmtId="1" fontId="0" fillId="0" borderId="0" xfId="0" applyNumberFormat="1"/>
    <xf numFmtId="3" fontId="4" fillId="8" borderId="15" xfId="0" applyNumberFormat="1" applyFont="1" applyFill="1" applyBorder="1" applyAlignment="1">
      <alignment horizontal="center"/>
    </xf>
    <xf numFmtId="3" fontId="4" fillId="9" borderId="18" xfId="0" applyNumberFormat="1" applyFont="1" applyFill="1" applyBorder="1" applyAlignment="1">
      <alignment horizontal="center"/>
    </xf>
    <xf numFmtId="3" fontId="4" fillId="12" borderId="19" xfId="0" applyNumberFormat="1" applyFont="1" applyFill="1" applyBorder="1" applyAlignment="1">
      <alignment horizontal="center"/>
    </xf>
    <xf numFmtId="3" fontId="4" fillId="12" borderId="10" xfId="0" applyNumberFormat="1" applyFont="1" applyFill="1" applyBorder="1" applyAlignment="1">
      <alignment horizontal="center"/>
    </xf>
    <xf numFmtId="3" fontId="12" fillId="5" borderId="9" xfId="0" applyNumberFormat="1" applyFont="1" applyFill="1" applyBorder="1" applyAlignment="1">
      <alignment horizontal="center"/>
    </xf>
    <xf numFmtId="3" fontId="12" fillId="5" borderId="15" xfId="0" applyNumberFormat="1" applyFont="1" applyFill="1" applyBorder="1" applyAlignment="1">
      <alignment horizontal="center"/>
    </xf>
    <xf numFmtId="3" fontId="12" fillId="5" borderId="20" xfId="0" applyNumberFormat="1" applyFont="1" applyFill="1" applyBorder="1" applyAlignment="1">
      <alignment horizontal="center"/>
    </xf>
    <xf numFmtId="3" fontId="4" fillId="15" borderId="9" xfId="0" applyNumberFormat="1" applyFont="1" applyFill="1" applyBorder="1" applyAlignment="1">
      <alignment horizontal="center"/>
    </xf>
    <xf numFmtId="3" fontId="4" fillId="15" borderId="15" xfId="0" applyNumberFormat="1" applyFont="1" applyFill="1" applyBorder="1" applyAlignment="1">
      <alignment horizontal="center"/>
    </xf>
    <xf numFmtId="3" fontId="4" fillId="15" borderId="20" xfId="0" applyNumberFormat="1" applyFont="1" applyFill="1" applyBorder="1" applyAlignment="1">
      <alignment horizontal="center"/>
    </xf>
    <xf numFmtId="3" fontId="4" fillId="8" borderId="21" xfId="0" applyNumberFormat="1" applyFont="1" applyFill="1" applyBorder="1" applyAlignment="1">
      <alignment horizontal="center"/>
    </xf>
    <xf numFmtId="1" fontId="10" fillId="6" borderId="1" xfId="1" applyNumberFormat="1" applyFont="1" applyFill="1" applyBorder="1" applyAlignment="1">
      <alignment horizontal="right"/>
    </xf>
    <xf numFmtId="166" fontId="10" fillId="19" borderId="1" xfId="1" applyFont="1" applyFill="1" applyBorder="1" applyAlignment="1">
      <alignment horizontal="center"/>
    </xf>
    <xf numFmtId="166" fontId="10" fillId="20" borderId="1" xfId="1" applyFont="1" applyFill="1" applyBorder="1" applyAlignment="1">
      <alignment horizontal="center"/>
    </xf>
    <xf numFmtId="166" fontId="10" fillId="20" borderId="6" xfId="1" applyFont="1" applyFill="1" applyBorder="1" applyAlignment="1">
      <alignment horizontal="center"/>
    </xf>
    <xf numFmtId="166" fontId="3" fillId="20" borderId="10" xfId="1" applyFont="1" applyFill="1" applyBorder="1" applyAlignment="1">
      <alignment horizontal="center"/>
    </xf>
    <xf numFmtId="166" fontId="10" fillId="20" borderId="13" xfId="1" applyFont="1" applyFill="1" applyBorder="1" applyAlignment="1">
      <alignment horizontal="center"/>
    </xf>
    <xf numFmtId="166" fontId="3" fillId="20" borderId="15" xfId="1" applyFont="1" applyFill="1" applyBorder="1" applyAlignment="1">
      <alignment horizontal="center"/>
    </xf>
    <xf numFmtId="166" fontId="10" fillId="20" borderId="2" xfId="1" applyFont="1" applyFill="1" applyBorder="1" applyAlignment="1">
      <alignment horizontal="center"/>
    </xf>
    <xf numFmtId="166" fontId="10" fillId="20" borderId="13" xfId="1" applyFont="1" applyFill="1" applyBorder="1" applyAlignment="1">
      <alignment horizontal="center" vertical="center"/>
    </xf>
    <xf numFmtId="166" fontId="10" fillId="21" borderId="1" xfId="1" applyFont="1" applyFill="1" applyBorder="1" applyAlignment="1">
      <alignment horizontal="center"/>
    </xf>
    <xf numFmtId="166" fontId="10" fillId="21" borderId="6" xfId="1" applyFont="1" applyFill="1" applyBorder="1" applyAlignment="1">
      <alignment horizontal="center"/>
    </xf>
    <xf numFmtId="166" fontId="3" fillId="21" borderId="10" xfId="1" applyFont="1" applyFill="1" applyBorder="1" applyAlignment="1">
      <alignment horizontal="center"/>
    </xf>
    <xf numFmtId="166" fontId="10" fillId="21" borderId="13" xfId="1" applyFont="1" applyFill="1" applyBorder="1" applyAlignment="1">
      <alignment horizontal="center"/>
    </xf>
    <xf numFmtId="166" fontId="3" fillId="21" borderId="15" xfId="1" applyFont="1" applyFill="1" applyBorder="1" applyAlignment="1">
      <alignment horizontal="center"/>
    </xf>
    <xf numFmtId="166" fontId="10" fillId="21" borderId="2" xfId="1" applyFont="1" applyFill="1" applyBorder="1" applyAlignment="1">
      <alignment horizontal="center"/>
    </xf>
    <xf numFmtId="166" fontId="10" fillId="21" borderId="13" xfId="1" applyFont="1" applyFill="1" applyBorder="1" applyAlignment="1">
      <alignment horizontal="center" vertical="center"/>
    </xf>
    <xf numFmtId="166" fontId="10" fillId="22" borderId="1" xfId="1" applyFont="1" applyFill="1" applyBorder="1" applyAlignment="1">
      <alignment horizontal="center"/>
    </xf>
    <xf numFmtId="166" fontId="17" fillId="21" borderId="1" xfId="1" applyFont="1" applyFill="1" applyBorder="1" applyAlignment="1">
      <alignment horizontal="center"/>
    </xf>
    <xf numFmtId="166" fontId="18" fillId="21" borderId="10" xfId="1" applyFont="1" applyFill="1" applyBorder="1" applyAlignment="1">
      <alignment horizontal="center"/>
    </xf>
    <xf numFmtId="166" fontId="17" fillId="21" borderId="13" xfId="1" applyFont="1" applyFill="1" applyBorder="1" applyAlignment="1">
      <alignment horizontal="center"/>
    </xf>
    <xf numFmtId="166" fontId="17" fillId="22" borderId="1" xfId="1" applyFont="1" applyFill="1" applyBorder="1" applyAlignment="1">
      <alignment horizontal="center"/>
    </xf>
    <xf numFmtId="166" fontId="18" fillId="21" borderId="15" xfId="1" applyFont="1" applyFill="1" applyBorder="1" applyAlignment="1">
      <alignment horizontal="center"/>
    </xf>
    <xf numFmtId="166" fontId="17" fillId="21" borderId="2" xfId="1" applyFont="1" applyFill="1" applyBorder="1" applyAlignment="1">
      <alignment horizontal="center"/>
    </xf>
    <xf numFmtId="166" fontId="17" fillId="21" borderId="13" xfId="1" applyFont="1" applyFill="1" applyBorder="1" applyAlignment="1">
      <alignment horizontal="center" vertical="center"/>
    </xf>
    <xf numFmtId="1" fontId="10" fillId="7" borderId="1" xfId="0" applyNumberFormat="1" applyFont="1" applyFill="1" applyBorder="1" applyAlignment="1">
      <alignment horizontal="right"/>
    </xf>
    <xf numFmtId="3" fontId="10" fillId="7" borderId="1" xfId="0" applyNumberFormat="1" applyFont="1" applyFill="1" applyBorder="1" applyAlignment="1">
      <alignment horizontal="right"/>
    </xf>
    <xf numFmtId="1" fontId="10" fillId="8" borderId="1" xfId="0" applyNumberFormat="1" applyFont="1" applyFill="1" applyBorder="1" applyAlignment="1">
      <alignment horizontal="right"/>
    </xf>
    <xf numFmtId="3" fontId="10" fillId="5" borderId="1" xfId="0" applyNumberFormat="1" applyFont="1" applyFill="1" applyBorder="1" applyAlignment="1">
      <alignment horizontal="right"/>
    </xf>
    <xf numFmtId="0" fontId="10" fillId="5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right"/>
    </xf>
    <xf numFmtId="3" fontId="10" fillId="8" borderId="1" xfId="0" applyNumberFormat="1" applyFont="1" applyFill="1" applyBorder="1" applyAlignment="1">
      <alignment horizontal="right"/>
    </xf>
    <xf numFmtId="3" fontId="10" fillId="9" borderId="13" xfId="0" applyNumberFormat="1" applyFont="1" applyFill="1" applyBorder="1"/>
    <xf numFmtId="3" fontId="10" fillId="23" borderId="1" xfId="1" applyNumberFormat="1" applyFont="1" applyFill="1" applyBorder="1"/>
    <xf numFmtId="3" fontId="10" fillId="10" borderId="1" xfId="0" applyNumberFormat="1" applyFont="1" applyFill="1" applyBorder="1" applyAlignment="1">
      <alignment horizontal="right"/>
    </xf>
    <xf numFmtId="3" fontId="10" fillId="7" borderId="6" xfId="0" applyNumberFormat="1" applyFont="1" applyFill="1" applyBorder="1"/>
    <xf numFmtId="3" fontId="10" fillId="7" borderId="6" xfId="0" applyNumberFormat="1" applyFont="1" applyFill="1" applyBorder="1" applyAlignment="1">
      <alignment horizontal="right"/>
    </xf>
    <xf numFmtId="3" fontId="4" fillId="5" borderId="9" xfId="0" applyNumberFormat="1" applyFont="1" applyFill="1" applyBorder="1" applyAlignment="1">
      <alignment horizontal="center"/>
    </xf>
    <xf numFmtId="3" fontId="4" fillId="5" borderId="15" xfId="0" applyNumberFormat="1" applyFont="1" applyFill="1" applyBorder="1" applyAlignment="1">
      <alignment horizontal="center"/>
    </xf>
    <xf numFmtId="3" fontId="4" fillId="5" borderId="20" xfId="0" applyNumberFormat="1" applyFont="1" applyFill="1" applyBorder="1" applyAlignment="1">
      <alignment horizontal="center"/>
    </xf>
    <xf numFmtId="3" fontId="10" fillId="5" borderId="13" xfId="0" applyNumberFormat="1" applyFont="1" applyFill="1" applyBorder="1" applyAlignment="1">
      <alignment horizontal="right"/>
    </xf>
    <xf numFmtId="0" fontId="10" fillId="5" borderId="13" xfId="0" applyFont="1" applyFill="1" applyBorder="1" applyAlignment="1">
      <alignment horizontal="center"/>
    </xf>
    <xf numFmtId="3" fontId="10" fillId="15" borderId="1" xfId="0" applyNumberFormat="1" applyFont="1" applyFill="1" applyBorder="1" applyAlignment="1">
      <alignment horizontal="right"/>
    </xf>
    <xf numFmtId="0" fontId="10" fillId="15" borderId="1" xfId="0" applyFont="1" applyFill="1" applyBorder="1" applyAlignment="1">
      <alignment horizontal="right"/>
    </xf>
    <xf numFmtId="0" fontId="10" fillId="15" borderId="1" xfId="0" applyFont="1" applyFill="1" applyBorder="1" applyAlignment="1">
      <alignment horizontal="center"/>
    </xf>
    <xf numFmtId="0" fontId="10" fillId="13" borderId="1" xfId="0" applyFont="1" applyFill="1" applyBorder="1" applyAlignment="1">
      <alignment horizontal="center"/>
    </xf>
    <xf numFmtId="1" fontId="10" fillId="9" borderId="1" xfId="0" applyNumberFormat="1" applyFont="1" applyFill="1" applyBorder="1" applyAlignment="1">
      <alignment horizontal="right"/>
    </xf>
    <xf numFmtId="3" fontId="10" fillId="5" borderId="6" xfId="0" applyNumberFormat="1" applyFont="1" applyFill="1" applyBorder="1" applyAlignment="1">
      <alignment horizontal="right"/>
    </xf>
    <xf numFmtId="0" fontId="10" fillId="5" borderId="6" xfId="0" applyFont="1" applyFill="1" applyBorder="1" applyAlignment="1">
      <alignment horizontal="center"/>
    </xf>
    <xf numFmtId="3" fontId="10" fillId="7" borderId="2" xfId="0" applyNumberFormat="1" applyFont="1" applyFill="1" applyBorder="1" applyAlignment="1">
      <alignment horizontal="right"/>
    </xf>
    <xf numFmtId="3" fontId="10" fillId="5" borderId="2" xfId="0" applyNumberFormat="1" applyFont="1" applyFill="1" applyBorder="1" applyAlignment="1">
      <alignment horizontal="right"/>
    </xf>
    <xf numFmtId="0" fontId="10" fillId="5" borderId="2" xfId="0" applyFont="1" applyFill="1" applyBorder="1" applyAlignment="1">
      <alignment horizontal="right"/>
    </xf>
    <xf numFmtId="0" fontId="10" fillId="5" borderId="2" xfId="0" applyFont="1" applyFill="1" applyBorder="1" applyAlignment="1">
      <alignment horizontal="center"/>
    </xf>
    <xf numFmtId="0" fontId="10" fillId="12" borderId="2" xfId="0" applyFont="1" applyFill="1" applyBorder="1" applyAlignment="1">
      <alignment horizontal="center"/>
    </xf>
    <xf numFmtId="3" fontId="10" fillId="7" borderId="13" xfId="0" applyNumberFormat="1" applyFont="1" applyFill="1" applyBorder="1" applyAlignment="1">
      <alignment horizontal="right"/>
    </xf>
    <xf numFmtId="0" fontId="10" fillId="5" borderId="13" xfId="0" applyFont="1" applyFill="1" applyBorder="1" applyAlignment="1">
      <alignment horizontal="right"/>
    </xf>
    <xf numFmtId="0" fontId="10" fillId="12" borderId="13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right"/>
    </xf>
    <xf numFmtId="0" fontId="10" fillId="12" borderId="1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right"/>
    </xf>
    <xf numFmtId="0" fontId="10" fillId="12" borderId="6" xfId="0" applyFont="1" applyFill="1" applyBorder="1" applyAlignment="1">
      <alignment horizontal="center"/>
    </xf>
    <xf numFmtId="171" fontId="0" fillId="0" borderId="0" xfId="0" applyNumberFormat="1" applyAlignment="1">
      <alignment horizontal="center"/>
    </xf>
    <xf numFmtId="10" fontId="0" fillId="0" borderId="0" xfId="7" applyNumberFormat="1" applyFont="1" applyAlignment="1">
      <alignment horizontal="center"/>
    </xf>
    <xf numFmtId="3" fontId="4" fillId="12" borderId="18" xfId="0" applyNumberFormat="1" applyFont="1" applyFill="1" applyBorder="1" applyAlignment="1">
      <alignment horizontal="center"/>
    </xf>
    <xf numFmtId="3" fontId="0" fillId="14" borderId="1" xfId="0" applyNumberFormat="1" applyFill="1" applyBorder="1" applyAlignment="1">
      <alignment horizontal="center"/>
    </xf>
    <xf numFmtId="0" fontId="0" fillId="23" borderId="0" xfId="0" applyFill="1"/>
    <xf numFmtId="0" fontId="4" fillId="21" borderId="6" xfId="0" applyFont="1" applyFill="1" applyBorder="1" applyAlignment="1">
      <alignment horizontal="center" vertical="center" wrapText="1"/>
    </xf>
    <xf numFmtId="0" fontId="4" fillId="21" borderId="13" xfId="0" applyFont="1" applyFill="1" applyBorder="1" applyAlignment="1">
      <alignment horizontal="center" vertical="center" wrapText="1"/>
    </xf>
    <xf numFmtId="3" fontId="13" fillId="12" borderId="13" xfId="0" applyNumberFormat="1" applyFont="1" applyFill="1" applyBorder="1" applyAlignment="1">
      <alignment horizontal="center" vertical="center"/>
    </xf>
    <xf numFmtId="1" fontId="14" fillId="10" borderId="1" xfId="0" applyNumberFormat="1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 vertical="center"/>
    </xf>
    <xf numFmtId="3" fontId="0" fillId="12" borderId="13" xfId="0" applyNumberFormat="1" applyFill="1" applyBorder="1" applyAlignment="1">
      <alignment horizontal="center" vertical="center"/>
    </xf>
    <xf numFmtId="166" fontId="10" fillId="23" borderId="1" xfId="1" applyFont="1" applyFill="1" applyBorder="1" applyAlignment="1">
      <alignment horizontal="center"/>
    </xf>
    <xf numFmtId="166" fontId="10" fillId="23" borderId="6" xfId="1" applyFont="1" applyFill="1" applyBorder="1" applyAlignment="1">
      <alignment horizontal="center"/>
    </xf>
    <xf numFmtId="166" fontId="3" fillId="23" borderId="10" xfId="1" applyFont="1" applyFill="1" applyBorder="1" applyAlignment="1">
      <alignment horizontal="center"/>
    </xf>
    <xf numFmtId="166" fontId="10" fillId="23" borderId="13" xfId="1" applyFont="1" applyFill="1" applyBorder="1" applyAlignment="1">
      <alignment horizontal="center"/>
    </xf>
    <xf numFmtId="166" fontId="10" fillId="24" borderId="1" xfId="1" applyFont="1" applyFill="1" applyBorder="1" applyAlignment="1">
      <alignment horizontal="center"/>
    </xf>
    <xf numFmtId="166" fontId="3" fillId="23" borderId="15" xfId="1" applyFont="1" applyFill="1" applyBorder="1" applyAlignment="1">
      <alignment horizontal="center"/>
    </xf>
    <xf numFmtId="166" fontId="10" fillId="23" borderId="2" xfId="1" applyFont="1" applyFill="1" applyBorder="1" applyAlignment="1">
      <alignment horizontal="center"/>
    </xf>
    <xf numFmtId="166" fontId="10" fillId="23" borderId="13" xfId="1" applyFont="1" applyFill="1" applyBorder="1" applyAlignment="1">
      <alignment horizontal="center" vertical="center"/>
    </xf>
    <xf numFmtId="166" fontId="4" fillId="23" borderId="10" xfId="1" applyFont="1" applyFill="1" applyBorder="1" applyAlignment="1">
      <alignment horizontal="center"/>
    </xf>
    <xf numFmtId="2" fontId="10" fillId="24" borderId="1" xfId="1" applyNumberFormat="1" applyFont="1" applyFill="1" applyBorder="1" applyAlignment="1">
      <alignment horizontal="center"/>
    </xf>
    <xf numFmtId="170" fontId="4" fillId="23" borderId="15" xfId="1" applyNumberFormat="1" applyFont="1" applyFill="1" applyBorder="1" applyAlignment="1">
      <alignment horizontal="center"/>
    </xf>
    <xf numFmtId="166" fontId="0" fillId="23" borderId="13" xfId="0" applyNumberFormat="1" applyFill="1" applyBorder="1" applyAlignment="1">
      <alignment horizontal="center" vertical="center"/>
    </xf>
    <xf numFmtId="166" fontId="10" fillId="25" borderId="1" xfId="1" applyFont="1" applyFill="1" applyBorder="1" applyAlignment="1">
      <alignment horizontal="center"/>
    </xf>
    <xf numFmtId="166" fontId="10" fillId="25" borderId="6" xfId="1" applyFont="1" applyFill="1" applyBorder="1" applyAlignment="1">
      <alignment horizontal="center"/>
    </xf>
    <xf numFmtId="166" fontId="3" fillId="25" borderId="10" xfId="1" applyFont="1" applyFill="1" applyBorder="1" applyAlignment="1">
      <alignment horizontal="center"/>
    </xf>
    <xf numFmtId="166" fontId="10" fillId="25" borderId="13" xfId="1" applyFont="1" applyFill="1" applyBorder="1" applyAlignment="1">
      <alignment horizontal="center"/>
    </xf>
    <xf numFmtId="3" fontId="10" fillId="26" borderId="1" xfId="2" applyNumberFormat="1" applyFont="1" applyFill="1" applyBorder="1"/>
    <xf numFmtId="166" fontId="3" fillId="25" borderId="15" xfId="1" applyFont="1" applyFill="1" applyBorder="1" applyAlignment="1">
      <alignment horizontal="center"/>
    </xf>
    <xf numFmtId="166" fontId="10" fillId="25" borderId="2" xfId="1" applyFont="1" applyFill="1" applyBorder="1" applyAlignment="1">
      <alignment horizontal="center"/>
    </xf>
    <xf numFmtId="166" fontId="10" fillId="25" borderId="13" xfId="1" applyFont="1" applyFill="1" applyBorder="1" applyAlignment="1">
      <alignment horizontal="center" vertical="center"/>
    </xf>
    <xf numFmtId="3" fontId="16" fillId="26" borderId="1" xfId="3" applyNumberFormat="1" applyFill="1" applyBorder="1" applyAlignment="1">
      <alignment horizontal="center"/>
    </xf>
    <xf numFmtId="0" fontId="16" fillId="26" borderId="1" xfId="3" applyFill="1" applyBorder="1" applyAlignment="1">
      <alignment horizontal="center"/>
    </xf>
    <xf numFmtId="3" fontId="0" fillId="0" borderId="0" xfId="0" applyNumberFormat="1"/>
    <xf numFmtId="166" fontId="0" fillId="0" borderId="0" xfId="0" applyNumberFormat="1"/>
    <xf numFmtId="0" fontId="13" fillId="0" borderId="0" xfId="0" applyFont="1"/>
    <xf numFmtId="3" fontId="10" fillId="12" borderId="1" xfId="0" applyNumberFormat="1" applyFont="1" applyFill="1" applyBorder="1" applyAlignment="1">
      <alignment horizontal="center"/>
    </xf>
    <xf numFmtId="170" fontId="0" fillId="0" borderId="0" xfId="1" applyNumberFormat="1" applyFont="1" applyBorder="1" applyAlignment="1">
      <alignment horizontal="right"/>
    </xf>
    <xf numFmtId="0" fontId="0" fillId="27" borderId="0" xfId="0" applyFill="1"/>
    <xf numFmtId="166" fontId="10" fillId="28" borderId="1" xfId="1" applyFont="1" applyFill="1" applyBorder="1" applyAlignment="1">
      <alignment horizontal="center"/>
    </xf>
    <xf numFmtId="166" fontId="10" fillId="28" borderId="6" xfId="1" applyFont="1" applyFill="1" applyBorder="1" applyAlignment="1">
      <alignment horizontal="center"/>
    </xf>
    <xf numFmtId="166" fontId="3" fillId="28" borderId="10" xfId="1" applyFont="1" applyFill="1" applyBorder="1" applyAlignment="1">
      <alignment horizontal="center"/>
    </xf>
    <xf numFmtId="166" fontId="3" fillId="28" borderId="15" xfId="1" applyFont="1" applyFill="1" applyBorder="1" applyAlignment="1">
      <alignment horizontal="center"/>
    </xf>
    <xf numFmtId="166" fontId="10" fillId="28" borderId="2" xfId="1" applyFont="1" applyFill="1" applyBorder="1" applyAlignment="1">
      <alignment horizontal="center"/>
    </xf>
    <xf numFmtId="166" fontId="10" fillId="28" borderId="13" xfId="1" applyFont="1" applyFill="1" applyBorder="1" applyAlignment="1">
      <alignment horizontal="center"/>
    </xf>
    <xf numFmtId="166" fontId="10" fillId="28" borderId="13" xfId="1" applyFont="1" applyFill="1" applyBorder="1" applyAlignment="1">
      <alignment horizontal="center" vertical="center"/>
    </xf>
    <xf numFmtId="166" fontId="10" fillId="29" borderId="3" xfId="1" applyFont="1" applyFill="1" applyBorder="1" applyAlignment="1">
      <alignment horizontal="center"/>
    </xf>
    <xf numFmtId="166" fontId="10" fillId="29" borderId="7" xfId="1" applyFont="1" applyFill="1" applyBorder="1" applyAlignment="1">
      <alignment horizontal="center"/>
    </xf>
    <xf numFmtId="166" fontId="3" fillId="29" borderId="10" xfId="1" applyFont="1" applyFill="1" applyBorder="1" applyAlignment="1">
      <alignment horizontal="center"/>
    </xf>
    <xf numFmtId="166" fontId="10" fillId="29" borderId="12" xfId="1" applyFont="1" applyFill="1" applyBorder="1" applyAlignment="1">
      <alignment horizontal="center"/>
    </xf>
    <xf numFmtId="166" fontId="10" fillId="29" borderId="8" xfId="1" applyFont="1" applyFill="1" applyBorder="1" applyAlignment="1">
      <alignment horizontal="center"/>
    </xf>
    <xf numFmtId="166" fontId="10" fillId="29" borderId="8" xfId="1" applyFont="1" applyFill="1" applyBorder="1" applyAlignment="1">
      <alignment horizontal="center" vertical="center"/>
    </xf>
    <xf numFmtId="3" fontId="0" fillId="16" borderId="1" xfId="0" applyNumberFormat="1" applyFill="1" applyBorder="1" applyAlignment="1">
      <alignment horizontal="right"/>
    </xf>
    <xf numFmtId="3" fontId="4" fillId="16" borderId="15" xfId="0" applyNumberFormat="1" applyFont="1" applyFill="1" applyBorder="1" applyAlignment="1">
      <alignment horizontal="right"/>
    </xf>
    <xf numFmtId="3" fontId="0" fillId="17" borderId="1" xfId="0" applyNumberFormat="1" applyFill="1" applyBorder="1" applyAlignment="1">
      <alignment horizontal="right"/>
    </xf>
    <xf numFmtId="3" fontId="0" fillId="16" borderId="13" xfId="0" applyNumberFormat="1" applyFill="1" applyBorder="1" applyAlignment="1">
      <alignment horizontal="right" vertical="center"/>
    </xf>
    <xf numFmtId="166" fontId="10" fillId="28" borderId="3" xfId="1" applyFont="1" applyFill="1" applyBorder="1" applyAlignment="1">
      <alignment horizontal="center"/>
    </xf>
    <xf numFmtId="166" fontId="10" fillId="28" borderId="7" xfId="1" applyFont="1" applyFill="1" applyBorder="1" applyAlignment="1">
      <alignment horizontal="center"/>
    </xf>
    <xf numFmtId="166" fontId="10" fillId="28" borderId="12" xfId="1" applyFont="1" applyFill="1" applyBorder="1" applyAlignment="1">
      <alignment horizontal="center"/>
    </xf>
    <xf numFmtId="166" fontId="10" fillId="28" borderId="8" xfId="1" applyFont="1" applyFill="1" applyBorder="1" applyAlignment="1">
      <alignment horizontal="center"/>
    </xf>
    <xf numFmtId="166" fontId="10" fillId="28" borderId="8" xfId="1" applyFont="1" applyFill="1" applyBorder="1" applyAlignment="1">
      <alignment horizontal="center" vertical="center"/>
    </xf>
    <xf numFmtId="0" fontId="19" fillId="30" borderId="26" xfId="0" applyFont="1" applyFill="1" applyBorder="1" applyAlignment="1">
      <alignment vertical="center"/>
    </xf>
    <xf numFmtId="0" fontId="19" fillId="30" borderId="26" xfId="0" applyFont="1" applyFill="1" applyBorder="1" applyAlignment="1">
      <alignment horizontal="center" vertical="center"/>
    </xf>
    <xf numFmtId="0" fontId="0" fillId="31" borderId="26" xfId="0" applyFill="1" applyBorder="1"/>
    <xf numFmtId="170" fontId="13" fillId="31" borderId="26" xfId="1" applyNumberFormat="1" applyFont="1" applyFill="1" applyBorder="1" applyAlignment="1">
      <alignment horizontal="center"/>
    </xf>
    <xf numFmtId="166" fontId="10" fillId="32" borderId="1" xfId="1" applyFont="1" applyFill="1" applyBorder="1" applyAlignment="1">
      <alignment horizontal="center"/>
    </xf>
    <xf numFmtId="166" fontId="10" fillId="32" borderId="6" xfId="1" applyFont="1" applyFill="1" applyBorder="1" applyAlignment="1">
      <alignment horizontal="center"/>
    </xf>
    <xf numFmtId="166" fontId="3" fillId="32" borderId="10" xfId="1" applyFont="1" applyFill="1" applyBorder="1" applyAlignment="1">
      <alignment horizontal="center"/>
    </xf>
    <xf numFmtId="166" fontId="3" fillId="32" borderId="15" xfId="1" applyFont="1" applyFill="1" applyBorder="1" applyAlignment="1">
      <alignment horizontal="center"/>
    </xf>
    <xf numFmtId="166" fontId="10" fillId="32" borderId="2" xfId="1" applyFont="1" applyFill="1" applyBorder="1" applyAlignment="1">
      <alignment horizontal="center"/>
    </xf>
    <xf numFmtId="166" fontId="10" fillId="32" borderId="13" xfId="1" applyFont="1" applyFill="1" applyBorder="1" applyAlignment="1">
      <alignment horizontal="center"/>
    </xf>
    <xf numFmtId="166" fontId="10" fillId="32" borderId="13" xfId="1" applyFont="1" applyFill="1" applyBorder="1" applyAlignment="1">
      <alignment horizontal="center" vertical="center"/>
    </xf>
    <xf numFmtId="169" fontId="0" fillId="32" borderId="0" xfId="0" applyNumberFormat="1" applyFill="1" applyAlignment="1">
      <alignment horizontal="center"/>
    </xf>
    <xf numFmtId="0" fontId="19" fillId="33" borderId="27" xfId="0" applyFont="1" applyFill="1" applyBorder="1" applyAlignment="1">
      <alignment vertical="center"/>
    </xf>
    <xf numFmtId="0" fontId="19" fillId="33" borderId="28" xfId="0" applyFont="1" applyFill="1" applyBorder="1" applyAlignment="1">
      <alignment horizontal="center" vertical="center"/>
    </xf>
    <xf numFmtId="171" fontId="19" fillId="33" borderId="28" xfId="0" applyNumberFormat="1" applyFont="1" applyFill="1" applyBorder="1" applyAlignment="1">
      <alignment horizontal="center"/>
    </xf>
    <xf numFmtId="171" fontId="19" fillId="33" borderId="29" xfId="0" applyNumberFormat="1" applyFont="1" applyFill="1" applyBorder="1" applyAlignment="1">
      <alignment horizontal="center"/>
    </xf>
    <xf numFmtId="0" fontId="0" fillId="27" borderId="30" xfId="0" applyFill="1" applyBorder="1"/>
    <xf numFmtId="2" fontId="13" fillId="27" borderId="31" xfId="7" applyNumberFormat="1" applyFont="1" applyFill="1" applyBorder="1" applyAlignment="1">
      <alignment horizontal="center"/>
    </xf>
    <xf numFmtId="172" fontId="0" fillId="27" borderId="31" xfId="0" applyNumberFormat="1" applyFill="1" applyBorder="1" applyAlignment="1">
      <alignment horizontal="center"/>
    </xf>
    <xf numFmtId="172" fontId="0" fillId="27" borderId="32" xfId="0" applyNumberFormat="1" applyFill="1" applyBorder="1" applyAlignment="1">
      <alignment horizontal="center"/>
    </xf>
    <xf numFmtId="0" fontId="4" fillId="27" borderId="30" xfId="0" applyFont="1" applyFill="1" applyBorder="1"/>
    <xf numFmtId="10" fontId="4" fillId="27" borderId="31" xfId="7" applyNumberFormat="1" applyFont="1" applyFill="1" applyBorder="1" applyAlignment="1">
      <alignment horizontal="center"/>
    </xf>
    <xf numFmtId="172" fontId="4" fillId="27" borderId="31" xfId="0" applyNumberFormat="1" applyFont="1" applyFill="1" applyBorder="1" applyAlignment="1">
      <alignment horizontal="center"/>
    </xf>
    <xf numFmtId="172" fontId="4" fillId="27" borderId="32" xfId="0" applyNumberFormat="1" applyFont="1" applyFill="1" applyBorder="1" applyAlignment="1">
      <alignment horizontal="center"/>
    </xf>
    <xf numFmtId="0" fontId="19" fillId="33" borderId="30" xfId="0" applyFont="1" applyFill="1" applyBorder="1" applyAlignment="1">
      <alignment vertical="center"/>
    </xf>
    <xf numFmtId="0" fontId="19" fillId="33" borderId="31" xfId="0" applyFont="1" applyFill="1" applyBorder="1" applyAlignment="1">
      <alignment horizontal="center" vertical="center"/>
    </xf>
    <xf numFmtId="171" fontId="19" fillId="33" borderId="31" xfId="0" applyNumberFormat="1" applyFont="1" applyFill="1" applyBorder="1" applyAlignment="1">
      <alignment horizontal="center"/>
    </xf>
    <xf numFmtId="171" fontId="19" fillId="33" borderId="32" xfId="0" applyNumberFormat="1" applyFont="1" applyFill="1" applyBorder="1" applyAlignment="1">
      <alignment horizontal="center"/>
    </xf>
    <xf numFmtId="0" fontId="4" fillId="27" borderId="33" xfId="0" applyFont="1" applyFill="1" applyBorder="1"/>
    <xf numFmtId="10" fontId="4" fillId="27" borderId="34" xfId="7" applyNumberFormat="1" applyFont="1" applyFill="1" applyBorder="1" applyAlignment="1">
      <alignment horizontal="center"/>
    </xf>
    <xf numFmtId="172" fontId="4" fillId="27" borderId="34" xfId="0" applyNumberFormat="1" applyFont="1" applyFill="1" applyBorder="1" applyAlignment="1">
      <alignment horizontal="center"/>
    </xf>
    <xf numFmtId="172" fontId="4" fillId="27" borderId="35" xfId="0" applyNumberFormat="1" applyFont="1" applyFill="1" applyBorder="1" applyAlignment="1">
      <alignment horizontal="center"/>
    </xf>
    <xf numFmtId="0" fontId="19" fillId="34" borderId="36" xfId="0" applyFont="1" applyFill="1" applyBorder="1" applyAlignment="1">
      <alignment vertical="center"/>
    </xf>
    <xf numFmtId="171" fontId="19" fillId="34" borderId="37" xfId="0" applyNumberFormat="1" applyFont="1" applyFill="1" applyBorder="1" applyAlignment="1">
      <alignment horizontal="center"/>
    </xf>
    <xf numFmtId="171" fontId="19" fillId="34" borderId="38" xfId="0" applyNumberFormat="1" applyFont="1" applyFill="1" applyBorder="1" applyAlignment="1">
      <alignment horizontal="center"/>
    </xf>
    <xf numFmtId="0" fontId="0" fillId="31" borderId="36" xfId="0" applyFill="1" applyBorder="1"/>
    <xf numFmtId="172" fontId="0" fillId="31" borderId="37" xfId="0" applyNumberFormat="1" applyFill="1" applyBorder="1" applyAlignment="1">
      <alignment horizontal="center"/>
    </xf>
    <xf numFmtId="172" fontId="0" fillId="31" borderId="38" xfId="0" applyNumberFormat="1" applyFill="1" applyBorder="1" applyAlignment="1">
      <alignment horizontal="center"/>
    </xf>
    <xf numFmtId="0" fontId="4" fillId="31" borderId="39" xfId="0" applyFont="1" applyFill="1" applyBorder="1"/>
    <xf numFmtId="172" fontId="4" fillId="31" borderId="40" xfId="0" applyNumberFormat="1" applyFont="1" applyFill="1" applyBorder="1" applyAlignment="1">
      <alignment horizontal="center"/>
    </xf>
    <xf numFmtId="172" fontId="4" fillId="31" borderId="41" xfId="0" applyNumberFormat="1" applyFont="1" applyFill="1" applyBorder="1" applyAlignment="1">
      <alignment horizontal="center"/>
    </xf>
    <xf numFmtId="173" fontId="0" fillId="0" borderId="0" xfId="0" applyNumberFormat="1"/>
    <xf numFmtId="166" fontId="10" fillId="0" borderId="3" xfId="1" applyFont="1" applyFill="1" applyBorder="1" applyAlignment="1">
      <alignment horizontal="center"/>
    </xf>
    <xf numFmtId="166" fontId="10" fillId="0" borderId="7" xfId="1" applyFont="1" applyFill="1" applyBorder="1" applyAlignment="1">
      <alignment horizontal="center"/>
    </xf>
    <xf numFmtId="166" fontId="10" fillId="0" borderId="12" xfId="1" applyFont="1" applyFill="1" applyBorder="1" applyAlignment="1">
      <alignment horizontal="center"/>
    </xf>
    <xf numFmtId="166" fontId="10" fillId="0" borderId="8" xfId="1" applyFont="1" applyFill="1" applyBorder="1" applyAlignment="1">
      <alignment horizontal="center"/>
    </xf>
    <xf numFmtId="0" fontId="9" fillId="0" borderId="9" xfId="0" applyFont="1" applyBorder="1"/>
    <xf numFmtId="0" fontId="9" fillId="0" borderId="10" xfId="0" applyFont="1" applyBorder="1" applyAlignment="1">
      <alignment horizontal="center"/>
    </xf>
    <xf numFmtId="3" fontId="4" fillId="0" borderId="15" xfId="0" applyNumberFormat="1" applyFont="1" applyBorder="1" applyAlignment="1">
      <alignment horizontal="center"/>
    </xf>
    <xf numFmtId="2" fontId="4" fillId="0" borderId="15" xfId="0" applyNumberFormat="1" applyFont="1" applyBorder="1" applyAlignment="1">
      <alignment horizontal="center"/>
    </xf>
    <xf numFmtId="3" fontId="4" fillId="0" borderId="15" xfId="0" applyNumberFormat="1" applyFont="1" applyBorder="1" applyAlignment="1">
      <alignment horizontal="right"/>
    </xf>
    <xf numFmtId="164" fontId="0" fillId="0" borderId="0" xfId="0" applyNumberFormat="1"/>
    <xf numFmtId="0" fontId="5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/>
    </xf>
    <xf numFmtId="0" fontId="9" fillId="0" borderId="14" xfId="0" applyFont="1" applyBorder="1"/>
    <xf numFmtId="0" fontId="6" fillId="0" borderId="22" xfId="0" applyFont="1" applyBorder="1" applyAlignment="1">
      <alignment horizontal="center" vertical="center" wrapText="1"/>
    </xf>
    <xf numFmtId="0" fontId="9" fillId="0" borderId="23" xfId="0" applyFont="1" applyBorder="1"/>
    <xf numFmtId="3" fontId="4" fillId="0" borderId="24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3" fontId="4" fillId="0" borderId="24" xfId="0" applyNumberFormat="1" applyFont="1" applyBorder="1" applyAlignment="1">
      <alignment horizontal="right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70" fontId="0" fillId="0" borderId="15" xfId="1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3" fontId="0" fillId="0" borderId="15" xfId="0" applyNumberFormat="1" applyBorder="1" applyAlignment="1">
      <alignment horizontal="right" vertical="center"/>
    </xf>
    <xf numFmtId="3" fontId="0" fillId="0" borderId="20" xfId="0" applyNumberFormat="1" applyBorder="1" applyAlignment="1">
      <alignment horizontal="right" vertical="center"/>
    </xf>
    <xf numFmtId="0" fontId="7" fillId="0" borderId="1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3" fontId="10" fillId="0" borderId="1" xfId="1" applyNumberFormat="1" applyFont="1" applyFill="1" applyBorder="1" applyAlignment="1">
      <alignment horizontal="right"/>
    </xf>
    <xf numFmtId="1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1" fontId="10" fillId="0" borderId="1" xfId="1" applyNumberFormat="1" applyFont="1" applyFill="1" applyBorder="1"/>
    <xf numFmtId="1" fontId="0" fillId="0" borderId="1" xfId="0" applyNumberFormat="1" applyBorder="1" applyAlignment="1">
      <alignment horizontal="center"/>
    </xf>
    <xf numFmtId="1" fontId="10" fillId="0" borderId="1" xfId="1" applyNumberFormat="1" applyFont="1" applyFill="1" applyBorder="1" applyAlignment="1">
      <alignment horizontal="right"/>
    </xf>
    <xf numFmtId="1" fontId="0" fillId="0" borderId="1" xfId="0" applyNumberFormat="1" applyBorder="1" applyAlignment="1">
      <alignment horizontal="right"/>
    </xf>
    <xf numFmtId="1" fontId="10" fillId="0" borderId="12" xfId="1" applyNumberFormat="1" applyFont="1" applyFill="1" applyBorder="1"/>
    <xf numFmtId="0" fontId="10" fillId="0" borderId="1" xfId="0" applyFont="1" applyBorder="1" applyAlignment="1">
      <alignment horizontal="center"/>
    </xf>
    <xf numFmtId="3" fontId="10" fillId="0" borderId="1" xfId="1" applyNumberFormat="1" applyFont="1" applyFill="1" applyBorder="1"/>
    <xf numFmtId="0" fontId="0" fillId="0" borderId="1" xfId="0" applyBorder="1" applyAlignment="1">
      <alignment horizontal="center"/>
    </xf>
    <xf numFmtId="168" fontId="10" fillId="0" borderId="12" xfId="1" applyNumberFormat="1" applyFont="1" applyFill="1" applyBorder="1"/>
    <xf numFmtId="0" fontId="10" fillId="0" borderId="1" xfId="0" applyFont="1" applyBorder="1" applyAlignment="1">
      <alignment horizontal="right"/>
    </xf>
    <xf numFmtId="3" fontId="10" fillId="0" borderId="13" xfId="0" applyNumberFormat="1" applyFont="1" applyBorder="1"/>
    <xf numFmtId="166" fontId="10" fillId="0" borderId="1" xfId="1" applyFont="1" applyFill="1" applyBorder="1" applyAlignment="1">
      <alignment horizontal="center"/>
    </xf>
    <xf numFmtId="166" fontId="17" fillId="0" borderId="1" xfId="1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right"/>
    </xf>
    <xf numFmtId="0" fontId="5" fillId="0" borderId="2" xfId="0" applyFont="1" applyBorder="1" applyAlignment="1">
      <alignment horizontal="center" vertical="center" wrapText="1"/>
    </xf>
    <xf numFmtId="3" fontId="10" fillId="0" borderId="12" xfId="1" applyNumberFormat="1" applyFont="1" applyFill="1" applyBorder="1"/>
    <xf numFmtId="3" fontId="0" fillId="0" borderId="1" xfId="0" applyNumberFormat="1" applyBorder="1" applyAlignment="1">
      <alignment horizontal="center"/>
    </xf>
    <xf numFmtId="0" fontId="7" fillId="0" borderId="6" xfId="0" applyFont="1" applyBorder="1" applyAlignment="1">
      <alignment horizontal="left"/>
    </xf>
    <xf numFmtId="0" fontId="8" fillId="0" borderId="7" xfId="0" applyFont="1" applyBorder="1" applyAlignment="1">
      <alignment horizontal="center"/>
    </xf>
    <xf numFmtId="3" fontId="10" fillId="0" borderId="6" xfId="0" applyNumberFormat="1" applyFont="1" applyBorder="1"/>
    <xf numFmtId="3" fontId="10" fillId="0" borderId="6" xfId="0" applyNumberFormat="1" applyFont="1" applyBorder="1" applyAlignment="1">
      <alignment horizontal="right"/>
    </xf>
    <xf numFmtId="1" fontId="0" fillId="0" borderId="6" xfId="0" applyNumberFormat="1" applyBorder="1" applyAlignment="1">
      <alignment horizontal="center"/>
    </xf>
    <xf numFmtId="1" fontId="0" fillId="0" borderId="6" xfId="0" applyNumberFormat="1" applyBorder="1" applyAlignment="1">
      <alignment horizontal="right"/>
    </xf>
    <xf numFmtId="3" fontId="11" fillId="0" borderId="6" xfId="0" applyNumberFormat="1" applyFont="1" applyBorder="1" applyAlignment="1">
      <alignment horizontal="right"/>
    </xf>
    <xf numFmtId="0" fontId="1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166" fontId="10" fillId="0" borderId="6" xfId="1" applyFont="1" applyFill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1" fontId="14" fillId="0" borderId="1" xfId="0" applyNumberFormat="1" applyFont="1" applyBorder="1" applyAlignment="1">
      <alignment horizontal="center"/>
    </xf>
    <xf numFmtId="2" fontId="10" fillId="0" borderId="1" xfId="1" applyNumberFormat="1" applyFont="1" applyFill="1" applyBorder="1" applyAlignment="1">
      <alignment horizontal="center"/>
    </xf>
    <xf numFmtId="3" fontId="16" fillId="0" borderId="1" xfId="3" applyNumberFormat="1" applyBorder="1" applyAlignment="1">
      <alignment horizontal="center"/>
    </xf>
    <xf numFmtId="3" fontId="10" fillId="0" borderId="1" xfId="2" applyNumberFormat="1" applyFont="1" applyFill="1" applyBorder="1"/>
    <xf numFmtId="0" fontId="16" fillId="0" borderId="1" xfId="3" applyBorder="1" applyAlignment="1">
      <alignment horizontal="center"/>
    </xf>
    <xf numFmtId="166" fontId="17" fillId="0" borderId="13" xfId="1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top" wrapText="1"/>
    </xf>
    <xf numFmtId="3" fontId="10" fillId="0" borderId="17" xfId="1" applyNumberFormat="1" applyFont="1" applyFill="1" applyBorder="1" applyAlignment="1">
      <alignment horizontal="right"/>
    </xf>
    <xf numFmtId="0" fontId="10" fillId="0" borderId="6" xfId="0" applyFont="1" applyBorder="1" applyAlignment="1">
      <alignment horizontal="center"/>
    </xf>
    <xf numFmtId="3" fontId="10" fillId="0" borderId="6" xfId="1" applyNumberFormat="1" applyFont="1" applyFill="1" applyBorder="1"/>
    <xf numFmtId="0" fontId="7" fillId="0" borderId="2" xfId="0" applyFont="1" applyBorder="1" applyAlignment="1">
      <alignment horizontal="left"/>
    </xf>
    <xf numFmtId="0" fontId="8" fillId="0" borderId="12" xfId="0" applyFont="1" applyBorder="1" applyAlignment="1">
      <alignment horizontal="center"/>
    </xf>
    <xf numFmtId="3" fontId="10" fillId="0" borderId="2" xfId="1" applyNumberFormat="1" applyFont="1" applyFill="1" applyBorder="1" applyAlignment="1">
      <alignment horizontal="right"/>
    </xf>
    <xf numFmtId="3" fontId="10" fillId="0" borderId="2" xfId="0" applyNumberFormat="1" applyFont="1" applyBorder="1" applyAlignment="1">
      <alignment horizontal="right"/>
    </xf>
    <xf numFmtId="1" fontId="0" fillId="0" borderId="2" xfId="0" applyNumberFormat="1" applyBorder="1" applyAlignment="1">
      <alignment horizontal="center"/>
    </xf>
    <xf numFmtId="1" fontId="0" fillId="0" borderId="2" xfId="0" applyNumberFormat="1" applyBorder="1" applyAlignment="1">
      <alignment horizontal="right"/>
    </xf>
    <xf numFmtId="0" fontId="10" fillId="0" borderId="2" xfId="0" applyFont="1" applyBorder="1" applyAlignment="1">
      <alignment horizontal="right"/>
    </xf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66" fontId="10" fillId="0" borderId="2" xfId="1" applyFont="1" applyFill="1" applyBorder="1" applyAlignment="1">
      <alignment horizontal="center"/>
    </xf>
    <xf numFmtId="166" fontId="17" fillId="0" borderId="2" xfId="1" applyFon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8" fillId="0" borderId="8" xfId="0" applyFont="1" applyBorder="1" applyAlignment="1">
      <alignment horizontal="center"/>
    </xf>
    <xf numFmtId="3" fontId="10" fillId="0" borderId="16" xfId="1" applyNumberFormat="1" applyFont="1" applyFill="1" applyBorder="1" applyAlignment="1">
      <alignment horizontal="right"/>
    </xf>
    <xf numFmtId="3" fontId="10" fillId="0" borderId="13" xfId="0" applyNumberFormat="1" applyFont="1" applyBorder="1" applyAlignment="1">
      <alignment horizontal="right"/>
    </xf>
    <xf numFmtId="1" fontId="0" fillId="0" borderId="13" xfId="0" applyNumberFormat="1" applyBorder="1" applyAlignment="1">
      <alignment horizontal="center"/>
    </xf>
    <xf numFmtId="1" fontId="0" fillId="0" borderId="13" xfId="0" applyNumberFormat="1" applyBorder="1" applyAlignment="1">
      <alignment horizontal="right"/>
    </xf>
    <xf numFmtId="0" fontId="10" fillId="0" borderId="13" xfId="0" applyFont="1" applyBorder="1" applyAlignment="1">
      <alignment horizontal="right"/>
    </xf>
    <xf numFmtId="0" fontId="10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66" fontId="10" fillId="0" borderId="13" xfId="1" applyFont="1" applyFill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7" fillId="0" borderId="3" xfId="0" applyFont="1" applyBorder="1" applyAlignment="1">
      <alignment horizontal="left"/>
    </xf>
    <xf numFmtId="3" fontId="10" fillId="0" borderId="1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/>
    </xf>
    <xf numFmtId="0" fontId="10" fillId="0" borderId="6" xfId="0" applyFont="1" applyBorder="1" applyAlignment="1">
      <alignment horizontal="right"/>
    </xf>
    <xf numFmtId="169" fontId="0" fillId="0" borderId="0" xfId="0" applyNumberFormat="1" applyAlignment="1">
      <alignment horizontal="center"/>
    </xf>
    <xf numFmtId="170" fontId="0" fillId="0" borderId="0" xfId="0" applyNumberFormat="1"/>
    <xf numFmtId="0" fontId="2" fillId="35" borderId="4" xfId="0" applyFont="1" applyFill="1" applyBorder="1" applyAlignment="1">
      <alignment horizontal="center"/>
    </xf>
    <xf numFmtId="0" fontId="4" fillId="35" borderId="6" xfId="0" applyFont="1" applyFill="1" applyBorder="1" applyAlignment="1">
      <alignment horizontal="center" vertical="center" wrapText="1"/>
    </xf>
    <xf numFmtId="0" fontId="4" fillId="35" borderId="13" xfId="0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/>
    </xf>
    <xf numFmtId="3" fontId="4" fillId="0" borderId="20" xfId="0" applyNumberFormat="1" applyFont="1" applyBorder="1" applyAlignment="1">
      <alignment horizontal="center"/>
    </xf>
    <xf numFmtId="3" fontId="4" fillId="0" borderId="18" xfId="0" applyNumberFormat="1" applyFont="1" applyBorder="1" applyAlignment="1">
      <alignment horizontal="center"/>
    </xf>
    <xf numFmtId="3" fontId="4" fillId="0" borderId="19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166" fontId="4" fillId="0" borderId="10" xfId="1" applyFont="1" applyFill="1" applyBorder="1" applyAlignment="1">
      <alignment horizontal="center"/>
    </xf>
    <xf numFmtId="166" fontId="3" fillId="0" borderId="10" xfId="1" applyFont="1" applyFill="1" applyBorder="1" applyAlignment="1">
      <alignment horizontal="center"/>
    </xf>
    <xf numFmtId="166" fontId="18" fillId="0" borderId="10" xfId="1" applyFont="1" applyFill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3" fontId="12" fillId="0" borderId="15" xfId="0" applyNumberFormat="1" applyFont="1" applyBorder="1" applyAlignment="1">
      <alignment horizontal="center"/>
    </xf>
    <xf numFmtId="3" fontId="12" fillId="0" borderId="20" xfId="0" applyNumberFormat="1" applyFont="1" applyBorder="1" applyAlignment="1">
      <alignment horizontal="center"/>
    </xf>
    <xf numFmtId="170" fontId="4" fillId="0" borderId="15" xfId="1" applyNumberFormat="1" applyFont="1" applyFill="1" applyBorder="1" applyAlignment="1">
      <alignment horizontal="center"/>
    </xf>
    <xf numFmtId="166" fontId="3" fillId="0" borderId="15" xfId="1" applyFont="1" applyFill="1" applyBorder="1" applyAlignment="1">
      <alignment horizontal="center"/>
    </xf>
    <xf numFmtId="166" fontId="18" fillId="0" borderId="15" xfId="1" applyFont="1" applyFill="1" applyBorder="1" applyAlignment="1">
      <alignment horizontal="center"/>
    </xf>
    <xf numFmtId="0" fontId="9" fillId="0" borderId="10" xfId="0" applyFont="1" applyBorder="1"/>
    <xf numFmtId="3" fontId="4" fillId="0" borderId="21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13" fillId="0" borderId="13" xfId="0" applyNumberFormat="1" applyFon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10" fillId="0" borderId="13" xfId="1" applyFont="1" applyFill="1" applyBorder="1" applyAlignment="1">
      <alignment horizontal="center" vertical="center"/>
    </xf>
    <xf numFmtId="166" fontId="17" fillId="0" borderId="13" xfId="1" applyFont="1" applyFill="1" applyBorder="1" applyAlignment="1">
      <alignment horizontal="center" vertical="center"/>
    </xf>
    <xf numFmtId="166" fontId="10" fillId="0" borderId="8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13" xfId="0" applyNumberFormat="1" applyBorder="1" applyAlignment="1">
      <alignment horizontal="right" vertical="center"/>
    </xf>
    <xf numFmtId="166" fontId="0" fillId="0" borderId="0" xfId="1" applyFont="1" applyFill="1"/>
    <xf numFmtId="43" fontId="0" fillId="0" borderId="0" xfId="0" applyNumberFormat="1"/>
    <xf numFmtId="0" fontId="4" fillId="35" borderId="0" xfId="0" applyFont="1" applyFill="1"/>
    <xf numFmtId="1" fontId="4" fillId="35" borderId="0" xfId="0" applyNumberFormat="1" applyFont="1" applyFill="1"/>
    <xf numFmtId="166" fontId="10" fillId="0" borderId="3" xfId="8" applyFont="1" applyFill="1" applyBorder="1" applyAlignment="1">
      <alignment horizontal="center"/>
    </xf>
    <xf numFmtId="166" fontId="10" fillId="0" borderId="7" xfId="8" applyFont="1" applyFill="1" applyBorder="1" applyAlignment="1">
      <alignment horizontal="center"/>
    </xf>
    <xf numFmtId="166" fontId="10" fillId="0" borderId="12" xfId="8" applyFont="1" applyFill="1" applyBorder="1" applyAlignment="1">
      <alignment horizontal="center"/>
    </xf>
    <xf numFmtId="166" fontId="10" fillId="0" borderId="8" xfId="8" applyFont="1" applyFill="1" applyBorder="1" applyAlignment="1">
      <alignment horizontal="center"/>
    </xf>
    <xf numFmtId="170" fontId="0" fillId="0" borderId="15" xfId="8" applyNumberFormat="1" applyFont="1" applyFill="1" applyBorder="1" applyAlignment="1">
      <alignment horizontal="center" vertical="center"/>
    </xf>
    <xf numFmtId="0" fontId="2" fillId="21" borderId="22" xfId="0" applyFont="1" applyFill="1" applyBorder="1" applyAlignment="1">
      <alignment horizontal="center"/>
    </xf>
    <xf numFmtId="0" fontId="2" fillId="21" borderId="4" xfId="0" applyFont="1" applyFill="1" applyBorder="1" applyAlignment="1">
      <alignment horizontal="center"/>
    </xf>
    <xf numFmtId="0" fontId="2" fillId="21" borderId="3" xfId="0" applyFont="1" applyFill="1" applyBorder="1" applyAlignment="1">
      <alignment horizontal="center"/>
    </xf>
    <xf numFmtId="169" fontId="0" fillId="23" borderId="22" xfId="0" applyNumberFormat="1" applyFill="1" applyBorder="1" applyAlignment="1">
      <alignment horizontal="center"/>
    </xf>
    <xf numFmtId="169" fontId="0" fillId="23" borderId="4" xfId="0" applyNumberFormat="1" applyFill="1" applyBorder="1" applyAlignment="1">
      <alignment horizontal="center"/>
    </xf>
    <xf numFmtId="169" fontId="0" fillId="23" borderId="3" xfId="0" applyNumberFormat="1" applyFill="1" applyBorder="1" applyAlignment="1">
      <alignment horizontal="center"/>
    </xf>
    <xf numFmtId="169" fontId="13" fillId="25" borderId="22" xfId="0" applyNumberFormat="1" applyFont="1" applyFill="1" applyBorder="1" applyAlignment="1">
      <alignment horizontal="center"/>
    </xf>
    <xf numFmtId="169" fontId="13" fillId="25" borderId="4" xfId="0" applyNumberFormat="1" applyFont="1" applyFill="1" applyBorder="1" applyAlignment="1">
      <alignment horizontal="center"/>
    </xf>
    <xf numFmtId="169" fontId="13" fillId="25" borderId="3" xfId="0" applyNumberFormat="1" applyFont="1" applyFill="1" applyBorder="1" applyAlignment="1">
      <alignment horizontal="center"/>
    </xf>
    <xf numFmtId="169" fontId="0" fillId="21" borderId="22" xfId="0" applyNumberFormat="1" applyFill="1" applyBorder="1" applyAlignment="1">
      <alignment horizontal="center"/>
    </xf>
    <xf numFmtId="169" fontId="0" fillId="21" borderId="4" xfId="0" applyNumberFormat="1" applyFill="1" applyBorder="1" applyAlignment="1">
      <alignment horizontal="center"/>
    </xf>
    <xf numFmtId="169" fontId="0" fillId="21" borderId="3" xfId="0" applyNumberFormat="1" applyFill="1" applyBorder="1" applyAlignment="1">
      <alignment horizontal="center"/>
    </xf>
    <xf numFmtId="0" fontId="4" fillId="20" borderId="6" xfId="0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4" fillId="25" borderId="6" xfId="3" applyFont="1" applyFill="1" applyBorder="1" applyAlignment="1">
      <alignment horizontal="center" vertical="center" wrapText="1"/>
    </xf>
    <xf numFmtId="0" fontId="4" fillId="25" borderId="13" xfId="3" applyFont="1" applyFill="1" applyBorder="1" applyAlignment="1">
      <alignment horizontal="center" vertical="center" wrapText="1"/>
    </xf>
    <xf numFmtId="2" fontId="4" fillId="20" borderId="6" xfId="0" applyNumberFormat="1" applyFont="1" applyFill="1" applyBorder="1" applyAlignment="1">
      <alignment horizontal="center" vertical="center" wrapText="1"/>
    </xf>
    <xf numFmtId="2" fontId="4" fillId="20" borderId="13" xfId="0" applyNumberFormat="1" applyFont="1" applyFill="1" applyBorder="1" applyAlignment="1">
      <alignment horizontal="center" vertical="center" wrapText="1"/>
    </xf>
    <xf numFmtId="0" fontId="20" fillId="21" borderId="6" xfId="0" applyFont="1" applyFill="1" applyBorder="1" applyAlignment="1">
      <alignment horizontal="center" vertical="center" wrapText="1"/>
    </xf>
    <xf numFmtId="0" fontId="20" fillId="21" borderId="13" xfId="0" applyFont="1" applyFill="1" applyBorder="1" applyAlignment="1">
      <alignment horizontal="center" vertical="center" wrapText="1"/>
    </xf>
    <xf numFmtId="169" fontId="0" fillId="20" borderId="22" xfId="0" applyNumberFormat="1" applyFill="1" applyBorder="1" applyAlignment="1">
      <alignment horizontal="center"/>
    </xf>
    <xf numFmtId="169" fontId="0" fillId="20" borderId="4" xfId="0" applyNumberFormat="1" applyFill="1" applyBorder="1" applyAlignment="1">
      <alignment horizontal="center"/>
    </xf>
    <xf numFmtId="169" fontId="0" fillId="20" borderId="3" xfId="0" applyNumberFormat="1" applyFill="1" applyBorder="1" applyAlignment="1">
      <alignment horizontal="center"/>
    </xf>
    <xf numFmtId="169" fontId="0" fillId="6" borderId="22" xfId="0" applyNumberFormat="1" applyFill="1" applyBorder="1" applyAlignment="1">
      <alignment horizontal="center"/>
    </xf>
    <xf numFmtId="169" fontId="0" fillId="6" borderId="4" xfId="0" applyNumberFormat="1" applyFill="1" applyBorder="1" applyAlignment="1">
      <alignment horizontal="center"/>
    </xf>
    <xf numFmtId="169" fontId="0" fillId="6" borderId="3" xfId="0" applyNumberFormat="1" applyFill="1" applyBorder="1" applyAlignment="1">
      <alignment horizontal="center"/>
    </xf>
    <xf numFmtId="169" fontId="0" fillId="8" borderId="22" xfId="0" applyNumberFormat="1" applyFill="1" applyBorder="1" applyAlignment="1">
      <alignment horizontal="center"/>
    </xf>
    <xf numFmtId="169" fontId="0" fillId="8" borderId="4" xfId="0" applyNumberFormat="1" applyFill="1" applyBorder="1" applyAlignment="1">
      <alignment horizontal="center"/>
    </xf>
    <xf numFmtId="169" fontId="0" fillId="8" borderId="3" xfId="0" applyNumberFormat="1" applyFill="1" applyBorder="1" applyAlignment="1">
      <alignment horizontal="center"/>
    </xf>
    <xf numFmtId="169" fontId="0" fillId="9" borderId="22" xfId="0" applyNumberFormat="1" applyFill="1" applyBorder="1" applyAlignment="1">
      <alignment horizontal="center"/>
    </xf>
    <xf numFmtId="169" fontId="0" fillId="9" borderId="4" xfId="0" applyNumberFormat="1" applyFill="1" applyBorder="1" applyAlignment="1">
      <alignment horizontal="center"/>
    </xf>
    <xf numFmtId="169" fontId="0" fillId="9" borderId="3" xfId="0" applyNumberFormat="1" applyFill="1" applyBorder="1" applyAlignment="1">
      <alignment horizontal="center"/>
    </xf>
    <xf numFmtId="169" fontId="11" fillId="5" borderId="22" xfId="0" applyNumberFormat="1" applyFont="1" applyFill="1" applyBorder="1" applyAlignment="1">
      <alignment horizontal="center"/>
    </xf>
    <xf numFmtId="169" fontId="11" fillId="5" borderId="4" xfId="0" applyNumberFormat="1" applyFont="1" applyFill="1" applyBorder="1" applyAlignment="1">
      <alignment horizontal="center"/>
    </xf>
    <xf numFmtId="169" fontId="11" fillId="5" borderId="3" xfId="0" applyNumberFormat="1" applyFont="1" applyFill="1" applyBorder="1" applyAlignment="1">
      <alignment horizontal="center"/>
    </xf>
    <xf numFmtId="169" fontId="0" fillId="12" borderId="22" xfId="0" applyNumberFormat="1" applyFill="1" applyBorder="1" applyAlignment="1">
      <alignment horizontal="center"/>
    </xf>
    <xf numFmtId="169" fontId="0" fillId="12" borderId="4" xfId="0" applyNumberFormat="1" applyFill="1" applyBorder="1" applyAlignment="1">
      <alignment horizontal="center"/>
    </xf>
    <xf numFmtId="169" fontId="0" fillId="12" borderId="3" xfId="0" applyNumberFormat="1" applyFill="1" applyBorder="1" applyAlignment="1">
      <alignment horizontal="center"/>
    </xf>
    <xf numFmtId="169" fontId="0" fillId="7" borderId="22" xfId="0" applyNumberFormat="1" applyFill="1" applyBorder="1" applyAlignment="1">
      <alignment horizontal="center"/>
    </xf>
    <xf numFmtId="169" fontId="0" fillId="7" borderId="4" xfId="0" applyNumberFormat="1" applyFill="1" applyBorder="1" applyAlignment="1">
      <alignment horizontal="center"/>
    </xf>
    <xf numFmtId="169" fontId="0" fillId="7" borderId="3" xfId="0" applyNumberFormat="1" applyFill="1" applyBorder="1" applyAlignment="1">
      <alignment horizontal="center"/>
    </xf>
    <xf numFmtId="0" fontId="4" fillId="4" borderId="6" xfId="0" quotePrefix="1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4" fillId="18" borderId="1" xfId="0" applyFont="1" applyFill="1" applyBorder="1" applyAlignment="1">
      <alignment horizontal="center" vertical="center" wrapText="1"/>
    </xf>
    <xf numFmtId="0" fontId="9" fillId="18" borderId="1" xfId="0" applyFont="1" applyFill="1" applyBorder="1" applyAlignment="1">
      <alignment horizontal="center"/>
    </xf>
    <xf numFmtId="0" fontId="4" fillId="23" borderId="6" xfId="0" applyFont="1" applyFill="1" applyBorder="1" applyAlignment="1">
      <alignment horizontal="center" vertical="center" wrapText="1"/>
    </xf>
    <xf numFmtId="0" fontId="4" fillId="23" borderId="13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12" borderId="6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>
      <alignment horizontal="center" vertical="center" wrapText="1"/>
    </xf>
    <xf numFmtId="0" fontId="4" fillId="35" borderId="6" xfId="0" applyFont="1" applyFill="1" applyBorder="1" applyAlignment="1">
      <alignment horizontal="center" vertical="center" wrapText="1"/>
    </xf>
    <xf numFmtId="0" fontId="4" fillId="35" borderId="13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2" fontId="4" fillId="23" borderId="6" xfId="0" applyNumberFormat="1" applyFont="1" applyFill="1" applyBorder="1" applyAlignment="1">
      <alignment horizontal="center" vertical="center" wrapText="1"/>
    </xf>
    <xf numFmtId="2" fontId="4" fillId="23" borderId="13" xfId="0" applyNumberFormat="1" applyFont="1" applyFill="1" applyBorder="1" applyAlignment="1">
      <alignment horizontal="center" vertical="center" wrapText="1"/>
    </xf>
    <xf numFmtId="167" fontId="2" fillId="16" borderId="22" xfId="0" applyNumberFormat="1" applyFont="1" applyFill="1" applyBorder="1" applyAlignment="1">
      <alignment horizontal="center"/>
    </xf>
    <xf numFmtId="167" fontId="2" fillId="16" borderId="4" xfId="0" applyNumberFormat="1" applyFont="1" applyFill="1" applyBorder="1" applyAlignment="1">
      <alignment horizontal="center"/>
    </xf>
    <xf numFmtId="167" fontId="2" fillId="16" borderId="3" xfId="0" applyNumberFormat="1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12" borderId="22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23" borderId="22" xfId="0" applyFont="1" applyFill="1" applyBorder="1" applyAlignment="1">
      <alignment horizontal="center"/>
    </xf>
    <xf numFmtId="0" fontId="2" fillId="23" borderId="4" xfId="0" applyFont="1" applyFill="1" applyBorder="1" applyAlignment="1">
      <alignment horizontal="center"/>
    </xf>
    <xf numFmtId="0" fontId="2" fillId="23" borderId="3" xfId="0" applyFont="1" applyFill="1" applyBorder="1" applyAlignment="1">
      <alignment horizontal="center"/>
    </xf>
    <xf numFmtId="0" fontId="2" fillId="25" borderId="22" xfId="3" applyFont="1" applyFill="1" applyBorder="1" applyAlignment="1">
      <alignment horizontal="center"/>
    </xf>
    <xf numFmtId="0" fontId="2" fillId="25" borderId="4" xfId="3" applyFont="1" applyFill="1" applyBorder="1" applyAlignment="1">
      <alignment horizontal="center"/>
    </xf>
    <xf numFmtId="0" fontId="2" fillId="25" borderId="3" xfId="3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20" borderId="22" xfId="0" applyFont="1" applyFill="1" applyBorder="1" applyAlignment="1">
      <alignment horizontal="center"/>
    </xf>
    <xf numFmtId="0" fontId="2" fillId="20" borderId="4" xfId="0" applyFont="1" applyFill="1" applyBorder="1" applyAlignment="1">
      <alignment horizontal="center"/>
    </xf>
    <xf numFmtId="0" fontId="2" fillId="20" borderId="3" xfId="0" applyFont="1" applyFill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9" borderId="22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32" borderId="22" xfId="0" applyFont="1" applyFill="1" applyBorder="1" applyAlignment="1">
      <alignment horizontal="center"/>
    </xf>
    <xf numFmtId="0" fontId="2" fillId="32" borderId="4" xfId="0" applyFont="1" applyFill="1" applyBorder="1" applyAlignment="1">
      <alignment horizontal="center"/>
    </xf>
    <xf numFmtId="0" fontId="2" fillId="32" borderId="3" xfId="0" applyFont="1" applyFill="1" applyBorder="1" applyAlignment="1">
      <alignment horizontal="center"/>
    </xf>
    <xf numFmtId="0" fontId="4" fillId="32" borderId="6" xfId="0" applyFont="1" applyFill="1" applyBorder="1" applyAlignment="1">
      <alignment horizontal="center" vertical="center" wrapText="1"/>
    </xf>
    <xf numFmtId="0" fontId="4" fillId="32" borderId="13" xfId="0" applyFont="1" applyFill="1" applyBorder="1" applyAlignment="1">
      <alignment horizontal="center" vertical="center" wrapText="1"/>
    </xf>
    <xf numFmtId="0" fontId="2" fillId="28" borderId="22" xfId="0" applyFont="1" applyFill="1" applyBorder="1" applyAlignment="1">
      <alignment horizontal="center"/>
    </xf>
    <xf numFmtId="0" fontId="2" fillId="28" borderId="4" xfId="0" applyFont="1" applyFill="1" applyBorder="1" applyAlignment="1">
      <alignment horizontal="center"/>
    </xf>
    <xf numFmtId="0" fontId="2" fillId="28" borderId="3" xfId="0" applyFont="1" applyFill="1" applyBorder="1" applyAlignment="1">
      <alignment horizontal="center"/>
    </xf>
    <xf numFmtId="0" fontId="4" fillId="28" borderId="6" xfId="0" applyFont="1" applyFill="1" applyBorder="1" applyAlignment="1">
      <alignment horizontal="center" vertical="center" wrapText="1"/>
    </xf>
    <xf numFmtId="0" fontId="4" fillId="28" borderId="13" xfId="0" applyFont="1" applyFill="1" applyBorder="1" applyAlignment="1">
      <alignment horizontal="center" vertical="center" wrapText="1"/>
    </xf>
    <xf numFmtId="169" fontId="0" fillId="28" borderId="22" xfId="0" applyNumberFormat="1" applyFill="1" applyBorder="1" applyAlignment="1">
      <alignment horizontal="center"/>
    </xf>
    <xf numFmtId="169" fontId="0" fillId="28" borderId="4" xfId="0" applyNumberFormat="1" applyFill="1" applyBorder="1" applyAlignment="1">
      <alignment horizontal="center"/>
    </xf>
    <xf numFmtId="169" fontId="0" fillId="28" borderId="3" xfId="0" applyNumberFormat="1" applyFill="1" applyBorder="1" applyAlignment="1">
      <alignment horizontal="center"/>
    </xf>
    <xf numFmtId="169" fontId="0" fillId="29" borderId="22" xfId="0" applyNumberFormat="1" applyFill="1" applyBorder="1" applyAlignment="1">
      <alignment horizontal="center"/>
    </xf>
    <xf numFmtId="169" fontId="0" fillId="29" borderId="4" xfId="0" applyNumberFormat="1" applyFill="1" applyBorder="1" applyAlignment="1">
      <alignment horizontal="center"/>
    </xf>
    <xf numFmtId="169" fontId="0" fillId="29" borderId="3" xfId="0" applyNumberFormat="1" applyFill="1" applyBorder="1" applyAlignment="1">
      <alignment horizontal="center"/>
    </xf>
    <xf numFmtId="0" fontId="2" fillId="29" borderId="22" xfId="0" applyFont="1" applyFill="1" applyBorder="1" applyAlignment="1">
      <alignment horizontal="center"/>
    </xf>
    <xf numFmtId="0" fontId="2" fillId="29" borderId="4" xfId="0" applyFont="1" applyFill="1" applyBorder="1" applyAlignment="1">
      <alignment horizontal="center"/>
    </xf>
    <xf numFmtId="0" fontId="4" fillId="29" borderId="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167" fontId="2" fillId="28" borderId="22" xfId="0" applyNumberFormat="1" applyFont="1" applyFill="1" applyBorder="1" applyAlignment="1">
      <alignment horizontal="center"/>
    </xf>
    <xf numFmtId="167" fontId="2" fillId="28" borderId="4" xfId="0" applyNumberFormat="1" applyFont="1" applyFill="1" applyBorder="1" applyAlignment="1">
      <alignment horizontal="center"/>
    </xf>
    <xf numFmtId="169" fontId="0" fillId="0" borderId="22" xfId="0" applyNumberFormat="1" applyBorder="1" applyAlignment="1">
      <alignment horizontal="center"/>
    </xf>
    <xf numFmtId="169" fontId="0" fillId="0" borderId="4" xfId="0" applyNumberFormat="1" applyBorder="1" applyAlignment="1">
      <alignment horizontal="center"/>
    </xf>
    <xf numFmtId="169" fontId="0" fillId="0" borderId="3" xfId="0" applyNumberFormat="1" applyBorder="1" applyAlignment="1">
      <alignment horizontal="center"/>
    </xf>
    <xf numFmtId="0" fontId="9" fillId="0" borderId="1" xfId="0" applyFont="1" applyBorder="1" applyAlignment="1">
      <alignment horizontal="center"/>
    </xf>
    <xf numFmtId="169" fontId="11" fillId="0" borderId="22" xfId="0" applyNumberFormat="1" applyFont="1" applyBorder="1" applyAlignment="1">
      <alignment horizontal="center"/>
    </xf>
    <xf numFmtId="169" fontId="11" fillId="0" borderId="4" xfId="0" applyNumberFormat="1" applyFont="1" applyBorder="1" applyAlignment="1">
      <alignment horizontal="center"/>
    </xf>
    <xf numFmtId="169" fontId="11" fillId="0" borderId="3" xfId="0" applyNumberFormat="1" applyFont="1" applyBorder="1" applyAlignment="1">
      <alignment horizontal="center"/>
    </xf>
    <xf numFmtId="169" fontId="0" fillId="0" borderId="5" xfId="0" applyNumberFormat="1" applyBorder="1" applyAlignment="1">
      <alignment horizontal="center"/>
    </xf>
    <xf numFmtId="169" fontId="0" fillId="0" borderId="25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13" fillId="0" borderId="22" xfId="0" applyNumberFormat="1" applyFont="1" applyBorder="1" applyAlignment="1">
      <alignment horizontal="center"/>
    </xf>
    <xf numFmtId="169" fontId="13" fillId="0" borderId="4" xfId="0" applyNumberFormat="1" applyFont="1" applyBorder="1" applyAlignment="1">
      <alignment horizontal="center"/>
    </xf>
    <xf numFmtId="169" fontId="13" fillId="0" borderId="3" xfId="0" applyNumberFormat="1" applyFont="1" applyBorder="1" applyAlignment="1">
      <alignment horizontal="center"/>
    </xf>
    <xf numFmtId="0" fontId="4" fillId="35" borderId="6" xfId="0" quotePrefix="1" applyFont="1" applyFill="1" applyBorder="1" applyAlignment="1">
      <alignment horizontal="center" vertical="center" wrapText="1"/>
    </xf>
    <xf numFmtId="0" fontId="0" fillId="35" borderId="13" xfId="0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0" fillId="35" borderId="6" xfId="0" applyFont="1" applyFill="1" applyBorder="1" applyAlignment="1">
      <alignment horizontal="center" vertical="center" wrapText="1"/>
    </xf>
    <xf numFmtId="0" fontId="20" fillId="35" borderId="13" xfId="0" applyFont="1" applyFill="1" applyBorder="1" applyAlignment="1">
      <alignment horizontal="center" vertical="center" wrapText="1"/>
    </xf>
    <xf numFmtId="0" fontId="4" fillId="35" borderId="6" xfId="3" applyFont="1" applyFill="1" applyBorder="1" applyAlignment="1">
      <alignment horizontal="center" vertical="center" wrapText="1"/>
    </xf>
    <xf numFmtId="0" fontId="4" fillId="35" borderId="13" xfId="3" applyFont="1" applyFill="1" applyBorder="1" applyAlignment="1">
      <alignment horizontal="center" vertical="center" wrapText="1"/>
    </xf>
    <xf numFmtId="2" fontId="4" fillId="35" borderId="6" xfId="0" applyNumberFormat="1" applyFont="1" applyFill="1" applyBorder="1" applyAlignment="1">
      <alignment horizontal="center" vertical="center" wrapText="1"/>
    </xf>
    <xf numFmtId="2" fontId="4" fillId="35" borderId="13" xfId="0" applyNumberFormat="1" applyFont="1" applyFill="1" applyBorder="1" applyAlignment="1">
      <alignment horizontal="center" vertical="center" wrapText="1"/>
    </xf>
    <xf numFmtId="167" fontId="2" fillId="35" borderId="22" xfId="0" applyNumberFormat="1" applyFont="1" applyFill="1" applyBorder="1" applyAlignment="1">
      <alignment horizontal="center"/>
    </xf>
    <xf numFmtId="167" fontId="2" fillId="35" borderId="4" xfId="0" applyNumberFormat="1" applyFont="1" applyFill="1" applyBorder="1" applyAlignment="1">
      <alignment horizontal="center"/>
    </xf>
    <xf numFmtId="167" fontId="2" fillId="35" borderId="3" xfId="0" applyNumberFormat="1" applyFont="1" applyFill="1" applyBorder="1" applyAlignment="1">
      <alignment horizontal="center"/>
    </xf>
    <xf numFmtId="0" fontId="2" fillId="35" borderId="22" xfId="0" applyFont="1" applyFill="1" applyBorder="1" applyAlignment="1">
      <alignment horizontal="center"/>
    </xf>
    <xf numFmtId="0" fontId="2" fillId="35" borderId="4" xfId="0" applyFont="1" applyFill="1" applyBorder="1" applyAlignment="1">
      <alignment horizontal="center"/>
    </xf>
    <xf numFmtId="0" fontId="2" fillId="35" borderId="3" xfId="0" applyFont="1" applyFill="1" applyBorder="1" applyAlignment="1">
      <alignment horizontal="center"/>
    </xf>
    <xf numFmtId="0" fontId="2" fillId="35" borderId="22" xfId="3" applyFont="1" applyFill="1" applyBorder="1" applyAlignment="1">
      <alignment horizontal="center"/>
    </xf>
    <xf numFmtId="0" fontId="2" fillId="35" borderId="4" xfId="3" applyFont="1" applyFill="1" applyBorder="1" applyAlignment="1">
      <alignment horizontal="center"/>
    </xf>
    <xf numFmtId="0" fontId="2" fillId="35" borderId="3" xfId="3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35" borderId="1" xfId="0" applyFont="1" applyFill="1" applyBorder="1" applyAlignment="1">
      <alignment horizontal="center" vertical="center" wrapText="1"/>
    </xf>
    <xf numFmtId="0" fontId="3" fillId="35" borderId="1" xfId="0" applyFont="1" applyFill="1" applyBorder="1" applyAlignment="1">
      <alignment horizontal="center" vertical="center" wrapText="1"/>
    </xf>
    <xf numFmtId="0" fontId="4" fillId="35" borderId="13" xfId="0" quotePrefix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/>
    </xf>
    <xf numFmtId="169" fontId="13" fillId="0" borderId="5" xfId="0" applyNumberFormat="1" applyFont="1" applyBorder="1" applyAlignment="1">
      <alignment horizontal="center"/>
    </xf>
    <xf numFmtId="169" fontId="13" fillId="0" borderId="25" xfId="0" applyNumberFormat="1" applyFont="1" applyBorder="1" applyAlignment="1">
      <alignment horizontal="center"/>
    </xf>
    <xf numFmtId="169" fontId="13" fillId="0" borderId="8" xfId="0" applyNumberFormat="1" applyFont="1" applyBorder="1" applyAlignment="1">
      <alignment horizontal="center"/>
    </xf>
    <xf numFmtId="169" fontId="11" fillId="0" borderId="5" xfId="0" applyNumberFormat="1" applyFont="1" applyBorder="1" applyAlignment="1">
      <alignment horizontal="center"/>
    </xf>
    <xf numFmtId="169" fontId="11" fillId="0" borderId="25" xfId="0" applyNumberFormat="1" applyFont="1" applyBorder="1" applyAlignment="1">
      <alignment horizontal="center"/>
    </xf>
    <xf numFmtId="169" fontId="11" fillId="0" borderId="8" xfId="0" applyNumberFormat="1" applyFont="1" applyBorder="1" applyAlignment="1">
      <alignment horizontal="center"/>
    </xf>
    <xf numFmtId="174" fontId="0" fillId="0" borderId="22" xfId="0" applyNumberFormat="1" applyBorder="1" applyAlignment="1">
      <alignment horizontal="center"/>
    </xf>
    <xf numFmtId="174" fontId="0" fillId="0" borderId="4" xfId="0" applyNumberFormat="1" applyBorder="1" applyAlignment="1">
      <alignment horizontal="center"/>
    </xf>
    <xf numFmtId="174" fontId="0" fillId="0" borderId="3" xfId="0" applyNumberFormat="1" applyBorder="1" applyAlignment="1">
      <alignment horizontal="center"/>
    </xf>
    <xf numFmtId="174" fontId="0" fillId="0" borderId="5" xfId="0" applyNumberFormat="1" applyBorder="1" applyAlignment="1">
      <alignment horizontal="center"/>
    </xf>
    <xf numFmtId="174" fontId="0" fillId="0" borderId="25" xfId="0" applyNumberFormat="1" applyBorder="1" applyAlignment="1">
      <alignment horizontal="center"/>
    </xf>
    <xf numFmtId="174" fontId="0" fillId="0" borderId="8" xfId="0" applyNumberFormat="1" applyBorder="1" applyAlignment="1">
      <alignment horizontal="center"/>
    </xf>
    <xf numFmtId="1" fontId="2" fillId="35" borderId="22" xfId="0" applyNumberFormat="1" applyFont="1" applyFill="1" applyBorder="1" applyAlignment="1">
      <alignment horizontal="center"/>
    </xf>
    <xf numFmtId="1" fontId="2" fillId="35" borderId="4" xfId="0" applyNumberFormat="1" applyFont="1" applyFill="1" applyBorder="1" applyAlignment="1">
      <alignment horizontal="center"/>
    </xf>
    <xf numFmtId="1" fontId="2" fillId="35" borderId="3" xfId="0" applyNumberFormat="1" applyFont="1" applyFill="1" applyBorder="1" applyAlignment="1">
      <alignment horizontal="center"/>
    </xf>
  </cellXfs>
  <cellStyles count="9">
    <cellStyle name="Millares" xfId="1" builtinId="3"/>
    <cellStyle name="Millares 2" xfId="2" xr:uid="{0086515B-8BF6-46D4-8CF5-1A02BDBD6D1A}"/>
    <cellStyle name="Millares 5" xfId="8" xr:uid="{EE92EFD8-8F0A-4408-BFE7-6A4AA1DFEA2A}"/>
    <cellStyle name="Normal" xfId="0" builtinId="0"/>
    <cellStyle name="Normal 2" xfId="3" xr:uid="{6E74C25D-0073-4498-99C6-52529F0A180B}"/>
    <cellStyle name="Normal 2 4_Plantillas Direcciones Técnicas desglose INVERSION 2011_1_INVERSION 2011 DIRECCION DISTRIBUCION por UUPP EDEMET" xfId="4" xr:uid="{ABA13D44-2501-415F-A6F4-766C203CC5DE}"/>
    <cellStyle name="Normal 3" xfId="5" xr:uid="{8AEF3827-9199-48E5-905A-308A860A30F6}"/>
    <cellStyle name="Normal 5" xfId="6" xr:uid="{B0C40196-4181-4B6D-941E-146E2A27D3B6}"/>
    <cellStyle name="Porcentaje" xfId="7" builtinId="5"/>
  </cellStyles>
  <dxfs count="1">
    <dxf>
      <font>
        <strike val="0"/>
        <color theme="0"/>
      </font>
      <fill>
        <patternFill>
          <bgColor theme="2" tint="-0.74996185186315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F810B-3980-4607-9D87-43B7081F2E5E}">
  <sheetPr codeName="Hoja1"/>
  <dimension ref="A1:H136"/>
  <sheetViews>
    <sheetView showGridLines="0" tabSelected="1" topLeftCell="A43" zoomScale="85" zoomScaleNormal="85" workbookViewId="0">
      <selection activeCell="A49" sqref="A49:F72"/>
    </sheetView>
  </sheetViews>
  <sheetFormatPr baseColWidth="10" defaultRowHeight="12.5" x14ac:dyDescent="0.25"/>
  <cols>
    <col min="1" max="1" width="20.54296875" bestFit="1" customWidth="1"/>
    <col min="2" max="2" width="20" style="188" customWidth="1"/>
    <col min="3" max="3" width="18" style="188" hidden="1" customWidth="1"/>
    <col min="4" max="4" width="18" style="56" customWidth="1"/>
    <col min="5" max="5" width="18" style="56" hidden="1" customWidth="1"/>
    <col min="6" max="6" width="18" style="56" bestFit="1" customWidth="1"/>
    <col min="7" max="7" width="19.81640625" customWidth="1"/>
    <col min="8" max="8" width="18.1796875" customWidth="1"/>
    <col min="9" max="9" width="20.54296875" customWidth="1"/>
    <col min="10" max="10" width="17.453125" bestFit="1" customWidth="1"/>
    <col min="11" max="11" width="16.81640625" customWidth="1"/>
    <col min="12" max="12" width="18.453125" bestFit="1" customWidth="1"/>
    <col min="13" max="13" width="16.453125" bestFit="1" customWidth="1"/>
    <col min="14" max="14" width="24" customWidth="1"/>
    <col min="15" max="15" width="13.1796875" bestFit="1" customWidth="1"/>
    <col min="16" max="19" width="11.81640625" bestFit="1" customWidth="1"/>
  </cols>
  <sheetData>
    <row r="1" spans="1:8" ht="13" x14ac:dyDescent="0.3">
      <c r="A1" s="260" t="s">
        <v>109</v>
      </c>
      <c r="B1" s="261" t="s">
        <v>86</v>
      </c>
      <c r="C1" s="261" t="s">
        <v>102</v>
      </c>
      <c r="D1" s="262" t="s">
        <v>81</v>
      </c>
      <c r="E1" s="262" t="s">
        <v>113</v>
      </c>
      <c r="F1" s="263" t="s">
        <v>82</v>
      </c>
    </row>
    <row r="2" spans="1:8" x14ac:dyDescent="0.25">
      <c r="A2" s="264" t="s">
        <v>80</v>
      </c>
      <c r="B2" s="265">
        <f>'AA-01-2014'!$BC$60</f>
        <v>0.90074035778042882</v>
      </c>
      <c r="C2" s="266">
        <f>+'AA-01-2014'!BC13</f>
        <v>1275811.54</v>
      </c>
      <c r="D2" s="266">
        <f>+'AA-01-2014'!BV13</f>
        <v>10220948.327460408</v>
      </c>
      <c r="E2" s="266">
        <f>D2-'AA-01-2014'!BW13</f>
        <v>2977520.9542340059</v>
      </c>
      <c r="F2" s="267">
        <f>+'AA-01-2014'!BX13</f>
        <v>1908266.3280777163</v>
      </c>
      <c r="H2" s="289">
        <f>+B2*C2</f>
        <v>1149174.943</v>
      </c>
    </row>
    <row r="3" spans="1:8" x14ac:dyDescent="0.25">
      <c r="A3" s="264" t="s">
        <v>83</v>
      </c>
      <c r="B3" s="265">
        <f>'AA-01-2014'!$BC$61</f>
        <v>0.82689288467073041</v>
      </c>
      <c r="C3" s="266">
        <f>+'AA-01-2014'!BC45</f>
        <v>8595478.4899999984</v>
      </c>
      <c r="D3" s="266">
        <f>+'AA-01-2014'!BV45</f>
        <v>114766427.55900815</v>
      </c>
      <c r="E3" s="266">
        <f>D3-'AA-01-2014'!BW45</f>
        <v>108953078.7824631</v>
      </c>
      <c r="F3" s="267">
        <f>+'AA-01-2014'!BX45</f>
        <v>50951144.562129624</v>
      </c>
      <c r="H3" s="289">
        <f>+B3*C3</f>
        <v>7107540.0037213126</v>
      </c>
    </row>
    <row r="4" spans="1:8" x14ac:dyDescent="0.25">
      <c r="A4" s="264" t="s">
        <v>84</v>
      </c>
      <c r="B4" s="265">
        <f>'AA-01-2014'!$BC$62</f>
        <v>0.89999999999999991</v>
      </c>
      <c r="C4" s="266">
        <f>'AA-01-2014'!BC47</f>
        <v>611593.03</v>
      </c>
      <c r="D4" s="266">
        <f>+'AA-01-2014'!BV47</f>
        <v>8652664.0962220542</v>
      </c>
      <c r="E4" s="266">
        <f>+D4-'AA-01-2014'!BW47</f>
        <v>8652664.0962220542</v>
      </c>
      <c r="F4" s="267">
        <f>+'AA-01-2014'!BX47</f>
        <v>4449585.7755256649</v>
      </c>
      <c r="H4" s="289">
        <f>+B4*C4</f>
        <v>550433.72699999996</v>
      </c>
    </row>
    <row r="5" spans="1:8" x14ac:dyDescent="0.25">
      <c r="A5" s="264" t="s">
        <v>85</v>
      </c>
      <c r="B5" s="265">
        <f>'AA-01-2014'!$BC$63</f>
        <v>0.90000000000000013</v>
      </c>
      <c r="C5" s="266">
        <f>+'AA-01-2014'!BC58</f>
        <v>660890.24999999988</v>
      </c>
      <c r="D5" s="266">
        <f>+'AA-01-2014'!BV58</f>
        <v>10323181.06239471</v>
      </c>
      <c r="E5" s="266">
        <f>+D5-'AA-01-2014'!BW58</f>
        <v>10308797.911270792</v>
      </c>
      <c r="F5" s="267">
        <f>+'AA-01-2014'!BX58</f>
        <v>4490535.1498072771</v>
      </c>
      <c r="H5" s="289">
        <f>+B5*C5</f>
        <v>594801.22499999998</v>
      </c>
    </row>
    <row r="6" spans="1:8" ht="13" x14ac:dyDescent="0.3">
      <c r="A6" s="268" t="s">
        <v>103</v>
      </c>
      <c r="B6" s="269"/>
      <c r="C6" s="270">
        <f>SUM(C2:C5)</f>
        <v>11143773.309999997</v>
      </c>
      <c r="D6" s="270">
        <f>SUM(D2:D5)</f>
        <v>143963221.04508534</v>
      </c>
      <c r="E6" s="270">
        <f>SUM(E2:E5)</f>
        <v>130892061.74418996</v>
      </c>
      <c r="F6" s="271">
        <f>+SUM(F2:F5)</f>
        <v>61799531.815540284</v>
      </c>
      <c r="H6" s="289">
        <f>+SUM(H2:H5)</f>
        <v>9401949.8987213131</v>
      </c>
    </row>
    <row r="7" spans="1:8" ht="13" x14ac:dyDescent="0.3">
      <c r="A7" s="272" t="s">
        <v>110</v>
      </c>
      <c r="B7" s="273" t="s">
        <v>86</v>
      </c>
      <c r="C7" s="273" t="s">
        <v>102</v>
      </c>
      <c r="D7" s="274" t="s">
        <v>81</v>
      </c>
      <c r="E7" s="274" t="s">
        <v>113</v>
      </c>
      <c r="F7" s="275" t="s">
        <v>82</v>
      </c>
    </row>
    <row r="8" spans="1:8" x14ac:dyDescent="0.25">
      <c r="A8" s="264" t="s">
        <v>80</v>
      </c>
      <c r="B8" s="265">
        <f>'AA-01-2015'!$BJ$60</f>
        <v>0.82138749486930474</v>
      </c>
      <c r="C8" s="266">
        <f>+'AA-01-2015'!BJ13</f>
        <v>917175.86</v>
      </c>
      <c r="D8" s="266">
        <f>+'AA-01-2015'!CE13</f>
        <v>11914305.109460406</v>
      </c>
      <c r="E8" s="266">
        <f>D8-'AA-01-2015'!CF13</f>
        <v>4619808.7409125119</v>
      </c>
      <c r="F8" s="267">
        <f>+'AA-01-2015'!CG13</f>
        <v>3332795.2872085995</v>
      </c>
      <c r="G8" s="224"/>
      <c r="H8" s="289">
        <f>+B8*C8</f>
        <v>753356.78200000012</v>
      </c>
    </row>
    <row r="9" spans="1:8" x14ac:dyDescent="0.25">
      <c r="A9" s="264" t="s">
        <v>83</v>
      </c>
      <c r="B9" s="265">
        <f>'AA-01-2015'!$BJ$61</f>
        <v>0.82678611162921223</v>
      </c>
      <c r="C9" s="266">
        <f>+'AA-01-2015'!BJ45</f>
        <v>10289030.280000001</v>
      </c>
      <c r="D9" s="266">
        <f>+'AA-01-2015'!CE45</f>
        <v>130204302.14460266</v>
      </c>
      <c r="E9" s="266">
        <f>+D9-'AA-01-2015'!CF45</f>
        <v>124332889.98268327</v>
      </c>
      <c r="F9" s="267">
        <f>+'AA-01-2015'!CG45</f>
        <v>56538625.57850568</v>
      </c>
      <c r="G9" s="224"/>
      <c r="H9" s="289">
        <f>+B9*C9</f>
        <v>8506827.3376364261</v>
      </c>
    </row>
    <row r="10" spans="1:8" x14ac:dyDescent="0.25">
      <c r="A10" s="264" t="s">
        <v>84</v>
      </c>
      <c r="B10" s="265">
        <f>'AA-01-2015'!$BJ$62</f>
        <v>0.9</v>
      </c>
      <c r="C10" s="266">
        <f>+'AA-01-2015'!BJ47</f>
        <v>717101.01</v>
      </c>
      <c r="D10" s="266">
        <f>+'AA-01-2015'!CE47</f>
        <v>9298055.0052220542</v>
      </c>
      <c r="E10" s="266">
        <f>+D10-'AA-01-2015'!CF47</f>
        <v>9298055.0052220542</v>
      </c>
      <c r="F10" s="267">
        <f>+'AA-01-2015'!CG47</f>
        <v>4701673.7710610265</v>
      </c>
      <c r="G10" s="224"/>
      <c r="H10" s="289">
        <f>+B10*C10</f>
        <v>645390.90899999999</v>
      </c>
    </row>
    <row r="11" spans="1:8" x14ac:dyDescent="0.25">
      <c r="A11" s="264" t="s">
        <v>85</v>
      </c>
      <c r="B11" s="265">
        <f>'AA-01-2015'!$BJ$63</f>
        <v>0.90000000000000013</v>
      </c>
      <c r="C11" s="266">
        <f>+'AA-01-2015'!BJ58</f>
        <v>682413</v>
      </c>
      <c r="D11" s="266">
        <f>+'AA-01-2015'!CE58</f>
        <v>11202907.76239471</v>
      </c>
      <c r="E11" s="266">
        <f>+D11-'AA-01-2015'!CF58</f>
        <v>11188524.611270791</v>
      </c>
      <c r="F11" s="267">
        <f>+'AA-01-2015'!CG58</f>
        <v>4658505.7048611911</v>
      </c>
      <c r="G11" s="224"/>
      <c r="H11" s="289">
        <f>+B11*C11</f>
        <v>614171.70000000007</v>
      </c>
    </row>
    <row r="12" spans="1:8" ht="13" x14ac:dyDescent="0.3">
      <c r="A12" s="268" t="s">
        <v>103</v>
      </c>
      <c r="B12" s="269"/>
      <c r="C12" s="270">
        <f>SUM(C8:C11)</f>
        <v>12605720.15</v>
      </c>
      <c r="D12" s="270">
        <f>SUM(D8:D11)</f>
        <v>162619570.02167982</v>
      </c>
      <c r="E12" s="270">
        <f>SUM(E8:E11)</f>
        <v>149439278.34008864</v>
      </c>
      <c r="F12" s="271">
        <f>+SUM(F8:F11)</f>
        <v>69231600.341636494</v>
      </c>
      <c r="G12" s="224"/>
      <c r="H12" s="289">
        <f>+SUM(H8:H11)</f>
        <v>10519746.728636425</v>
      </c>
    </row>
    <row r="13" spans="1:8" ht="13" x14ac:dyDescent="0.3">
      <c r="A13" s="272" t="s">
        <v>111</v>
      </c>
      <c r="B13" s="273" t="s">
        <v>86</v>
      </c>
      <c r="C13" s="273" t="s">
        <v>102</v>
      </c>
      <c r="D13" s="274" t="s">
        <v>81</v>
      </c>
      <c r="E13" s="274" t="s">
        <v>113</v>
      </c>
      <c r="F13" s="275" t="s">
        <v>82</v>
      </c>
    </row>
    <row r="14" spans="1:8" ht="14.25" customHeight="1" x14ac:dyDescent="0.25">
      <c r="A14" s="264" t="s">
        <v>80</v>
      </c>
      <c r="B14" s="265">
        <f>+'AA-01-2016'!BN60</f>
        <v>0.89522906288268778</v>
      </c>
      <c r="C14" s="266">
        <f>+'AA-01-2016'!BN13</f>
        <v>1105575.6700000002</v>
      </c>
      <c r="D14" s="266">
        <f>+'AA-01-2016'!CJ13</f>
        <v>12904048.580460407</v>
      </c>
      <c r="E14" s="266">
        <f>D14-'AA-01-2016'!CK13</f>
        <v>5517820.2549435701</v>
      </c>
      <c r="F14" s="267">
        <f>+'AA-01-2016'!CL13</f>
        <v>3845978.9206307461</v>
      </c>
      <c r="H14" s="289">
        <f>+B14*C14</f>
        <v>989743.47099999979</v>
      </c>
    </row>
    <row r="15" spans="1:8" x14ac:dyDescent="0.25">
      <c r="A15" s="264" t="s">
        <v>83</v>
      </c>
      <c r="B15" s="265">
        <f>+'AA-01-2016'!BN61</f>
        <v>0.87441558026888644</v>
      </c>
      <c r="C15" s="266">
        <f>+'AA-01-2016'!BN45</f>
        <v>23273467.399999995</v>
      </c>
      <c r="D15" s="266">
        <f>+'AA-01-2016'!CJ45</f>
        <v>150554984.6460427</v>
      </c>
      <c r="E15" s="266">
        <f>+D15-'AA-01-2016'!CK45</f>
        <v>143557137.84436032</v>
      </c>
      <c r="F15" s="267">
        <f>+'AA-01-2016'!CL45</f>
        <v>71776078.513995573</v>
      </c>
      <c r="H15" s="289">
        <f>+B15*C15</f>
        <v>20350682.501440007</v>
      </c>
    </row>
    <row r="16" spans="1:8" x14ac:dyDescent="0.25">
      <c r="A16" s="264" t="s">
        <v>84</v>
      </c>
      <c r="B16" s="265">
        <f>+'AA-01-2016'!BN62</f>
        <v>0.9</v>
      </c>
      <c r="C16" s="266">
        <f>+'AA-01-2016'!BN47</f>
        <v>778834.53</v>
      </c>
      <c r="D16" s="266">
        <f>+'AA-01-2016'!CJ47</f>
        <v>9999006.0822220538</v>
      </c>
      <c r="E16" s="266">
        <f>+D16-'AA-01-2016'!CK47</f>
        <v>7041779.5814913725</v>
      </c>
      <c r="F16" s="267">
        <f>+'AA-01-2016'!CL47</f>
        <v>5080999.6194024626</v>
      </c>
      <c r="H16" s="289">
        <f>+B16*C16</f>
        <v>700951.07700000005</v>
      </c>
    </row>
    <row r="17" spans="1:8" x14ac:dyDescent="0.25">
      <c r="A17" s="264" t="s">
        <v>85</v>
      </c>
      <c r="B17" s="265">
        <f>+'AA-01-2016'!BN63</f>
        <v>0.90000000000000024</v>
      </c>
      <c r="C17" s="266">
        <f>+'AA-01-2016'!BN58</f>
        <v>805417.89999999991</v>
      </c>
      <c r="D17" s="266">
        <f>+'AA-01-2016'!CJ58</f>
        <v>11927783.872394709</v>
      </c>
      <c r="E17" s="266">
        <f>+D17-'AA-01-2016'!CK58</f>
        <v>11913400.72127079</v>
      </c>
      <c r="F17" s="267">
        <f>+'AA-01-2016'!CL58</f>
        <v>4908496.4189648787</v>
      </c>
      <c r="H17" s="289">
        <f>+B17*C17</f>
        <v>724876.1100000001</v>
      </c>
    </row>
    <row r="18" spans="1:8" ht="13" x14ac:dyDescent="0.3">
      <c r="A18" s="268" t="s">
        <v>103</v>
      </c>
      <c r="B18" s="269"/>
      <c r="C18" s="270">
        <f>+SUM(C14:C17)</f>
        <v>25963295.499999996</v>
      </c>
      <c r="D18" s="270">
        <f>+SUM(D14:D17)</f>
        <v>185385823.18111986</v>
      </c>
      <c r="E18" s="270">
        <f>+SUM(E14:E17)</f>
        <v>168030138.40206608</v>
      </c>
      <c r="F18" s="271">
        <f>+SUM(F14:F17)</f>
        <v>85611553.472993672</v>
      </c>
      <c r="H18" s="289">
        <f>+SUM(H14:H17)</f>
        <v>22766253.159440007</v>
      </c>
    </row>
    <row r="19" spans="1:8" ht="13" x14ac:dyDescent="0.3">
      <c r="A19" s="272" t="s">
        <v>112</v>
      </c>
      <c r="B19" s="273" t="s">
        <v>86</v>
      </c>
      <c r="C19" s="273" t="s">
        <v>102</v>
      </c>
      <c r="D19" s="274" t="s">
        <v>81</v>
      </c>
      <c r="E19" s="274" t="s">
        <v>113</v>
      </c>
      <c r="F19" s="275" t="s">
        <v>82</v>
      </c>
    </row>
    <row r="20" spans="1:8" x14ac:dyDescent="0.25">
      <c r="A20" s="264" t="s">
        <v>80</v>
      </c>
      <c r="B20" s="265">
        <f>+'AA-01-2017'!BR60</f>
        <v>0.93156588934484996</v>
      </c>
      <c r="C20" s="266">
        <f>+'AA-01-2017'!BR13</f>
        <v>1102455.8699999996</v>
      </c>
      <c r="D20" s="266">
        <f>+'AA-01-2017'!CO13</f>
        <v>13931058.863460405</v>
      </c>
      <c r="E20" s="266">
        <f>+D20-'AA-01-2017'!CP13</f>
        <v>6436586.9234594721</v>
      </c>
      <c r="F20" s="267">
        <f>+'AA-01-2017'!CQ13</f>
        <v>4122432.4491126714</v>
      </c>
      <c r="H20" s="289">
        <f>+B20*C20</f>
        <v>1027010.2829999999</v>
      </c>
    </row>
    <row r="21" spans="1:8" x14ac:dyDescent="0.25">
      <c r="A21" s="264" t="s">
        <v>83</v>
      </c>
      <c r="B21" s="265">
        <f>+'AA-01-2017'!BR61</f>
        <v>0.87663763477212842</v>
      </c>
      <c r="C21" s="266">
        <f>+'AA-01-2017'!BR45</f>
        <v>16573617.789999997</v>
      </c>
      <c r="D21" s="266">
        <f>+'AA-01-2017'!CO45</f>
        <v>165084041.74508554</v>
      </c>
      <c r="E21" s="266">
        <f>+D21-'AA-01-2017'!CP45</f>
        <v>159191114.25910971</v>
      </c>
      <c r="F21" s="267">
        <f>+'AA-01-2017'!CQ45</f>
        <v>82586371.036398292</v>
      </c>
      <c r="H21" s="289">
        <f>+B21*C21</f>
        <v>14529057.099042868</v>
      </c>
    </row>
    <row r="22" spans="1:8" x14ac:dyDescent="0.25">
      <c r="A22" s="264" t="s">
        <v>84</v>
      </c>
      <c r="B22" s="265">
        <f>+'AA-01-2017'!BR62</f>
        <v>0.9</v>
      </c>
      <c r="C22" s="266">
        <f>+'AA-01-2017'!BR47</f>
        <v>1066066.3500000001</v>
      </c>
      <c r="D22" s="266">
        <f>+'AA-01-2017'!CO47</f>
        <v>10904593.017022716</v>
      </c>
      <c r="E22" s="266">
        <f>+D22-'AA-01-2017'!CP47</f>
        <v>8001239.2964913733</v>
      </c>
      <c r="F22" s="267">
        <f>+'AA-01-2017'!CQ47</f>
        <v>5720296.902399444</v>
      </c>
      <c r="H22" s="289">
        <f>+B22*C22</f>
        <v>959459.71500000008</v>
      </c>
    </row>
    <row r="23" spans="1:8" x14ac:dyDescent="0.25">
      <c r="A23" s="264" t="s">
        <v>85</v>
      </c>
      <c r="B23" s="265">
        <f>+'AA-01-2017'!BR63</f>
        <v>0.9</v>
      </c>
      <c r="C23" s="266">
        <f>+'AA-01-2017'!BR58</f>
        <v>811234.00000000012</v>
      </c>
      <c r="D23" s="266">
        <f>+'AA-01-2017'!CO58</f>
        <v>12657894.472394709</v>
      </c>
      <c r="E23" s="266">
        <f>+D23-'AA-01-2017'!CP58</f>
        <v>8073096.3992034243</v>
      </c>
      <c r="F23" s="267">
        <f>+'AA-01-2017'!CQ58</f>
        <v>5205296.2590980306</v>
      </c>
      <c r="H23" s="289">
        <f>+B23*C23</f>
        <v>730110.60000000009</v>
      </c>
    </row>
    <row r="24" spans="1:8" ht="13" x14ac:dyDescent="0.3">
      <c r="A24" s="268" t="s">
        <v>103</v>
      </c>
      <c r="B24" s="269"/>
      <c r="C24" s="270">
        <f>+SUM(C20:C23)</f>
        <v>19553374.009999998</v>
      </c>
      <c r="D24" s="270">
        <f>+SUM(D20:D23)</f>
        <v>202577588.09796336</v>
      </c>
      <c r="E24" s="270">
        <f>+SUM(E20:E23)</f>
        <v>181702036.87826398</v>
      </c>
      <c r="F24" s="271">
        <f>+SUM(F20:F23)</f>
        <v>97634396.647008449</v>
      </c>
      <c r="H24" s="289">
        <f>+SUM(H20:H23)</f>
        <v>17245637.697042868</v>
      </c>
    </row>
    <row r="25" spans="1:8" ht="13" x14ac:dyDescent="0.3">
      <c r="A25" s="272" t="s">
        <v>120</v>
      </c>
      <c r="B25" s="273" t="s">
        <v>86</v>
      </c>
      <c r="C25" s="273" t="s">
        <v>102</v>
      </c>
      <c r="D25" s="274" t="s">
        <v>81</v>
      </c>
      <c r="E25" s="274" t="s">
        <v>113</v>
      </c>
      <c r="F25" s="275" t="s">
        <v>82</v>
      </c>
    </row>
    <row r="26" spans="1:8" x14ac:dyDescent="0.25">
      <c r="A26" s="264" t="s">
        <v>80</v>
      </c>
      <c r="B26" s="265">
        <f>+'AA-01-2018'!BV60</f>
        <v>0.89999999999999991</v>
      </c>
      <c r="C26" s="266">
        <f>+'AA-01-2018'!BV13</f>
        <v>1120073.2300000004</v>
      </c>
      <c r="D26" s="266">
        <f>+'AA-01-2018'!CT13</f>
        <v>14939124.770460406</v>
      </c>
      <c r="E26" s="266">
        <f>+D26-'AA-01-2018'!CU13</f>
        <v>6500843.3435024396</v>
      </c>
      <c r="F26" s="267">
        <f>+'AA-01-2018'!CV13</f>
        <v>4269250.8127172971</v>
      </c>
      <c r="H26" s="289">
        <f>+B26*C26</f>
        <v>1008065.9070000004</v>
      </c>
    </row>
    <row r="27" spans="1:8" x14ac:dyDescent="0.25">
      <c r="A27" s="264" t="s">
        <v>83</v>
      </c>
      <c r="B27" s="265">
        <f>+'AA-01-2018'!BV61</f>
        <v>0.88548506374709002</v>
      </c>
      <c r="C27" s="266">
        <f>+'AA-01-2018'!BV45</f>
        <v>17574337.189999998</v>
      </c>
      <c r="D27" s="266">
        <f>+'AA-01-2018'!CT45</f>
        <v>177932891.61322677</v>
      </c>
      <c r="E27" s="266">
        <f>+D27-'AA-01-2018'!CU45</f>
        <v>130890937.19806395</v>
      </c>
      <c r="F27" s="267">
        <f>+'AA-01-2018'!CV45</f>
        <v>91476667.655326113</v>
      </c>
      <c r="H27" s="289">
        <f>+B27*C27</f>
        <v>15561813.087000003</v>
      </c>
    </row>
    <row r="28" spans="1:8" x14ac:dyDescent="0.25">
      <c r="A28" s="264" t="s">
        <v>84</v>
      </c>
      <c r="B28" s="265">
        <f>+'AA-01-2018'!BV62</f>
        <v>0.9</v>
      </c>
      <c r="C28" s="266">
        <f>+'AA-01-2018'!BV47</f>
        <v>715400.34000000008</v>
      </c>
      <c r="D28" s="266">
        <f>+'AA-01-2018'!CT47</f>
        <v>11602326.103222053</v>
      </c>
      <c r="E28" s="266">
        <f>+D28-'AA-01-2018'!CU47</f>
        <v>8645099.6024913732</v>
      </c>
      <c r="F28" s="267">
        <f>+'AA-01-2018'!CV47</f>
        <v>5998915.2163350275</v>
      </c>
      <c r="H28" s="289">
        <f>+B28*C28</f>
        <v>643860.3060000001</v>
      </c>
    </row>
    <row r="29" spans="1:8" x14ac:dyDescent="0.25">
      <c r="A29" s="264" t="s">
        <v>85</v>
      </c>
      <c r="B29" s="265">
        <f>+'AA-01-2018'!BV63</f>
        <v>0.90000000000000036</v>
      </c>
      <c r="C29" s="266">
        <f>+'AA-01-2018'!BV58</f>
        <v>994683.03999999969</v>
      </c>
      <c r="D29" s="266">
        <f>+'AA-01-2018'!CT58</f>
        <v>13553109.208394708</v>
      </c>
      <c r="E29" s="266">
        <f>+D29-'AA-01-2018'!CU58</f>
        <v>8968311.1352034211</v>
      </c>
      <c r="F29" s="267">
        <f>+'AA-01-2018'!CV58</f>
        <v>5763765.7169342302</v>
      </c>
      <c r="H29" s="289">
        <f>+B29*C29</f>
        <v>895214.73600000003</v>
      </c>
    </row>
    <row r="30" spans="1:8" ht="13.5" thickBot="1" x14ac:dyDescent="0.35">
      <c r="A30" s="276" t="s">
        <v>103</v>
      </c>
      <c r="B30" s="277"/>
      <c r="C30" s="278">
        <f>+SUM(C26:C29)</f>
        <v>20404493.799999997</v>
      </c>
      <c r="D30" s="278">
        <f>+SUM(D26:D29)</f>
        <v>218027451.69530392</v>
      </c>
      <c r="E30" s="278">
        <f>+SUM(E26:E29)</f>
        <v>155005191.2792612</v>
      </c>
      <c r="F30" s="279">
        <f>+SUM(F26:F29)</f>
        <v>107508599.40131268</v>
      </c>
      <c r="H30" s="289">
        <f>+SUM(H26:H29)</f>
        <v>18108954.036000006</v>
      </c>
    </row>
    <row r="31" spans="1:8" ht="13" x14ac:dyDescent="0.3">
      <c r="A31" s="272" t="s">
        <v>121</v>
      </c>
      <c r="B31" s="273" t="s">
        <v>86</v>
      </c>
      <c r="C31" s="273" t="s">
        <v>102</v>
      </c>
      <c r="D31" s="274" t="s">
        <v>81</v>
      </c>
      <c r="E31" s="274" t="s">
        <v>113</v>
      </c>
      <c r="F31" s="275" t="s">
        <v>82</v>
      </c>
    </row>
    <row r="32" spans="1:8" x14ac:dyDescent="0.25">
      <c r="A32" s="264" t="s">
        <v>80</v>
      </c>
      <c r="B32" s="265">
        <f>+'AA-01-2019'!BZ60</f>
        <v>0.9</v>
      </c>
      <c r="C32" s="266">
        <f>+'AA-01-2019'!BZ13</f>
        <v>3586563.6400000011</v>
      </c>
      <c r="D32" s="266">
        <f>+'AA-01-2019'!CY13</f>
        <v>18167032.046460409</v>
      </c>
      <c r="E32" s="266">
        <f>D32-'AA-01-2019'!CZ13</f>
        <v>9217547.3801809493</v>
      </c>
      <c r="F32" s="266">
        <f>+'AA-01-2019'!DA13</f>
        <v>6624556.2952303505</v>
      </c>
      <c r="H32" s="289">
        <f>+B32*C32</f>
        <v>3227907.276000001</v>
      </c>
    </row>
    <row r="33" spans="1:8" x14ac:dyDescent="0.25">
      <c r="A33" s="264" t="s">
        <v>83</v>
      </c>
      <c r="B33" s="265">
        <f>+'AA-01-2019'!BZ61</f>
        <v>0.86554098001225288</v>
      </c>
      <c r="C33" s="266">
        <f>+'AA-01-2019'!BZ45</f>
        <v>17203994.490000002</v>
      </c>
      <c r="D33" s="266">
        <f>+'AA-01-2019'!CY45</f>
        <v>190521519.80836913</v>
      </c>
      <c r="E33" s="266">
        <f>D33-'AA-01-2019'!CZ45</f>
        <v>143442234.41224995</v>
      </c>
      <c r="F33" s="266">
        <f>+'AA-01-2019'!DA45</f>
        <v>99655512.296586931</v>
      </c>
      <c r="H33" s="289">
        <f>+B33*C33</f>
        <v>14890762.251</v>
      </c>
    </row>
    <row r="34" spans="1:8" x14ac:dyDescent="0.25">
      <c r="A34" s="264" t="s">
        <v>84</v>
      </c>
      <c r="B34" s="265">
        <f>+'AA-01-2019'!BZ62</f>
        <v>0.90000000000000013</v>
      </c>
      <c r="C34" s="266">
        <f>+'AA-01-2019'!BZ47</f>
        <v>305500.91000000003</v>
      </c>
      <c r="D34" s="266">
        <f>+'AA-01-2019'!CY47</f>
        <v>11877276.922222054</v>
      </c>
      <c r="E34" s="266">
        <f>D34-'AA-01-2019'!CZ47</f>
        <v>8920050.4214913733</v>
      </c>
      <c r="F34" s="266">
        <f>+'AA-01-2019'!DA47</f>
        <v>5880906.9624945093</v>
      </c>
      <c r="H34" s="289">
        <f>+B34*C34</f>
        <v>274950.81900000008</v>
      </c>
    </row>
    <row r="35" spans="1:8" x14ac:dyDescent="0.25">
      <c r="A35" s="264" t="s">
        <v>85</v>
      </c>
      <c r="B35" s="265">
        <f>+'AA-01-2019'!BZ63</f>
        <v>0.89999999999999991</v>
      </c>
      <c r="C35" s="266">
        <f>+'AA-01-2019'!BZ58</f>
        <v>1009193.6200000001</v>
      </c>
      <c r="D35" s="266">
        <f>+'AA-01-2019'!CY58</f>
        <v>14461383.466394708</v>
      </c>
      <c r="E35" s="266">
        <f>D35-'AA-01-2019'!CZ58</f>
        <v>9876585.3932034224</v>
      </c>
      <c r="F35" s="266">
        <f>+'AA-01-2019'!DA58</f>
        <v>6298840.7289002966</v>
      </c>
      <c r="H35" s="289">
        <f>+B35*C35</f>
        <v>908274.25800000003</v>
      </c>
    </row>
    <row r="36" spans="1:8" ht="13.5" thickBot="1" x14ac:dyDescent="0.35">
      <c r="A36" s="276" t="s">
        <v>103</v>
      </c>
      <c r="B36" s="277"/>
      <c r="C36" s="278">
        <f>+SUM(C32:C35)</f>
        <v>22105252.660000004</v>
      </c>
      <c r="D36" s="278">
        <f>+SUM(D32:D35)</f>
        <v>235027212.24344629</v>
      </c>
      <c r="E36" s="278">
        <f>+SUM(E32:E35)</f>
        <v>171456417.6071257</v>
      </c>
      <c r="F36" s="279">
        <f>+SUM(F32:F35)</f>
        <v>118459816.28321208</v>
      </c>
      <c r="H36" s="289">
        <f>+SUM(H32:H35)</f>
        <v>19301894.604000002</v>
      </c>
    </row>
    <row r="37" spans="1:8" ht="13" x14ac:dyDescent="0.3">
      <c r="A37" s="272" t="s">
        <v>122</v>
      </c>
      <c r="B37" s="273" t="s">
        <v>86</v>
      </c>
      <c r="C37" s="273" t="s">
        <v>102</v>
      </c>
      <c r="D37" s="274" t="s">
        <v>81</v>
      </c>
      <c r="E37" s="274" t="s">
        <v>113</v>
      </c>
      <c r="F37" s="275" t="s">
        <v>82</v>
      </c>
    </row>
    <row r="38" spans="1:8" x14ac:dyDescent="0.25">
      <c r="A38" s="264" t="s">
        <v>80</v>
      </c>
      <c r="B38" s="265">
        <f>+'AA-01-2020'!CD60</f>
        <v>0.90000000000000013</v>
      </c>
      <c r="C38" s="266">
        <f>+'AA-01-2020'!CD13</f>
        <v>689888.1</v>
      </c>
      <c r="D38" s="266">
        <f>+'AA-01-2020'!DD13</f>
        <v>18787931.336460412</v>
      </c>
      <c r="E38" s="266">
        <f>D38-'AA-01-2020'!DE13</f>
        <v>8865820.4613080416</v>
      </c>
      <c r="F38" s="266">
        <f>+'AA-01-2020'!DF13</f>
        <v>5701531.0637198277</v>
      </c>
      <c r="H38" s="289">
        <f>+B38*C38</f>
        <v>620899.29</v>
      </c>
    </row>
    <row r="39" spans="1:8" x14ac:dyDescent="0.25">
      <c r="A39" s="264" t="s">
        <v>83</v>
      </c>
      <c r="B39" s="265">
        <f>+'AA-01-2020'!CD61</f>
        <v>0.86592991285731813</v>
      </c>
      <c r="C39" s="266">
        <f>+'AA-01-2020'!CD45</f>
        <v>15929715.17</v>
      </c>
      <c r="D39" s="266">
        <f>+'AA-01-2020'!DD45</f>
        <v>203865275.92515585</v>
      </c>
      <c r="E39" s="266">
        <f>D39-'AA-01-2020'!DE45</f>
        <v>156775278.2647323</v>
      </c>
      <c r="F39" s="266">
        <f>+'AA-01-2020'!DF45</f>
        <v>108130098.95280735</v>
      </c>
      <c r="H39" s="289">
        <f>+B39*C39</f>
        <v>13794016.868999999</v>
      </c>
    </row>
    <row r="40" spans="1:8" x14ac:dyDescent="0.25">
      <c r="A40" s="264" t="s">
        <v>84</v>
      </c>
      <c r="B40" s="265">
        <f>+'AA-01-2020'!CD62</f>
        <v>0.9</v>
      </c>
      <c r="C40" s="266">
        <f>+'AA-01-2020'!CD47</f>
        <v>266268.98</v>
      </c>
      <c r="D40" s="266">
        <f>+'AA-01-2020'!DD47</f>
        <v>12116919.004222054</v>
      </c>
      <c r="E40" s="266">
        <f>D40-'AA-01-2020'!DE47</f>
        <v>9159692.5034913737</v>
      </c>
      <c r="F40" s="266">
        <f>+'AA-01-2020'!DF47</f>
        <v>5715092.2071539946</v>
      </c>
      <c r="H40" s="289">
        <f>+B40*C40</f>
        <v>239642.08199999999</v>
      </c>
    </row>
    <row r="41" spans="1:8" x14ac:dyDescent="0.25">
      <c r="A41" s="264" t="s">
        <v>85</v>
      </c>
      <c r="B41" s="265">
        <f>+'AA-01-2020'!CD63</f>
        <v>0.8999999999999998</v>
      </c>
      <c r="C41" s="266">
        <f>+'AA-01-2020'!CD58</f>
        <v>1325024.6100000003</v>
      </c>
      <c r="D41" s="266">
        <f>+'AA-01-2020'!DD58</f>
        <v>15653905.615394708</v>
      </c>
      <c r="E41" s="266">
        <f>D41-'AA-01-2020'!DE58</f>
        <v>11069107.542203423</v>
      </c>
      <c r="F41" s="266">
        <f>+'AA-01-2020'!DF58</f>
        <v>7076878.4383209087</v>
      </c>
      <c r="H41" s="289">
        <f>+B41*C41</f>
        <v>1192522.149</v>
      </c>
    </row>
    <row r="42" spans="1:8" ht="13.5" thickBot="1" x14ac:dyDescent="0.35">
      <c r="A42" s="276" t="s">
        <v>103</v>
      </c>
      <c r="B42" s="277"/>
      <c r="C42" s="278">
        <f>+SUM(C38:C41)</f>
        <v>18210896.859999999</v>
      </c>
      <c r="D42" s="278">
        <f>+SUM(D38:D41)</f>
        <v>250424031.88123304</v>
      </c>
      <c r="E42" s="278">
        <f>+SUM(E38:E41)</f>
        <v>185869898.77173513</v>
      </c>
      <c r="F42" s="279">
        <f>+SUM(F38:F41)</f>
        <v>126623600.66200207</v>
      </c>
      <c r="H42" s="289">
        <f>+SUM(H38:H41)</f>
        <v>15847080.389999999</v>
      </c>
    </row>
    <row r="43" spans="1:8" ht="13" x14ac:dyDescent="0.3">
      <c r="A43" s="272" t="s">
        <v>123</v>
      </c>
      <c r="B43" s="273" t="s">
        <v>86</v>
      </c>
      <c r="C43" s="273" t="s">
        <v>102</v>
      </c>
      <c r="D43" s="274" t="s">
        <v>81</v>
      </c>
      <c r="E43" s="274" t="s">
        <v>113</v>
      </c>
      <c r="F43" s="275" t="s">
        <v>82</v>
      </c>
    </row>
    <row r="44" spans="1:8" x14ac:dyDescent="0.25">
      <c r="A44" s="264" t="s">
        <v>80</v>
      </c>
      <c r="B44" s="265">
        <f>+'AA-01-2021'!CH60</f>
        <v>0.89100093955357473</v>
      </c>
      <c r="C44" s="266">
        <f>+'AA-01-2021'!CH13</f>
        <v>881689.72999999986</v>
      </c>
      <c r="D44" s="266">
        <f>+'AA-01-2021'!DI13</f>
        <v>19573517.714285146</v>
      </c>
      <c r="E44" s="266">
        <f>D44-'AA-01-2021'!DJ13</f>
        <v>8801599.99055022</v>
      </c>
      <c r="F44" s="266">
        <f>+'AA-01-2021'!DK13</f>
        <v>5025521.1075320644</v>
      </c>
      <c r="H44" s="289">
        <f>+B44*C44</f>
        <v>785586.37782473746</v>
      </c>
    </row>
    <row r="45" spans="1:8" x14ac:dyDescent="0.25">
      <c r="A45" s="264" t="s">
        <v>83</v>
      </c>
      <c r="B45" s="265">
        <f>+'AA-01-2021'!CH61</f>
        <v>0.87172983433540296</v>
      </c>
      <c r="C45" s="266">
        <f>+'AA-01-2021'!CH45</f>
        <v>14074953.529999994</v>
      </c>
      <c r="D45" s="266">
        <f>+'AA-01-2021'!DI45</f>
        <v>216009804.873505</v>
      </c>
      <c r="E45" s="266">
        <f>D45-'AA-01-2021'!DJ45</f>
        <v>161306217.58127356</v>
      </c>
      <c r="F45" s="266">
        <f>+'AA-01-2021'!DK45</f>
        <v>115149058.77825761</v>
      </c>
      <c r="H45" s="289">
        <f>+B45*C45</f>
        <v>12269556.908985389</v>
      </c>
    </row>
    <row r="46" spans="1:8" x14ac:dyDescent="0.25">
      <c r="A46" s="264" t="s">
        <v>84</v>
      </c>
      <c r="B46" s="265">
        <f>+'AA-01-2021'!CH62</f>
        <v>0.9</v>
      </c>
      <c r="C46" s="266">
        <f>+'AA-01-2021'!CH47</f>
        <v>743971.64</v>
      </c>
      <c r="D46" s="266">
        <f>+'AA-01-2021'!DI47</f>
        <v>12786493.480222054</v>
      </c>
      <c r="E46" s="266">
        <f>D46-'AA-01-2021'!DJ47</f>
        <v>9829266.9794913735</v>
      </c>
      <c r="F46" s="266">
        <f>+'AA-01-2021'!DK47</f>
        <v>5968317.023904385</v>
      </c>
      <c r="H46" s="289">
        <f>+B46*C46</f>
        <v>669574.47600000002</v>
      </c>
    </row>
    <row r="47" spans="1:8" x14ac:dyDescent="0.25">
      <c r="A47" s="264" t="s">
        <v>85</v>
      </c>
      <c r="B47" s="265">
        <f>+'AA-01-2021'!CH63</f>
        <v>0.89999999999999991</v>
      </c>
      <c r="C47" s="266">
        <f>+'AA-01-2021'!CH58</f>
        <v>1556506.81</v>
      </c>
      <c r="D47" s="266">
        <f>+'AA-01-2021'!DI58</f>
        <v>17054761.744394708</v>
      </c>
      <c r="E47" s="266">
        <f>D47-'AA-01-2021'!DJ58</f>
        <v>12469963.671203423</v>
      </c>
      <c r="F47" s="266">
        <f>+'AA-01-2021'!DK58</f>
        <v>8009044.5755142486</v>
      </c>
      <c r="H47" s="289">
        <f>+B47*C47</f>
        <v>1400856.129</v>
      </c>
    </row>
    <row r="48" spans="1:8" ht="13.5" thickBot="1" x14ac:dyDescent="0.35">
      <c r="A48" s="276" t="s">
        <v>103</v>
      </c>
      <c r="B48" s="277"/>
      <c r="C48" s="278">
        <f>+SUM(C44:C47)</f>
        <v>17257121.709999993</v>
      </c>
      <c r="D48" s="278">
        <f>+SUM(D44:D47)</f>
        <v>265424577.8124069</v>
      </c>
      <c r="E48" s="278">
        <f>+SUM(E44:E47)</f>
        <v>192407048.22251859</v>
      </c>
      <c r="F48" s="279">
        <f>+SUM(F44:F47)</f>
        <v>134151941.4852083</v>
      </c>
      <c r="H48" s="289">
        <f>+SUM(H44:H47)</f>
        <v>15125573.891810127</v>
      </c>
    </row>
    <row r="49" spans="1:8" ht="13" x14ac:dyDescent="0.3">
      <c r="A49" s="272" t="s">
        <v>137</v>
      </c>
      <c r="B49" s="273" t="s">
        <v>86</v>
      </c>
      <c r="C49" s="273" t="s">
        <v>102</v>
      </c>
      <c r="D49" s="274" t="s">
        <v>81</v>
      </c>
      <c r="E49" s="274" t="s">
        <v>113</v>
      </c>
      <c r="F49" s="275" t="s">
        <v>82</v>
      </c>
    </row>
    <row r="50" spans="1:8" x14ac:dyDescent="0.25">
      <c r="A50" s="264" t="s">
        <v>80</v>
      </c>
      <c r="B50" s="265">
        <f>'AA-01-2022'!CL60</f>
        <v>0.9</v>
      </c>
      <c r="C50" s="266">
        <f>'AA-01-2022'!CL13</f>
        <v>1253665.81</v>
      </c>
      <c r="D50" s="266">
        <f>'AA-01-2022'!DN13</f>
        <v>20701816.943285145</v>
      </c>
      <c r="E50" s="266">
        <f>D50-'AA-01-2022'!DO13</f>
        <v>8866662.8190955669</v>
      </c>
      <c r="F50" s="266">
        <f>'AA-01-2022'!DP13</f>
        <v>4749669.9306583013</v>
      </c>
      <c r="H50" s="289">
        <f>+B50*C50</f>
        <v>1128299.2290000001</v>
      </c>
    </row>
    <row r="51" spans="1:8" x14ac:dyDescent="0.25">
      <c r="A51" s="264" t="s">
        <v>83</v>
      </c>
      <c r="B51" s="265">
        <f>'AA-01-2022'!CL61</f>
        <v>0.57735006603666861</v>
      </c>
      <c r="C51" s="266">
        <f>'AA-01-2022'!CL45</f>
        <v>16016692.260000002</v>
      </c>
      <c r="D51" s="266">
        <f>'AA-01-2022'!DN45</f>
        <v>225257043.20750502</v>
      </c>
      <c r="E51" s="266">
        <f>D51-'AA-01-2022'!DO45</f>
        <v>160434091.31291267</v>
      </c>
      <c r="F51" s="266">
        <f>'AA-01-2022'!DP45</f>
        <v>118916986.16907996</v>
      </c>
      <c r="H51" s="289">
        <f>+B51*C51</f>
        <v>9247238.3340000007</v>
      </c>
    </row>
    <row r="52" spans="1:8" x14ac:dyDescent="0.25">
      <c r="A52" s="264" t="s">
        <v>84</v>
      </c>
      <c r="B52" s="265">
        <f>'AA-01-2022'!CL62</f>
        <v>0.9</v>
      </c>
      <c r="C52" s="266">
        <f>'AA-01-2022'!CL47</f>
        <v>550410.49999999988</v>
      </c>
      <c r="D52" s="266">
        <f>'AA-01-2022'!DN47</f>
        <v>13281862.930222053</v>
      </c>
      <c r="E52" s="266">
        <f>D52-'AA-01-2022'!DO47</f>
        <v>10324636.429491373</v>
      </c>
      <c r="F52" s="266">
        <f>'AA-01-2022'!DP47</f>
        <v>6016901.611200233</v>
      </c>
      <c r="H52" s="289">
        <f>+B52*C52</f>
        <v>495369.4499999999</v>
      </c>
    </row>
    <row r="53" spans="1:8" x14ac:dyDescent="0.25">
      <c r="A53" s="264" t="s">
        <v>85</v>
      </c>
      <c r="B53" s="265">
        <f>'AA-01-2022'!CL63</f>
        <v>0.90000000000000013</v>
      </c>
      <c r="C53" s="266">
        <f>'AA-01-2022'!CL58</f>
        <v>1604287.94</v>
      </c>
      <c r="D53" s="266">
        <f>'AA-01-2022'!DN58</f>
        <v>18498620.890394706</v>
      </c>
      <c r="E53" s="266">
        <f>D53-'AA-01-2022'!DO58</f>
        <v>13913822.817203421</v>
      </c>
      <c r="F53" s="266">
        <f>'AA-01-2022'!DP58</f>
        <v>8919259.8735765722</v>
      </c>
      <c r="H53" s="289">
        <f>+B53*C53</f>
        <v>1443859.1460000002</v>
      </c>
    </row>
    <row r="54" spans="1:8" ht="13.5" thickBot="1" x14ac:dyDescent="0.35">
      <c r="A54" s="276" t="s">
        <v>103</v>
      </c>
      <c r="B54" s="277"/>
      <c r="C54" s="278">
        <f>+SUM(C50:C53)</f>
        <v>19425056.510000002</v>
      </c>
      <c r="D54" s="278">
        <f>+SUM(D50:D53)</f>
        <v>277739343.97140694</v>
      </c>
      <c r="E54" s="278">
        <f>+SUM(E50:E53)</f>
        <v>193539213.37870306</v>
      </c>
      <c r="F54" s="279">
        <f>+SUM(F50:F53)</f>
        <v>138602817.58451506</v>
      </c>
      <c r="H54" s="289">
        <f>+SUM(H50:H53)</f>
        <v>12314766.159</v>
      </c>
    </row>
    <row r="55" spans="1:8" ht="13" x14ac:dyDescent="0.3">
      <c r="A55" s="272" t="s">
        <v>138</v>
      </c>
      <c r="B55" s="273" t="s">
        <v>86</v>
      </c>
      <c r="C55" s="273" t="s">
        <v>102</v>
      </c>
      <c r="D55" s="274" t="s">
        <v>81</v>
      </c>
      <c r="E55" s="274" t="s">
        <v>113</v>
      </c>
      <c r="F55" s="275" t="s">
        <v>82</v>
      </c>
    </row>
    <row r="56" spans="1:8" x14ac:dyDescent="0.25">
      <c r="A56" s="264" t="s">
        <v>80</v>
      </c>
      <c r="B56" s="265">
        <f>'AA-01-2022'!CL66</f>
        <v>11236172.530000001</v>
      </c>
      <c r="C56" s="266">
        <f>'AA-01-2023'!CP13</f>
        <v>1071559.54</v>
      </c>
      <c r="D56" s="266">
        <f>'AA-01-2023'!DS13</f>
        <v>21666220.529285148</v>
      </c>
      <c r="E56" s="266">
        <f>D56-'AA-01-2023'!DT13</f>
        <v>6616754.1703937259</v>
      </c>
      <c r="F56" s="266">
        <f>'AA-01-2023'!DU13</f>
        <v>4306271.2235531351</v>
      </c>
      <c r="H56" s="289">
        <f>+B56*C56</f>
        <v>12040227867607.438</v>
      </c>
    </row>
    <row r="57" spans="1:8" x14ac:dyDescent="0.25">
      <c r="A57" s="264" t="s">
        <v>83</v>
      </c>
      <c r="B57" s="265">
        <f>'AA-01-2022'!CL67</f>
        <v>0</v>
      </c>
      <c r="C57" s="266">
        <f>'AA-01-2023'!CP45</f>
        <v>41021704.730000004</v>
      </c>
      <c r="D57" s="266">
        <f>'AA-01-2023'!DS45</f>
        <v>258852510.90759543</v>
      </c>
      <c r="E57" s="266">
        <f>D57-'AA-01-2023'!DT45</f>
        <v>194021888.14402211</v>
      </c>
      <c r="F57" s="266">
        <f>'AA-01-2023'!DU45</f>
        <v>146896172.91767383</v>
      </c>
      <c r="H57" s="289">
        <f>+B57*C57</f>
        <v>0</v>
      </c>
    </row>
    <row r="58" spans="1:8" x14ac:dyDescent="0.25">
      <c r="A58" s="264" t="s">
        <v>84</v>
      </c>
      <c r="B58" s="265">
        <f>'AA-01-2022'!CL68</f>
        <v>0</v>
      </c>
      <c r="C58" s="266">
        <f>'AA-01-2023'!CP47</f>
        <v>816287.5</v>
      </c>
      <c r="D58" s="266">
        <f>'AA-01-2023'!DS47</f>
        <v>14016521.680222053</v>
      </c>
      <c r="E58" s="266">
        <f>D58-'AA-01-2023'!DT47</f>
        <v>11059295.179491373</v>
      </c>
      <c r="F58" s="266">
        <f>'AA-01-2023'!DU47</f>
        <v>6282258.70531426</v>
      </c>
      <c r="H58" s="289">
        <f>+B58*C58</f>
        <v>0</v>
      </c>
    </row>
    <row r="59" spans="1:8" x14ac:dyDescent="0.25">
      <c r="A59" s="264" t="s">
        <v>85</v>
      </c>
      <c r="B59" s="265">
        <f>'AA-01-2022'!CL69</f>
        <v>0</v>
      </c>
      <c r="C59" s="266">
        <f>'AA-01-2023'!CP58</f>
        <v>1910708.95</v>
      </c>
      <c r="D59" s="266">
        <f>'AA-01-2023'!DS58</f>
        <v>20218258.945394706</v>
      </c>
      <c r="E59" s="266">
        <f>D59-'AA-01-2023'!DT58</f>
        <v>15633460.872203421</v>
      </c>
      <c r="F59" s="266">
        <f>'AA-01-2023'!DU58</f>
        <v>10039504.694871519</v>
      </c>
      <c r="H59" s="289">
        <f>+B59*C59</f>
        <v>0</v>
      </c>
    </row>
    <row r="60" spans="1:8" ht="13.5" thickBot="1" x14ac:dyDescent="0.35">
      <c r="A60" s="276" t="s">
        <v>103</v>
      </c>
      <c r="B60" s="277"/>
      <c r="C60" s="278">
        <f>+SUM(C56:C59)</f>
        <v>44820260.720000006</v>
      </c>
      <c r="D60" s="278">
        <f>+SUM(D56:D59)</f>
        <v>314753512.06249732</v>
      </c>
      <c r="E60" s="278">
        <f>+SUM(E56:E59)</f>
        <v>227331398.36611062</v>
      </c>
      <c r="F60" s="279">
        <f>+SUM(F56:F59)</f>
        <v>167524207.54141271</v>
      </c>
      <c r="H60" s="289">
        <f>+SUM(H56:H59)</f>
        <v>12040227867607.438</v>
      </c>
    </row>
    <row r="61" spans="1:8" ht="13" x14ac:dyDescent="0.3">
      <c r="A61" s="272" t="s">
        <v>139</v>
      </c>
      <c r="B61" s="273" t="s">
        <v>86</v>
      </c>
      <c r="C61" s="273" t="s">
        <v>102</v>
      </c>
      <c r="D61" s="274" t="s">
        <v>81</v>
      </c>
      <c r="E61" s="274" t="s">
        <v>113</v>
      </c>
      <c r="F61" s="275" t="s">
        <v>82</v>
      </c>
    </row>
    <row r="62" spans="1:8" x14ac:dyDescent="0.25">
      <c r="A62" s="264" t="s">
        <v>80</v>
      </c>
      <c r="B62" s="265">
        <f>'AA-01-2022'!CL72</f>
        <v>0</v>
      </c>
      <c r="C62" s="266">
        <f>'AA-01-2024'!CT13</f>
        <v>903576.37</v>
      </c>
      <c r="D62" s="266">
        <f>'AA-01-2024'!DX13</f>
        <v>22479439.262285147</v>
      </c>
      <c r="E62" s="266">
        <f>D62-'AA-01-2024'!DY13</f>
        <v>6826470.4924965184</v>
      </c>
      <c r="F62" s="266">
        <f>'AA-01-2024'!DZ13</f>
        <v>4273738.47547267</v>
      </c>
      <c r="H62" s="289">
        <f>+B62*C62</f>
        <v>0</v>
      </c>
    </row>
    <row r="63" spans="1:8" x14ac:dyDescent="0.25">
      <c r="A63" s="264" t="s">
        <v>83</v>
      </c>
      <c r="B63" s="265">
        <f>'AA-01-2022'!CL73</f>
        <v>0</v>
      </c>
      <c r="C63" s="266">
        <f>'AA-01-2024'!CT45</f>
        <v>22424311.760000002</v>
      </c>
      <c r="D63" s="266">
        <f>'AA-01-2024'!DX45</f>
        <v>273994589.37082577</v>
      </c>
      <c r="E63" s="266">
        <f>D63-'AA-01-2024'!DY45</f>
        <v>208893937.43429905</v>
      </c>
      <c r="F63" s="266">
        <f>'AA-01-2024'!DZ45</f>
        <v>155231858.02995878</v>
      </c>
      <c r="H63" s="289">
        <f>+B63*C63</f>
        <v>0</v>
      </c>
    </row>
    <row r="64" spans="1:8" x14ac:dyDescent="0.25">
      <c r="A64" s="264" t="s">
        <v>84</v>
      </c>
      <c r="B64" s="265">
        <f>'AA-01-2022'!CL74</f>
        <v>0</v>
      </c>
      <c r="C64" s="266">
        <f>'AA-01-2024'!CT47</f>
        <v>242212.58000000002</v>
      </c>
      <c r="D64" s="266">
        <f>'AA-01-2024'!DX47</f>
        <v>14234513.002222054</v>
      </c>
      <c r="E64" s="266">
        <f>D64-'AA-01-2024'!DY47</f>
        <v>10893683.081491373</v>
      </c>
      <c r="F64" s="266">
        <f>'AA-01-2024'!DZ47</f>
        <v>5997554.7918828335</v>
      </c>
      <c r="H64" s="289">
        <f>+B64*C64</f>
        <v>0</v>
      </c>
    </row>
    <row r="65" spans="1:8" x14ac:dyDescent="0.25">
      <c r="A65" s="264" t="s">
        <v>85</v>
      </c>
      <c r="B65" s="265">
        <f>'AA-01-2022'!CL75</f>
        <v>0</v>
      </c>
      <c r="C65" s="266">
        <f>'AA-01-2024'!CT58</f>
        <v>1782283.5999999994</v>
      </c>
      <c r="D65" s="266">
        <f>'AA-01-2024'!DX58</f>
        <v>21822314.185394708</v>
      </c>
      <c r="E65" s="266">
        <f>D65-'AA-01-2024'!DY58</f>
        <v>16862968.824203424</v>
      </c>
      <c r="F65" s="266">
        <f>'AA-01-2024'!DZ58</f>
        <v>10966001.335030096</v>
      </c>
      <c r="H65" s="289">
        <f>+B65*C65</f>
        <v>0</v>
      </c>
    </row>
    <row r="66" spans="1:8" ht="13.5" thickBot="1" x14ac:dyDescent="0.35">
      <c r="A66" s="276" t="s">
        <v>103</v>
      </c>
      <c r="B66" s="277"/>
      <c r="C66" s="278">
        <f>+SUM(C62:C65)</f>
        <v>25352384.309999999</v>
      </c>
      <c r="D66" s="278">
        <f>+SUM(D62:D65)</f>
        <v>332530855.82072771</v>
      </c>
      <c r="E66" s="278">
        <f>+SUM(E62:E65)</f>
        <v>243477059.83249038</v>
      </c>
      <c r="F66" s="279">
        <f>+SUM(F62:F65)</f>
        <v>176469152.63234439</v>
      </c>
      <c r="H66" s="289">
        <f>+SUM(H62:H65)</f>
        <v>0</v>
      </c>
    </row>
    <row r="67" spans="1:8" ht="13" x14ac:dyDescent="0.3">
      <c r="A67" s="272" t="s">
        <v>140</v>
      </c>
      <c r="B67" s="273" t="s">
        <v>86</v>
      </c>
      <c r="C67" s="273" t="s">
        <v>102</v>
      </c>
      <c r="D67" s="274" t="s">
        <v>81</v>
      </c>
      <c r="E67" s="274" t="s">
        <v>113</v>
      </c>
      <c r="F67" s="275" t="s">
        <v>82</v>
      </c>
    </row>
    <row r="68" spans="1:8" x14ac:dyDescent="0.25">
      <c r="A68" s="264" t="s">
        <v>80</v>
      </c>
      <c r="B68" s="265">
        <f>'AA-01-2022'!CL78</f>
        <v>0</v>
      </c>
      <c r="C68" s="266">
        <f>'AA-01-2025'!CX13</f>
        <v>1586723.76</v>
      </c>
      <c r="D68" s="266">
        <f>'AA-01-2025'!EC13</f>
        <v>23907490.64628515</v>
      </c>
      <c r="E68" s="266">
        <f>D68-'AA-01-2025'!ED13</f>
        <v>7588267.6337313447</v>
      </c>
      <c r="F68" s="266">
        <f>'AA-01-2025'!EE13</f>
        <v>4043317.6075044479</v>
      </c>
      <c r="H68" s="289">
        <f>+B68*C68</f>
        <v>0</v>
      </c>
    </row>
    <row r="69" spans="1:8" x14ac:dyDescent="0.25">
      <c r="A69" s="264" t="s">
        <v>83</v>
      </c>
      <c r="B69" s="265">
        <f>'AA-01-2022'!CL79</f>
        <v>0</v>
      </c>
      <c r="C69" s="266">
        <f>'AA-01-2025'!CX45</f>
        <v>24138842.939999998</v>
      </c>
      <c r="D69" s="266">
        <f>'AA-01-2025'!EC45</f>
        <v>311393594.41916531</v>
      </c>
      <c r="E69" s="266">
        <f>D69-'AA-01-2025'!ED45</f>
        <v>245604198.07384622</v>
      </c>
      <c r="F69" s="266">
        <f>'AA-01-2025'!EE45</f>
        <v>178192645.32540739</v>
      </c>
      <c r="H69" s="289">
        <f>+B69*C69</f>
        <v>0</v>
      </c>
    </row>
    <row r="70" spans="1:8" x14ac:dyDescent="0.25">
      <c r="A70" s="264" t="s">
        <v>84</v>
      </c>
      <c r="B70" s="265">
        <f>'AA-01-2022'!CL80</f>
        <v>0</v>
      </c>
      <c r="C70" s="266">
        <f>'AA-01-2025'!CX47</f>
        <v>248882.74</v>
      </c>
      <c r="D70" s="266">
        <f>'AA-01-2025'!EC47</f>
        <v>12983451.506457951</v>
      </c>
      <c r="E70" s="266">
        <f>D70-'AA-01-2025'!ED47</f>
        <v>9222052.4760991409</v>
      </c>
      <c r="F70" s="266">
        <f>'AA-01-2025'!EE47</f>
        <v>5107360.1651790012</v>
      </c>
      <c r="H70" s="289">
        <f>+B70*C70</f>
        <v>0</v>
      </c>
    </row>
    <row r="71" spans="1:8" x14ac:dyDescent="0.25">
      <c r="A71" s="264" t="s">
        <v>85</v>
      </c>
      <c r="B71" s="265">
        <f>'AA-01-2022'!CL81</f>
        <v>0</v>
      </c>
      <c r="C71" s="266">
        <f>'AA-01-2025'!CX58</f>
        <v>1803633.54</v>
      </c>
      <c r="D71" s="266">
        <f>'AA-01-2025'!EC58</f>
        <v>23499852.194085579</v>
      </c>
      <c r="E71" s="266">
        <f>D71-'AA-01-2025'!ED58</f>
        <v>18304711.056343742</v>
      </c>
      <c r="F71" s="266">
        <f>'AA-01-2025'!EE58</f>
        <v>11433326.307902848</v>
      </c>
      <c r="H71" s="289">
        <f>+B71*C71</f>
        <v>0</v>
      </c>
    </row>
    <row r="72" spans="1:8" ht="13.5" thickBot="1" x14ac:dyDescent="0.35">
      <c r="A72" s="276" t="s">
        <v>103</v>
      </c>
      <c r="B72" s="277"/>
      <c r="C72" s="278">
        <f>+SUM(C68:C71)</f>
        <v>27778082.979999997</v>
      </c>
      <c r="D72" s="278">
        <f>+SUM(D68:D71)</f>
        <v>371784388.76599401</v>
      </c>
      <c r="E72" s="278">
        <f>+SUM(E68:E71)</f>
        <v>280719229.24002045</v>
      </c>
      <c r="F72" s="279">
        <f>+SUM(F68:F71)</f>
        <v>198776649.4059937</v>
      </c>
      <c r="H72" s="289">
        <f>+SUM(H68:H71)</f>
        <v>0</v>
      </c>
    </row>
    <row r="73" spans="1:8" x14ac:dyDescent="0.25">
      <c r="D73" s="187"/>
      <c r="E73" s="187"/>
      <c r="F73" s="187"/>
    </row>
    <row r="74" spans="1:8" x14ac:dyDescent="0.25">
      <c r="D74" s="187"/>
      <c r="E74" s="187"/>
      <c r="F74" s="187"/>
    </row>
    <row r="75" spans="1:8" x14ac:dyDescent="0.25">
      <c r="D75" s="187"/>
      <c r="E75" s="187"/>
      <c r="F75" s="187"/>
    </row>
    <row r="76" spans="1:8" x14ac:dyDescent="0.25">
      <c r="D76" s="187"/>
      <c r="E76" s="187"/>
      <c r="F76" s="187"/>
    </row>
    <row r="77" spans="1:8" ht="13" x14ac:dyDescent="0.25">
      <c r="A77" s="248" t="s">
        <v>94</v>
      </c>
      <c r="B77" s="249" t="s">
        <v>104</v>
      </c>
      <c r="C77" s="187"/>
      <c r="D77" s="187"/>
      <c r="E77" s="187"/>
      <c r="F77"/>
    </row>
    <row r="78" spans="1:8" x14ac:dyDescent="0.25">
      <c r="A78" s="250" t="s">
        <v>87</v>
      </c>
      <c r="B78" s="251">
        <f>+E27+E26*E27/(E27+E29)</f>
        <v>136974921.54625118</v>
      </c>
      <c r="C78" s="187"/>
      <c r="D78" s="187"/>
      <c r="E78" s="187"/>
      <c r="F78"/>
    </row>
    <row r="79" spans="1:8" x14ac:dyDescent="0.25">
      <c r="A79" s="250" t="s">
        <v>88</v>
      </c>
      <c r="B79" s="251">
        <f>+E29+E26*E29/(E27+E29)</f>
        <v>9385170.1305186283</v>
      </c>
      <c r="C79" s="187"/>
      <c r="D79" s="187"/>
      <c r="E79" s="187"/>
      <c r="F79"/>
    </row>
    <row r="80" spans="1:8" x14ac:dyDescent="0.25">
      <c r="A80" s="250" t="s">
        <v>90</v>
      </c>
      <c r="B80" s="251">
        <f>+E28</f>
        <v>8645099.6024913732</v>
      </c>
      <c r="C80" s="187"/>
      <c r="D80" s="187"/>
      <c r="E80" s="187"/>
      <c r="F80"/>
    </row>
    <row r="81" spans="1:6" x14ac:dyDescent="0.25">
      <c r="A81" s="250" t="s">
        <v>91</v>
      </c>
      <c r="B81" s="251">
        <f>+F27+F26*F27/(F27+F29)</f>
        <v>95492865.693410739</v>
      </c>
      <c r="C81" s="187"/>
      <c r="D81" s="187"/>
      <c r="E81" s="187"/>
      <c r="F81"/>
    </row>
    <row r="82" spans="1:6" x14ac:dyDescent="0.25">
      <c r="A82" s="250" t="s">
        <v>89</v>
      </c>
      <c r="B82" s="251">
        <f>+F29+F26*F29/(F27+F29)</f>
        <v>6016818.4915668983</v>
      </c>
      <c r="C82" s="187"/>
      <c r="D82" s="187"/>
      <c r="E82" s="187"/>
      <c r="F82"/>
    </row>
    <row r="83" spans="1:6" x14ac:dyDescent="0.25">
      <c r="A83" s="250" t="s">
        <v>92</v>
      </c>
      <c r="B83" s="251">
        <f>+F28</f>
        <v>5998915.2163350275</v>
      </c>
      <c r="C83" s="187"/>
      <c r="D83" s="187"/>
      <c r="E83" s="187"/>
      <c r="F83"/>
    </row>
    <row r="84" spans="1:6" x14ac:dyDescent="0.25">
      <c r="D84" s="187"/>
      <c r="E84" s="187"/>
      <c r="F84" s="187"/>
    </row>
    <row r="85" spans="1:6" x14ac:dyDescent="0.25">
      <c r="D85" s="187"/>
      <c r="E85" s="187"/>
      <c r="F85" s="187"/>
    </row>
    <row r="86" spans="1:6" ht="13" x14ac:dyDescent="0.3">
      <c r="A86" s="280" t="s">
        <v>114</v>
      </c>
      <c r="B86" s="281" t="s">
        <v>113</v>
      </c>
      <c r="C86" s="282" t="s">
        <v>82</v>
      </c>
      <c r="D86" s="187"/>
      <c r="E86" s="187"/>
      <c r="F86" s="187"/>
    </row>
    <row r="87" spans="1:6" x14ac:dyDescent="0.25">
      <c r="A87" s="283" t="s">
        <v>83</v>
      </c>
      <c r="B87" s="284">
        <f>+B78</f>
        <v>136974921.54625118</v>
      </c>
      <c r="C87" s="285">
        <f>+B81</f>
        <v>95492865.693410739</v>
      </c>
      <c r="D87" s="187"/>
      <c r="E87" s="187"/>
      <c r="F87" s="187"/>
    </row>
    <row r="88" spans="1:6" x14ac:dyDescent="0.25">
      <c r="A88" s="283" t="s">
        <v>84</v>
      </c>
      <c r="B88" s="284">
        <f>+B80</f>
        <v>8645099.6024913732</v>
      </c>
      <c r="C88" s="285">
        <f>+B83</f>
        <v>5998915.2163350275</v>
      </c>
      <c r="D88" s="187"/>
      <c r="E88" s="187"/>
      <c r="F88" s="187"/>
    </row>
    <row r="89" spans="1:6" x14ac:dyDescent="0.25">
      <c r="A89" s="283" t="s">
        <v>85</v>
      </c>
      <c r="B89" s="284">
        <f>+B79</f>
        <v>9385170.1305186283</v>
      </c>
      <c r="C89" s="285">
        <f>+B82</f>
        <v>6016818.4915668983</v>
      </c>
      <c r="D89" s="187"/>
      <c r="E89" s="187"/>
      <c r="F89" s="187"/>
    </row>
    <row r="90" spans="1:6" ht="13.5" thickBot="1" x14ac:dyDescent="0.35">
      <c r="A90" s="286" t="s">
        <v>103</v>
      </c>
      <c r="B90" s="287">
        <f>+SUM(B87:B89)</f>
        <v>155005191.27926117</v>
      </c>
      <c r="C90" s="288">
        <f>+SUM(C87:C89)</f>
        <v>107508599.40131266</v>
      </c>
      <c r="D90" s="187"/>
      <c r="E90" s="187"/>
      <c r="F90" s="187"/>
    </row>
    <row r="91" spans="1:6" x14ac:dyDescent="0.25">
      <c r="D91" s="187"/>
      <c r="E91" s="187"/>
      <c r="F91" s="187"/>
    </row>
    <row r="92" spans="1:6" x14ac:dyDescent="0.25">
      <c r="D92" s="187"/>
      <c r="E92" s="187"/>
      <c r="F92" s="187"/>
    </row>
    <row r="93" spans="1:6" x14ac:dyDescent="0.25">
      <c r="D93" s="187"/>
      <c r="E93" s="187"/>
      <c r="F93" s="187"/>
    </row>
    <row r="94" spans="1:6" x14ac:dyDescent="0.25">
      <c r="D94" s="187"/>
      <c r="E94" s="187"/>
      <c r="F94" s="187"/>
    </row>
    <row r="95" spans="1:6" x14ac:dyDescent="0.25">
      <c r="D95" s="187"/>
      <c r="E95" s="187"/>
      <c r="F95" s="187"/>
    </row>
    <row r="96" spans="1:6" x14ac:dyDescent="0.25">
      <c r="D96" s="187"/>
      <c r="E96" s="187"/>
      <c r="F96" s="187"/>
    </row>
    <row r="97" spans="4:6" x14ac:dyDescent="0.25">
      <c r="D97" s="187"/>
      <c r="E97" s="187"/>
      <c r="F97" s="187"/>
    </row>
    <row r="98" spans="4:6" x14ac:dyDescent="0.25">
      <c r="D98" s="187"/>
      <c r="E98" s="187"/>
      <c r="F98" s="187"/>
    </row>
    <row r="99" spans="4:6" x14ac:dyDescent="0.25">
      <c r="D99" s="187"/>
      <c r="E99" s="187"/>
      <c r="F99" s="187"/>
    </row>
    <row r="100" spans="4:6" x14ac:dyDescent="0.25">
      <c r="D100" s="187"/>
      <c r="E100" s="187"/>
      <c r="F100" s="187"/>
    </row>
    <row r="101" spans="4:6" x14ac:dyDescent="0.25">
      <c r="D101" s="187"/>
      <c r="E101" s="187"/>
      <c r="F101" s="187"/>
    </row>
    <row r="102" spans="4:6" x14ac:dyDescent="0.25">
      <c r="D102" s="187"/>
      <c r="E102" s="187"/>
      <c r="F102" s="187"/>
    </row>
    <row r="103" spans="4:6" x14ac:dyDescent="0.25">
      <c r="D103" s="187"/>
      <c r="E103" s="187"/>
      <c r="F103" s="187"/>
    </row>
    <row r="104" spans="4:6" x14ac:dyDescent="0.25">
      <c r="D104" s="187"/>
      <c r="E104" s="187"/>
      <c r="F104" s="187"/>
    </row>
    <row r="105" spans="4:6" x14ac:dyDescent="0.25">
      <c r="D105" s="187"/>
      <c r="E105" s="187"/>
      <c r="F105" s="187"/>
    </row>
    <row r="106" spans="4:6" x14ac:dyDescent="0.25">
      <c r="D106" s="187"/>
      <c r="E106" s="187"/>
      <c r="F106" s="187"/>
    </row>
    <row r="107" spans="4:6" x14ac:dyDescent="0.25">
      <c r="D107" s="187"/>
      <c r="E107" s="187"/>
      <c r="F107" s="187"/>
    </row>
    <row r="108" spans="4:6" x14ac:dyDescent="0.25">
      <c r="D108" s="187"/>
      <c r="E108" s="187"/>
      <c r="F108" s="187"/>
    </row>
    <row r="109" spans="4:6" x14ac:dyDescent="0.25">
      <c r="D109" s="187"/>
      <c r="E109" s="187"/>
      <c r="F109" s="187"/>
    </row>
    <row r="110" spans="4:6" x14ac:dyDescent="0.25">
      <c r="D110" s="187"/>
      <c r="E110" s="187"/>
      <c r="F110" s="187"/>
    </row>
    <row r="111" spans="4:6" x14ac:dyDescent="0.25">
      <c r="D111" s="187"/>
      <c r="E111" s="187"/>
      <c r="F111" s="187"/>
    </row>
    <row r="112" spans="4:6" x14ac:dyDescent="0.25">
      <c r="D112" s="187"/>
      <c r="E112" s="187"/>
      <c r="F112" s="187"/>
    </row>
    <row r="113" spans="4:6" x14ac:dyDescent="0.25">
      <c r="D113" s="187"/>
      <c r="E113" s="187"/>
      <c r="F113" s="187"/>
    </row>
    <row r="114" spans="4:6" x14ac:dyDescent="0.25">
      <c r="D114" s="187"/>
      <c r="E114" s="187"/>
      <c r="F114" s="187"/>
    </row>
    <row r="115" spans="4:6" x14ac:dyDescent="0.25">
      <c r="D115" s="187"/>
      <c r="E115" s="187"/>
      <c r="F115" s="187"/>
    </row>
    <row r="116" spans="4:6" x14ac:dyDescent="0.25">
      <c r="D116" s="187"/>
      <c r="E116" s="187"/>
      <c r="F116" s="187"/>
    </row>
    <row r="117" spans="4:6" x14ac:dyDescent="0.25">
      <c r="D117" s="187"/>
      <c r="E117" s="187"/>
      <c r="F117" s="187"/>
    </row>
    <row r="118" spans="4:6" x14ac:dyDescent="0.25">
      <c r="D118" s="187"/>
      <c r="E118" s="187"/>
      <c r="F118" s="187"/>
    </row>
    <row r="119" spans="4:6" x14ac:dyDescent="0.25">
      <c r="D119" s="187"/>
      <c r="E119" s="187"/>
      <c r="F119" s="187"/>
    </row>
    <row r="120" spans="4:6" x14ac:dyDescent="0.25">
      <c r="D120" s="187"/>
      <c r="E120" s="187"/>
      <c r="F120" s="187"/>
    </row>
    <row r="121" spans="4:6" x14ac:dyDescent="0.25">
      <c r="D121" s="187"/>
      <c r="E121" s="187"/>
      <c r="F121" s="187"/>
    </row>
    <row r="122" spans="4:6" x14ac:dyDescent="0.25">
      <c r="D122" s="187"/>
      <c r="E122" s="187"/>
      <c r="F122" s="187"/>
    </row>
    <row r="123" spans="4:6" x14ac:dyDescent="0.25">
      <c r="D123" s="187"/>
      <c r="E123" s="187"/>
      <c r="F123" s="187"/>
    </row>
    <row r="124" spans="4:6" x14ac:dyDescent="0.25">
      <c r="D124" s="187"/>
      <c r="E124" s="187"/>
      <c r="F124" s="187"/>
    </row>
    <row r="125" spans="4:6" x14ac:dyDescent="0.25">
      <c r="D125" s="187"/>
      <c r="E125" s="187"/>
      <c r="F125" s="187"/>
    </row>
    <row r="126" spans="4:6" x14ac:dyDescent="0.25">
      <c r="D126" s="187"/>
      <c r="E126" s="187"/>
      <c r="F126" s="187"/>
    </row>
    <row r="127" spans="4:6" x14ac:dyDescent="0.25">
      <c r="D127" s="187"/>
      <c r="E127" s="187"/>
      <c r="F127" s="187"/>
    </row>
    <row r="128" spans="4:6" x14ac:dyDescent="0.25">
      <c r="D128" s="187"/>
      <c r="E128" s="187"/>
      <c r="F128" s="187"/>
    </row>
    <row r="129" spans="4:6" x14ac:dyDescent="0.25">
      <c r="D129" s="187"/>
      <c r="E129" s="187"/>
      <c r="F129" s="187"/>
    </row>
    <row r="130" spans="4:6" x14ac:dyDescent="0.25">
      <c r="D130" s="187"/>
      <c r="E130" s="187"/>
      <c r="F130" s="187"/>
    </row>
    <row r="131" spans="4:6" x14ac:dyDescent="0.25">
      <c r="D131" s="187"/>
      <c r="E131" s="187"/>
      <c r="F131" s="187"/>
    </row>
    <row r="132" spans="4:6" x14ac:dyDescent="0.25">
      <c r="D132" s="187"/>
      <c r="E132" s="187"/>
      <c r="F132" s="187"/>
    </row>
    <row r="133" spans="4:6" x14ac:dyDescent="0.25">
      <c r="D133" s="187"/>
      <c r="E133" s="187"/>
      <c r="F133" s="187"/>
    </row>
    <row r="134" spans="4:6" x14ac:dyDescent="0.25">
      <c r="D134" s="187"/>
      <c r="E134" s="187"/>
      <c r="F134" s="187"/>
    </row>
    <row r="135" spans="4:6" x14ac:dyDescent="0.25">
      <c r="D135" s="187"/>
      <c r="E135" s="187"/>
      <c r="F135" s="187"/>
    </row>
    <row r="136" spans="4:6" x14ac:dyDescent="0.25">
      <c r="D136" s="187"/>
      <c r="E136" s="187"/>
      <c r="F136" s="187"/>
    </row>
  </sheetData>
  <conditionalFormatting sqref="A77:B77 A78:A83">
    <cfRule type="cellIs" dxfId="0" priority="1" operator="equal">
      <formula>"N/A"</formula>
    </cfRule>
  </conditionalFormatting>
  <pageMargins left="0.7" right="0.7" top="0.75" bottom="0.75" header="0.3" footer="0.3"/>
  <pageSetup paperSize="9" orientation="portrait" r:id="rId1"/>
  <ignoredErrors>
    <ignoredError sqref="D2:D30 E2:F6 B2:C4 B78:B83 E8:F12 F7 E14:F18 F13 E20:F24 F19 E26:F30 F25 B6:C6 C5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E7CDC-880B-4FE4-B9F5-0E4C2CB43CA4}">
  <sheetPr>
    <tabColor rgb="FFFFFF00"/>
  </sheetPr>
  <dimension ref="A1:DP426"/>
  <sheetViews>
    <sheetView workbookViewId="0">
      <pane xSplit="3" ySplit="4" topLeftCell="CG45" activePane="bottomRight" state="frozen"/>
      <selection pane="topRight" activeCell="D1" sqref="D1"/>
      <selection pane="bottomLeft" activeCell="A5" sqref="A5"/>
      <selection pane="bottomRight" activeCell="CL60" sqref="CL60:CO63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13.1796875" bestFit="1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11" width="17.08984375" bestFit="1" customWidth="1"/>
    <col min="12" max="12" width="16.0898437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5.36328125" customWidth="1"/>
    <col min="75" max="75" width="13.6328125" bestFit="1" customWidth="1"/>
    <col min="76" max="77" width="8.81640625" bestFit="1" customWidth="1"/>
    <col min="78" max="78" width="14.6328125" bestFit="1" customWidth="1"/>
    <col min="79" max="79" width="13.6328125" bestFit="1" customWidth="1"/>
    <col min="80" max="81" width="8.81640625" bestFit="1" customWidth="1"/>
    <col min="82" max="82" width="14.6328125" bestFit="1" customWidth="1"/>
    <col min="83" max="83" width="12.08984375" bestFit="1" customWidth="1"/>
    <col min="84" max="85" width="8.81640625" bestFit="1" customWidth="1"/>
    <col min="86" max="86" width="14.6328125" bestFit="1" customWidth="1"/>
    <col min="87" max="87" width="12.08984375" bestFit="1" customWidth="1"/>
    <col min="88" max="89" width="8.81640625" bestFit="1" customWidth="1"/>
    <col min="90" max="90" width="14.6328125" bestFit="1" customWidth="1"/>
    <col min="91" max="91" width="12.08984375" bestFit="1" customWidth="1"/>
    <col min="92" max="93" width="8.81640625" bestFit="1" customWidth="1"/>
    <col min="94" max="101" width="11.1796875" customWidth="1"/>
    <col min="102" max="102" width="11.1796875" bestFit="1" customWidth="1"/>
    <col min="103" max="103" width="13" customWidth="1"/>
    <col min="104" max="104" width="15.453125" customWidth="1"/>
    <col min="107" max="107" width="10.1796875" customWidth="1"/>
  </cols>
  <sheetData>
    <row r="1" spans="1:120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20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587">
        <v>2021</v>
      </c>
      <c r="CI2" s="588"/>
      <c r="CJ2" s="588"/>
      <c r="CK2" s="588"/>
      <c r="CL2" s="587">
        <v>2022</v>
      </c>
      <c r="CM2" s="588"/>
      <c r="CN2" s="588"/>
      <c r="CO2" s="588"/>
      <c r="CP2" s="392"/>
      <c r="CQ2" s="392"/>
      <c r="CR2" s="392"/>
      <c r="CS2" s="392"/>
      <c r="CT2" s="392"/>
      <c r="CU2" s="392"/>
      <c r="CV2" s="392"/>
      <c r="CW2" s="392"/>
      <c r="CX2" s="392"/>
      <c r="CY2" s="392"/>
      <c r="CZ2" s="392"/>
      <c r="DA2" s="392"/>
      <c r="DB2" s="392"/>
      <c r="DC2" s="392"/>
      <c r="DD2" s="392"/>
      <c r="DE2" s="392"/>
      <c r="DF2" s="392"/>
      <c r="DG2" s="392"/>
      <c r="DH2" s="392"/>
      <c r="DI2" s="392"/>
      <c r="DJ2" s="392"/>
      <c r="DK2" s="392"/>
      <c r="DL2" s="392"/>
      <c r="DM2" s="392"/>
      <c r="DN2" s="611">
        <f>CL2</f>
        <v>2022</v>
      </c>
      <c r="DO2" s="612"/>
      <c r="DP2" s="613"/>
    </row>
    <row r="3" spans="1:120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490" t="s">
        <v>5</v>
      </c>
      <c r="CI3" s="490" t="s">
        <v>124</v>
      </c>
      <c r="CJ3" s="490" t="s">
        <v>3</v>
      </c>
      <c r="CK3" s="490" t="s">
        <v>93</v>
      </c>
      <c r="CL3" s="490" t="s">
        <v>5</v>
      </c>
      <c r="CM3" s="490" t="s">
        <v>4</v>
      </c>
      <c r="CN3" s="490" t="s">
        <v>3</v>
      </c>
      <c r="CO3" s="490" t="s">
        <v>93</v>
      </c>
      <c r="CP3" s="571" t="s">
        <v>63</v>
      </c>
      <c r="CQ3" s="571" t="s">
        <v>71</v>
      </c>
      <c r="CR3" s="571" t="s">
        <v>72</v>
      </c>
      <c r="CS3" s="571" t="s">
        <v>73</v>
      </c>
      <c r="CT3" s="571" t="s">
        <v>74</v>
      </c>
      <c r="CU3" s="571" t="s">
        <v>75</v>
      </c>
      <c r="CV3" s="571" t="s">
        <v>62</v>
      </c>
      <c r="CW3" s="571" t="s">
        <v>64</v>
      </c>
      <c r="CX3" s="571" t="s">
        <v>65</v>
      </c>
      <c r="CY3" s="571" t="s">
        <v>66</v>
      </c>
      <c r="CZ3" s="571" t="s">
        <v>67</v>
      </c>
      <c r="DA3" s="571" t="s">
        <v>76</v>
      </c>
      <c r="DB3" s="571" t="s">
        <v>77</v>
      </c>
      <c r="DC3" s="571" t="s">
        <v>78</v>
      </c>
      <c r="DD3" s="571" t="s">
        <v>79</v>
      </c>
      <c r="DE3" s="571" t="s">
        <v>108</v>
      </c>
      <c r="DF3" s="571" t="s">
        <v>98</v>
      </c>
      <c r="DG3" s="571" t="s">
        <v>99</v>
      </c>
      <c r="DH3" s="571" t="s">
        <v>100</v>
      </c>
      <c r="DI3" s="571" t="s">
        <v>101</v>
      </c>
      <c r="DJ3" s="571" t="s">
        <v>117</v>
      </c>
      <c r="DK3" s="571" t="s">
        <v>118</v>
      </c>
      <c r="DL3" s="571" t="s">
        <v>119</v>
      </c>
      <c r="DM3" s="571" t="s">
        <v>134</v>
      </c>
      <c r="DN3" s="490" t="s">
        <v>56</v>
      </c>
      <c r="DO3" s="490" t="s">
        <v>57</v>
      </c>
      <c r="DP3" s="490" t="s">
        <v>58</v>
      </c>
    </row>
    <row r="4" spans="1:120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491"/>
      <c r="CM4" s="491"/>
      <c r="CN4" s="491"/>
      <c r="CO4" s="491"/>
      <c r="CP4" s="572"/>
      <c r="CQ4" s="572"/>
      <c r="CR4" s="572"/>
      <c r="CS4" s="572"/>
      <c r="CT4" s="572"/>
      <c r="CU4" s="572"/>
      <c r="CV4" s="572"/>
      <c r="CW4" s="572"/>
      <c r="CX4" s="572"/>
      <c r="CY4" s="572"/>
      <c r="CZ4" s="572"/>
      <c r="DA4" s="572"/>
      <c r="DB4" s="572"/>
      <c r="DC4" s="572"/>
      <c r="DD4" s="572"/>
      <c r="DE4" s="572"/>
      <c r="DF4" s="572"/>
      <c r="DG4" s="572"/>
      <c r="DH4" s="572"/>
      <c r="DI4" s="572"/>
      <c r="DJ4" s="572"/>
      <c r="DK4" s="572"/>
      <c r="DL4" s="572"/>
      <c r="DM4" s="572"/>
      <c r="DN4" s="491"/>
      <c r="DO4" s="491"/>
      <c r="DP4" s="491"/>
    </row>
    <row r="5" spans="1:120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290">
        <v>461340.9599999999</v>
      </c>
      <c r="CI5" s="290">
        <v>0</v>
      </c>
      <c r="CJ5" s="290"/>
      <c r="CK5" s="290"/>
      <c r="CL5" s="290">
        <v>954542.1</v>
      </c>
      <c r="CM5" s="290"/>
      <c r="CN5" s="290"/>
      <c r="CO5" s="290"/>
      <c r="CP5" s="321">
        <f t="shared" ref="CP5:CP12" si="0">IF(D5=0,0,2001-(D5-F5)*C5/D5)</f>
        <v>1999.6451111805941</v>
      </c>
      <c r="CQ5" s="333">
        <f t="shared" ref="CQ5:CQ12" si="1">IF((1-($DN$2-$CP5)/$C5)&gt;0,(1-($DN$2-$CP5)/$C5),0)</f>
        <v>0</v>
      </c>
      <c r="CR5" s="333">
        <f t="shared" ref="CR5:CR12" si="2">IF((1-($DN$2-G$2)/$C5)&gt;0,(1-($DN$2-G$2)/$C5),0)</f>
        <v>0</v>
      </c>
      <c r="CS5" s="333">
        <f t="shared" ref="CS5:CS12" si="3">IF((1-($DN$2-K$2)/$C5)&gt;0,(1-($DN$2-K$2)/$C5),0)</f>
        <v>0</v>
      </c>
      <c r="CT5" s="333">
        <f t="shared" ref="CT5:CT12" si="4">IF((1-($DN$2-O$2)/$C5)&gt;0,(1-($DN$2-O$2)/$C5),0)</f>
        <v>0</v>
      </c>
      <c r="CU5" s="333">
        <f t="shared" ref="CU5:CU12" si="5">IF((1-($DN$2-S$2)/$C5)&gt;0,(1-($DN$2-S$2)/$C5),0)</f>
        <v>0</v>
      </c>
      <c r="CV5" s="333">
        <f t="shared" ref="CV5:CV12" si="6">IF((1-($DN$2-W$2)/$C5)&gt;0,(1-($DN$2-W$2)/$C5),0)</f>
        <v>0</v>
      </c>
      <c r="CW5" s="333">
        <f t="shared" ref="CW5:CW12" si="7">IF((1-($DN$2-AA$2)/$C5)&gt;0,(1-($DN$2-AA$2)/$C5),0)</f>
        <v>0</v>
      </c>
      <c r="CX5" s="333">
        <f t="shared" ref="CX5:CX12" si="8">IF((1-($DN$2-AE$2)/$C5)&gt;0,(1-($DN$2-AE$2)/$C5),0)</f>
        <v>0</v>
      </c>
      <c r="CY5" s="333">
        <f t="shared" ref="CY5:CY12" si="9">IF((1-($DN$2-AI$2)/$C5)&gt;0,(1-($DN$2-AI$2)/$C5),0)</f>
        <v>0</v>
      </c>
      <c r="CZ5" s="333">
        <f t="shared" ref="CZ5:CZ12" si="10">IF((1-($DN$2-AM$2)/$C5)&gt;0,(1-($DN$2-AM$2)/$C5),0)</f>
        <v>0</v>
      </c>
      <c r="DA5" s="333">
        <f t="shared" ref="DA5:DA12" si="11">IF((1-($DN$2-AQ$2)/$C5)&gt;0,(1-($DN$2-AQ$2)/$C5),0)</f>
        <v>0</v>
      </c>
      <c r="DB5" s="333">
        <f t="shared" ref="DB5:DB12" si="12">IF((1-($DN$2-AU$2)/$C5)&gt;0,(1-($DN$2-AU$2)/$C5),0)</f>
        <v>0</v>
      </c>
      <c r="DC5" s="333">
        <f t="shared" ref="DC5:DC12" si="13">IF((1-($DN$2-AY$2)/$C5)&gt;0,(1-($DN$2-AY$2)/$C5),0)</f>
        <v>0</v>
      </c>
      <c r="DD5" s="333">
        <f t="shared" ref="DD5:DD12" si="14">IF((1-($DN$2-BC$2)/$C5)&gt;0,(1-($DN$2-BC$2)/$C5),0)</f>
        <v>0</v>
      </c>
      <c r="DE5" s="333">
        <f t="shared" ref="DE5:DE12" si="15">IF(BG5=0,0,1-($DN$2-(2014.5-(BG5-BI5)*C5/BG5))/C5)</f>
        <v>0</v>
      </c>
      <c r="DF5" s="333">
        <f t="shared" ref="DF5:DF12" si="16">IF((1-($DN$2-BJ$2)/$C5)&gt;0,(1-($DN$2-BJ$2)/$C5),0)</f>
        <v>0</v>
      </c>
      <c r="DG5" s="333">
        <f t="shared" ref="DG5:DG12" si="17">IF((1-($DN$2-BN$2)/$C5)&gt;0,(1-($DN$2-BN$2)/$C5),0)</f>
        <v>0</v>
      </c>
      <c r="DH5" s="333">
        <f t="shared" ref="DH5:DH12" si="18">IF((1-($DN$2-BR$2)/$C5)&gt;0,(1-($DN$2-BR$2)/$C5),0)</f>
        <v>0</v>
      </c>
      <c r="DI5" s="333">
        <f t="shared" ref="DI5:DI12" si="19">IF((1-($DN$2-BV$2)/$C5)&gt;0,(1-($DN$2-BV$2)/$C5),0)</f>
        <v>0</v>
      </c>
      <c r="DJ5" s="333">
        <f t="shared" ref="DJ5:DJ12" si="20">IF((1-($DN$2-BZ$2)/$C5)&gt;0,(1-($DN$2-BZ$2)/$C5),0)</f>
        <v>0.25</v>
      </c>
      <c r="DK5" s="333">
        <f t="shared" ref="DK5:DK12" si="21">IF((1-($DN$2-CD$2)/$C5)&gt;0,(1-($DN$2-CD$2)/$C5),0)</f>
        <v>0.5</v>
      </c>
      <c r="DL5" s="333">
        <f t="shared" ref="DL5:DL12" si="22">IF((1-($DN$2-CH$2)/$C5)&gt;0,(1-($DN$2-CH$2)/$C5),0)</f>
        <v>0.75</v>
      </c>
      <c r="DM5" s="333">
        <f>IF((1-($DN$2-CL$2)/$C5)&gt;0,(1-($DN$2-CL$2)/$C5),0)</f>
        <v>1</v>
      </c>
      <c r="DN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+(CH5-CI5-CJ5)*$CH$60+(CL5-CM5-CN5)*$CL$60</f>
        <v>10609911.95054109</v>
      </c>
      <c r="DO5" s="334">
        <f>IF(CQ5=0,D5-E5,0)+IF(CR5=0,(G5-H5-I5)*G$60,0)+IF(CS5=0,(K5-L5-M5)*K$60,0)+IF(CT5=0,(O5-P5-Q5)*O$60,0)+IF(CU5=0,(S5-T5-U5)*S$60,0)+IF(CV5=0,(W5-X5-Y5)*W$60,0)+IF(CW5=0,(AA5-AB5-AC5)*AA$60,0)+IF(CX5=0,(AE5-AF5-AG5)*AE$60,0)+IF(CY5=0,(AI5-AJ5-AK5)*AI$60,0)+IF(CZ5=0,(AM5-AN5-AO5)*AM$60,0)+IF(DA5=0,(AQ5-AR5-AS5)*$AQ$60,0)+IF(DB5=0,(AU5-AV5-AW5)*$AU$60,0)+IF(DC5=0,(AY5-AZ5-BA5)*$AY$60,0)++IF(DD5=0,(BC5-BD5-BE5)*$BC$60,0)+IF(DE5=0,BG5,0)+IF(DF5=0,(BJ5-BK5-BL5)*$BJ$60,0)+IF(DG5=0,(BN5-BO5-BP5)*$BN$60,0)+IF(DH5=0,(BR5-BS5-BT5)*$BR$60,0)+IF(DI5=0,(BV5-BW5-BX5)*$BV$60,0)+IF(DJ5=0,(BZ5-CA5-CB5)*$BZ$60,0)+IF(DK5=0,(CD5-CE5-CF5)*$CD$60,0)+IF(DL5=0,(CH5-CI5-CJ5)*$CH$60,0)+IF(DM5=0,(CL5-CM5-CN5)*$CL$60,0)</f>
        <v>5927632.0867265407</v>
      </c>
      <c r="DP5" s="334">
        <f>(D5-E5)*CQ5+((G5-H5-(I5-J5))*G$60)*CR5+((K5-L5-(M5-N5))*K$60)*CS5+((O5-P5-(Q5-R5))*O$60)*CT5+((S5-T5-(U5-V5))*S$60)*CU5+((W5-X5-(Y5-Z5))*W$60)*CV5+((AA5-AB5-(AC5-AD5))*AA$60)*CW5+((AE5-AF5-(AG5-AH5))*AE$60)*CX5+((AI5-AJ5-(AK5-AL5))*AI$60)*CY5+((AM5-AN5-(AO5-AP5))*$AM$60)*CZ5+((AQ5-AR5-(AS5-AT5))*$AQ$60)*DA5+((AU5-AV5-(AW5-AX5))*$AU$60)*DB5+((AY5-AZ5-(BA5-BB5))*$AY$60)*DC5+((BC5-BD5-(BE5-BF5))*$BC$60)*DD5+((BJ5-BK5-(BL5-BM5))*$BJ$60)*DF5+(BG5-BH5)*DE5+((BN5-BO5-(BP5-BQ5))*$BN$60)*DG5+((BR5-BS5-(BT5-BU5))*$BR$60)*DH5+((BV5-BW5-(BX5-BY5))*$BV$60)*DI5+((BZ5-CA5-(CB5-CC5))*$BZ$60)*DJ5+((CD5-CE5-(CF5-CG5))*$CD$60)*DK5+((CH5-CI5-(CJ5-CK5))*$CH$60*DL5)+((CL5-CM5-(CN5-CO5))*$CL$60*DM5)</f>
        <v>2121250.3528609113</v>
      </c>
    </row>
    <row r="6" spans="1:120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290">
        <v>0</v>
      </c>
      <c r="CI6" s="290">
        <v>0</v>
      </c>
      <c r="CJ6" s="290"/>
      <c r="CK6" s="290"/>
      <c r="CL6" s="290">
        <v>0</v>
      </c>
      <c r="CM6" s="290"/>
      <c r="CN6" s="290"/>
      <c r="CO6" s="290"/>
      <c r="CP6" s="321">
        <f t="shared" si="0"/>
        <v>2001</v>
      </c>
      <c r="CQ6" s="333">
        <f t="shared" si="1"/>
        <v>0.97899999999999998</v>
      </c>
      <c r="CR6" s="333">
        <f t="shared" si="2"/>
        <v>0.98</v>
      </c>
      <c r="CS6" s="333">
        <f t="shared" si="3"/>
        <v>0.98099999999999998</v>
      </c>
      <c r="CT6" s="333">
        <f t="shared" si="4"/>
        <v>0.98199999999999998</v>
      </c>
      <c r="CU6" s="333">
        <f t="shared" si="5"/>
        <v>0.98299999999999998</v>
      </c>
      <c r="CV6" s="333">
        <f t="shared" si="6"/>
        <v>0.98399999999999999</v>
      </c>
      <c r="CW6" s="333">
        <f t="shared" si="7"/>
        <v>0.98499999999999999</v>
      </c>
      <c r="CX6" s="333">
        <f t="shared" si="8"/>
        <v>0.98599999999999999</v>
      </c>
      <c r="CY6" s="333">
        <f t="shared" si="9"/>
        <v>0.98699999999999999</v>
      </c>
      <c r="CZ6" s="333">
        <f t="shared" si="10"/>
        <v>0.98799999999999999</v>
      </c>
      <c r="DA6" s="333">
        <f t="shared" si="11"/>
        <v>0.98899999999999999</v>
      </c>
      <c r="DB6" s="333">
        <f t="shared" si="12"/>
        <v>0.99</v>
      </c>
      <c r="DC6" s="333">
        <f t="shared" si="13"/>
        <v>0.99099999999999999</v>
      </c>
      <c r="DD6" s="333">
        <f t="shared" si="14"/>
        <v>0.99199999999999999</v>
      </c>
      <c r="DE6" s="333">
        <f t="shared" si="15"/>
        <v>0.99250000000000005</v>
      </c>
      <c r="DF6" s="333">
        <f t="shared" si="16"/>
        <v>0.99299999999999999</v>
      </c>
      <c r="DG6" s="333">
        <f t="shared" si="17"/>
        <v>0.99399999999999999</v>
      </c>
      <c r="DH6" s="333">
        <f t="shared" si="18"/>
        <v>0.995</v>
      </c>
      <c r="DI6" s="333">
        <f t="shared" si="19"/>
        <v>0.996</v>
      </c>
      <c r="DJ6" s="333">
        <f t="shared" si="20"/>
        <v>0.997</v>
      </c>
      <c r="DK6" s="333">
        <f t="shared" si="21"/>
        <v>0.998</v>
      </c>
      <c r="DL6" s="333">
        <f t="shared" si="22"/>
        <v>0.999</v>
      </c>
      <c r="DM6" s="333">
        <f t="shared" ref="DM6:DM12" si="23">IF((1-($DN$2-CL$2)/$C6)&gt;0,(1-($DN$2-CL$2)/$C6),0)</f>
        <v>1</v>
      </c>
      <c r="DN6" s="334">
        <f t="shared" ref="DN6:DN12" si="24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+(CH6-CI6-CJ6)*$CH$60+(CL6-CM6-CN6)*$CL$60</f>
        <v>1314125.0854951243</v>
      </c>
      <c r="DO6" s="334">
        <f t="shared" ref="DO6:DO12" si="25">IF(CQ6=0,D6-E6,0)+IF(CR6=0,(G6-H6-I6)*G$60,0)+IF(CS6=0,(K6-L6-M6)*K$60,0)+IF(CT6=0,(O6-P6-Q6)*O$60,0)+IF(CU6=0,(S6-T6-U6)*S$60,0)+IF(CV6=0,(W6-X6-Y6)*W$60,0)+IF(CW6=0,(AA6-AB6-AC6)*AA$60,0)+IF(CX6=0,(AE6-AF6-AG6)*AE$60,0)+IF(CY6=0,(AI6-AJ6-AK6)*AI$60,0)+IF(CZ6=0,(AM6-AN6-AO6)*AM$60,0)+IF(DA6=0,(AQ6-AR6-AS6)*$AQ$60,0)+IF(DB6=0,(AU6-AV6-AW6)*$AU$60,0)+IF(DC6=0,(AY6-AZ6-BA6)*$AY$60,0)++IF(DD6=0,(BC6-BD6-BE6)*$BC$60,0)+IF(DE6=0,BG6,0)+IF(DF6=0,(BJ6-BK6-BL6)*$BJ$60,0)+IF(DG6=0,(BN6-BO6-BP6)*$BN$60,0)+IF(DH6=0,(BR6-BS6-BT6)*$BR$60,0)+IF(DI6=0,(BV6-BW6-BX6)*$BV$60,0)+IF(DJ6=0,(BZ6-CA6-CB6)*$BZ$60,0)+IF(DK6=0,(CD6-CE6-CF6)*$CD$60,0)+IF(DL6=0,(CH6-CI6-CJ6)*$CH$60,0)+IF(DM6=0,(CL6-CM6-CN6)*$CL$60,0)</f>
        <v>0</v>
      </c>
      <c r="DP6" s="334">
        <f t="shared" ref="DP6:DP12" si="26">(D6-E6)*CQ6+((G6-H6-(I6-J6))*G$60)*CR6+((K6-L6-(M6-N6))*K$60)*CS6+((O6-P6-(Q6-R6))*O$60)*CT6+((S6-T6-(U6-V6))*S$60)*CU6+((W6-X6-(Y6-Z6))*W$60)*CV6+((AA6-AB6-(AC6-AD6))*AA$60)*CW6+((AE6-AF6-(AG6-AH6))*AE$60)*CX6+((AI6-AJ6-(AK6-AL6))*AI$60)*CY6+((AM6-AN6-(AO6-AP6))*$AM$60)*CZ6+((AQ6-AR6-(AS6-AT6))*$AQ$60)*DA6+((AU6-AV6-(AW6-AX6))*$AU$60)*DB6+((AY6-AZ6-(BA6-BB6))*$AY$60)*DC6+((BC6-BD6-(BE6-BF6))*$BC$60)*DD6+((BJ6-BK6-(BL6-BM6))*$BJ$60)*DF6+(BG6-BH6)*DE6+((BN6-BO6-(BP6-BQ6))*$BN$60)*DG6+((BR6-BS6-(BT6-BU6))*$BR$60)*DH6+((BV6-BW6-(BX6-BY6))*$BV$60)*DI6+((BZ6-CA6-(CB6-CC6))*$BZ$60)*DJ6+((CD6-CE6-(CF6-CG6))*$CD$60)*DK6+((CH6-CI6-(CJ6-CK6))*$CH$60*DL6)+((CL6-CM6-(CN6-CO6))*$CL$60*DM6)</f>
        <v>1303556.3130140828</v>
      </c>
    </row>
    <row r="7" spans="1:120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290">
        <v>224894.88999999998</v>
      </c>
      <c r="CI7" s="290">
        <v>0</v>
      </c>
      <c r="CJ7" s="290"/>
      <c r="CK7" s="290"/>
      <c r="CL7" s="290">
        <v>102170.87</v>
      </c>
      <c r="CM7" s="290"/>
      <c r="CN7" s="290"/>
      <c r="CO7" s="290"/>
      <c r="CP7" s="321">
        <f t="shared" si="0"/>
        <v>1985.8657049273502</v>
      </c>
      <c r="CQ7" s="333">
        <f t="shared" si="1"/>
        <v>9.6642623183754495E-2</v>
      </c>
      <c r="CR7" s="333">
        <f t="shared" si="2"/>
        <v>0.5</v>
      </c>
      <c r="CS7" s="333">
        <f t="shared" si="3"/>
        <v>0.52500000000000002</v>
      </c>
      <c r="CT7" s="333">
        <f t="shared" si="4"/>
        <v>0.55000000000000004</v>
      </c>
      <c r="CU7" s="333">
        <f t="shared" si="5"/>
        <v>0.57499999999999996</v>
      </c>
      <c r="CV7" s="333">
        <f t="shared" si="6"/>
        <v>0.6</v>
      </c>
      <c r="CW7" s="333">
        <f t="shared" si="7"/>
        <v>0.625</v>
      </c>
      <c r="CX7" s="333">
        <f t="shared" si="8"/>
        <v>0.65</v>
      </c>
      <c r="CY7" s="333">
        <f t="shared" si="9"/>
        <v>0.67500000000000004</v>
      </c>
      <c r="CZ7" s="333">
        <f t="shared" si="10"/>
        <v>0.7</v>
      </c>
      <c r="DA7" s="333">
        <f t="shared" si="11"/>
        <v>0.72499999999999998</v>
      </c>
      <c r="DB7" s="333">
        <f t="shared" si="12"/>
        <v>0.75</v>
      </c>
      <c r="DC7" s="333">
        <f t="shared" si="13"/>
        <v>0.77500000000000002</v>
      </c>
      <c r="DD7" s="333">
        <f t="shared" si="14"/>
        <v>0.8</v>
      </c>
      <c r="DE7" s="333">
        <f t="shared" si="15"/>
        <v>0.8125</v>
      </c>
      <c r="DF7" s="333">
        <f t="shared" si="16"/>
        <v>0.82499999999999996</v>
      </c>
      <c r="DG7" s="333">
        <f t="shared" si="17"/>
        <v>0.85</v>
      </c>
      <c r="DH7" s="333">
        <f t="shared" si="18"/>
        <v>0.875</v>
      </c>
      <c r="DI7" s="333">
        <f t="shared" si="19"/>
        <v>0.9</v>
      </c>
      <c r="DJ7" s="333">
        <f t="shared" si="20"/>
        <v>0.92500000000000004</v>
      </c>
      <c r="DK7" s="333">
        <f t="shared" si="21"/>
        <v>0.95</v>
      </c>
      <c r="DL7" s="333">
        <f t="shared" si="22"/>
        <v>0.97499999999999998</v>
      </c>
      <c r="DM7" s="333">
        <f t="shared" si="23"/>
        <v>1</v>
      </c>
      <c r="DN7" s="334">
        <f t="shared" si="24"/>
        <v>1953220.2829245096</v>
      </c>
      <c r="DO7" s="334">
        <f t="shared" si="25"/>
        <v>0</v>
      </c>
      <c r="DP7" s="334">
        <f t="shared" si="26"/>
        <v>800139.10618159059</v>
      </c>
    </row>
    <row r="8" spans="1:120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290">
        <v>3954.7</v>
      </c>
      <c r="CI8" s="290">
        <v>0</v>
      </c>
      <c r="CJ8" s="290"/>
      <c r="CK8" s="290"/>
      <c r="CL8" s="290">
        <v>0</v>
      </c>
      <c r="CM8" s="290"/>
      <c r="CN8" s="290"/>
      <c r="CO8" s="290"/>
      <c r="CP8" s="321">
        <f t="shared" si="0"/>
        <v>1994.501126969511</v>
      </c>
      <c r="CQ8" s="333">
        <f t="shared" si="1"/>
        <v>0</v>
      </c>
      <c r="CR8" s="333">
        <f t="shared" si="2"/>
        <v>0</v>
      </c>
      <c r="CS8" s="333">
        <f t="shared" si="3"/>
        <v>0</v>
      </c>
      <c r="CT8" s="333">
        <f t="shared" si="4"/>
        <v>0</v>
      </c>
      <c r="CU8" s="333">
        <f t="shared" si="5"/>
        <v>0</v>
      </c>
      <c r="CV8" s="333">
        <f t="shared" si="6"/>
        <v>0</v>
      </c>
      <c r="CW8" s="333">
        <f t="shared" si="7"/>
        <v>0</v>
      </c>
      <c r="CX8" s="333">
        <f t="shared" si="8"/>
        <v>0</v>
      </c>
      <c r="CY8" s="333">
        <f t="shared" si="9"/>
        <v>0</v>
      </c>
      <c r="CZ8" s="333">
        <f t="shared" si="10"/>
        <v>0</v>
      </c>
      <c r="DA8" s="333">
        <f t="shared" si="11"/>
        <v>0</v>
      </c>
      <c r="DB8" s="333">
        <f t="shared" si="12"/>
        <v>0</v>
      </c>
      <c r="DC8" s="333">
        <f t="shared" si="13"/>
        <v>0</v>
      </c>
      <c r="DD8" s="333">
        <f t="shared" si="14"/>
        <v>0</v>
      </c>
      <c r="DE8" s="333">
        <f t="shared" si="15"/>
        <v>0</v>
      </c>
      <c r="DF8" s="333">
        <f t="shared" si="16"/>
        <v>0</v>
      </c>
      <c r="DG8" s="333">
        <f t="shared" si="17"/>
        <v>0.1428571428571429</v>
      </c>
      <c r="DH8" s="333">
        <f t="shared" si="18"/>
        <v>0.2857142857142857</v>
      </c>
      <c r="DI8" s="333">
        <f t="shared" si="19"/>
        <v>0.4285714285714286</v>
      </c>
      <c r="DJ8" s="333">
        <f t="shared" si="20"/>
        <v>0.5714285714285714</v>
      </c>
      <c r="DK8" s="333">
        <f t="shared" si="21"/>
        <v>0.7142857142857143</v>
      </c>
      <c r="DL8" s="333">
        <f t="shared" si="22"/>
        <v>0.85714285714285721</v>
      </c>
      <c r="DM8" s="333">
        <f t="shared" si="23"/>
        <v>1</v>
      </c>
      <c r="DN8" s="334">
        <f t="shared" si="24"/>
        <v>1056082.4702948339</v>
      </c>
      <c r="DO8" s="334">
        <f t="shared" si="25"/>
        <v>1017335.5550798584</v>
      </c>
      <c r="DP8" s="334">
        <f t="shared" si="26"/>
        <v>13044.892171469797</v>
      </c>
    </row>
    <row r="9" spans="1:120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290">
        <v>150207.26999999999</v>
      </c>
      <c r="CI9" s="290">
        <v>0</v>
      </c>
      <c r="CJ9" s="290"/>
      <c r="CK9" s="290"/>
      <c r="CL9" s="290">
        <v>196952.84</v>
      </c>
      <c r="CM9" s="290"/>
      <c r="CN9" s="290"/>
      <c r="CO9" s="290"/>
      <c r="CP9" s="321">
        <f t="shared" si="0"/>
        <v>1997.9397485452369</v>
      </c>
      <c r="CQ9" s="333">
        <f t="shared" si="1"/>
        <v>0</v>
      </c>
      <c r="CR9" s="333">
        <f t="shared" si="2"/>
        <v>0</v>
      </c>
      <c r="CS9" s="333">
        <f t="shared" si="3"/>
        <v>0</v>
      </c>
      <c r="CT9" s="333">
        <f t="shared" si="4"/>
        <v>0</v>
      </c>
      <c r="CU9" s="333">
        <f t="shared" si="5"/>
        <v>0</v>
      </c>
      <c r="CV9" s="333">
        <f t="shared" si="6"/>
        <v>0</v>
      </c>
      <c r="CW9" s="333">
        <f t="shared" si="7"/>
        <v>0</v>
      </c>
      <c r="CX9" s="333">
        <f t="shared" si="8"/>
        <v>0</v>
      </c>
      <c r="CY9" s="333">
        <f t="shared" si="9"/>
        <v>0</v>
      </c>
      <c r="CZ9" s="333">
        <f t="shared" si="10"/>
        <v>0</v>
      </c>
      <c r="DA9" s="333">
        <f t="shared" si="11"/>
        <v>0</v>
      </c>
      <c r="DB9" s="333">
        <f t="shared" si="12"/>
        <v>0</v>
      </c>
      <c r="DC9" s="333">
        <f t="shared" si="13"/>
        <v>0</v>
      </c>
      <c r="DD9" s="333">
        <f t="shared" si="14"/>
        <v>0</v>
      </c>
      <c r="DE9" s="333">
        <f t="shared" si="15"/>
        <v>0</v>
      </c>
      <c r="DF9" s="333">
        <f t="shared" si="16"/>
        <v>0</v>
      </c>
      <c r="DG9" s="333">
        <f t="shared" si="17"/>
        <v>0</v>
      </c>
      <c r="DH9" s="333">
        <f t="shared" si="18"/>
        <v>0</v>
      </c>
      <c r="DI9" s="333">
        <f t="shared" si="19"/>
        <v>0</v>
      </c>
      <c r="DJ9" s="333">
        <f t="shared" si="20"/>
        <v>0.25</v>
      </c>
      <c r="DK9" s="333">
        <f t="shared" si="21"/>
        <v>0.5</v>
      </c>
      <c r="DL9" s="333">
        <f t="shared" si="22"/>
        <v>0.75</v>
      </c>
      <c r="DM9" s="333">
        <f t="shared" si="23"/>
        <v>1</v>
      </c>
      <c r="DN9" s="334">
        <f t="shared" si="24"/>
        <v>2497841.899306966</v>
      </c>
      <c r="DO9" s="334">
        <f t="shared" si="25"/>
        <v>1931302.7496091886</v>
      </c>
      <c r="DP9" s="334">
        <f t="shared" si="26"/>
        <v>371363.95627333311</v>
      </c>
    </row>
    <row r="10" spans="1:120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290">
        <v>0</v>
      </c>
      <c r="CI10" s="290">
        <v>0</v>
      </c>
      <c r="CJ10" s="290"/>
      <c r="CK10" s="290"/>
      <c r="CL10" s="290">
        <v>0</v>
      </c>
      <c r="CM10" s="290"/>
      <c r="CN10" s="290"/>
      <c r="CO10" s="290"/>
      <c r="CP10" s="321">
        <f t="shared" si="0"/>
        <v>1996.8815287911268</v>
      </c>
      <c r="CQ10" s="333">
        <f t="shared" si="1"/>
        <v>0</v>
      </c>
      <c r="CR10" s="333">
        <f t="shared" si="2"/>
        <v>0</v>
      </c>
      <c r="CS10" s="333">
        <f t="shared" si="3"/>
        <v>0</v>
      </c>
      <c r="CT10" s="333">
        <f t="shared" si="4"/>
        <v>0</v>
      </c>
      <c r="CU10" s="333">
        <f t="shared" si="5"/>
        <v>0</v>
      </c>
      <c r="CV10" s="333">
        <f t="shared" si="6"/>
        <v>0</v>
      </c>
      <c r="CW10" s="333">
        <f t="shared" si="7"/>
        <v>0</v>
      </c>
      <c r="CX10" s="333">
        <f t="shared" si="8"/>
        <v>0</v>
      </c>
      <c r="CY10" s="333">
        <f t="shared" si="9"/>
        <v>0</v>
      </c>
      <c r="CZ10" s="333">
        <f t="shared" si="10"/>
        <v>0</v>
      </c>
      <c r="DA10" s="333">
        <f t="shared" si="11"/>
        <v>0</v>
      </c>
      <c r="DB10" s="333">
        <f t="shared" si="12"/>
        <v>0</v>
      </c>
      <c r="DC10" s="333">
        <f t="shared" si="13"/>
        <v>0</v>
      </c>
      <c r="DD10" s="333">
        <f t="shared" si="14"/>
        <v>0</v>
      </c>
      <c r="DE10" s="333">
        <f t="shared" si="15"/>
        <v>0</v>
      </c>
      <c r="DF10" s="333">
        <f t="shared" si="16"/>
        <v>0</v>
      </c>
      <c r="DG10" s="333">
        <f t="shared" si="17"/>
        <v>0</v>
      </c>
      <c r="DH10" s="333">
        <f t="shared" si="18"/>
        <v>0</v>
      </c>
      <c r="DI10" s="333">
        <f t="shared" si="19"/>
        <v>0.19999999999999996</v>
      </c>
      <c r="DJ10" s="333">
        <f t="shared" si="20"/>
        <v>0.4</v>
      </c>
      <c r="DK10" s="333">
        <f t="shared" si="21"/>
        <v>0.6</v>
      </c>
      <c r="DL10" s="333">
        <f t="shared" si="22"/>
        <v>0.8</v>
      </c>
      <c r="DM10" s="333">
        <f t="shared" si="23"/>
        <v>1</v>
      </c>
      <c r="DN10" s="334">
        <f t="shared" si="24"/>
        <v>2106488.1793448166</v>
      </c>
      <c r="DO10" s="334">
        <f t="shared" si="25"/>
        <v>1965930.6793448166</v>
      </c>
      <c r="DP10" s="334">
        <f t="shared" si="26"/>
        <v>75838.5</v>
      </c>
    </row>
    <row r="11" spans="1:120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290">
        <v>0</v>
      </c>
      <c r="CI11" s="290">
        <v>0</v>
      </c>
      <c r="CJ11" s="290"/>
      <c r="CK11" s="290"/>
      <c r="CL11" s="290">
        <v>0</v>
      </c>
      <c r="CM11" s="290"/>
      <c r="CN11" s="290"/>
      <c r="CO11" s="290"/>
      <c r="CP11" s="321">
        <f t="shared" si="0"/>
        <v>0</v>
      </c>
      <c r="CQ11" s="333">
        <f t="shared" si="1"/>
        <v>0</v>
      </c>
      <c r="CR11" s="333">
        <f t="shared" si="2"/>
        <v>0</v>
      </c>
      <c r="CS11" s="333">
        <f t="shared" si="3"/>
        <v>0</v>
      </c>
      <c r="CT11" s="333">
        <f t="shared" si="4"/>
        <v>0</v>
      </c>
      <c r="CU11" s="333">
        <f t="shared" si="5"/>
        <v>0</v>
      </c>
      <c r="CV11" s="333">
        <f t="shared" si="6"/>
        <v>0</v>
      </c>
      <c r="CW11" s="333">
        <f t="shared" si="7"/>
        <v>0</v>
      </c>
      <c r="CX11" s="333">
        <f t="shared" si="8"/>
        <v>0</v>
      </c>
      <c r="CY11" s="333">
        <f t="shared" si="9"/>
        <v>0</v>
      </c>
      <c r="CZ11" s="333">
        <f t="shared" si="10"/>
        <v>0</v>
      </c>
      <c r="DA11" s="333">
        <f t="shared" si="11"/>
        <v>0</v>
      </c>
      <c r="DB11" s="333">
        <f t="shared" si="12"/>
        <v>0</v>
      </c>
      <c r="DC11" s="333">
        <f t="shared" si="13"/>
        <v>0</v>
      </c>
      <c r="DD11" s="333">
        <f t="shared" si="14"/>
        <v>0</v>
      </c>
      <c r="DE11" s="333">
        <f t="shared" si="15"/>
        <v>0</v>
      </c>
      <c r="DF11" s="333">
        <f t="shared" si="16"/>
        <v>0.125</v>
      </c>
      <c r="DG11" s="333">
        <f t="shared" si="17"/>
        <v>0.25</v>
      </c>
      <c r="DH11" s="333">
        <f t="shared" si="18"/>
        <v>0.375</v>
      </c>
      <c r="DI11" s="333">
        <f t="shared" si="19"/>
        <v>0.5</v>
      </c>
      <c r="DJ11" s="333">
        <f t="shared" si="20"/>
        <v>0.625</v>
      </c>
      <c r="DK11" s="333">
        <f t="shared" si="21"/>
        <v>0.75</v>
      </c>
      <c r="DL11" s="333">
        <f t="shared" si="22"/>
        <v>0.875</v>
      </c>
      <c r="DM11" s="333">
        <f t="shared" si="23"/>
        <v>1</v>
      </c>
      <c r="DN11" s="334">
        <f t="shared" si="24"/>
        <v>160060.38764167234</v>
      </c>
      <c r="DO11" s="334">
        <f t="shared" si="25"/>
        <v>133829.04943802315</v>
      </c>
      <c r="DP11" s="334">
        <f t="shared" si="26"/>
        <v>3278.9172754561496</v>
      </c>
    </row>
    <row r="12" spans="1:120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291">
        <v>41291.910000000003</v>
      </c>
      <c r="CI12" s="290">
        <v>0</v>
      </c>
      <c r="CJ12" s="291"/>
      <c r="CK12" s="291"/>
      <c r="CL12" s="290">
        <v>0</v>
      </c>
      <c r="CM12" s="290"/>
      <c r="CN12" s="291"/>
      <c r="CO12" s="291"/>
      <c r="CP12" s="321">
        <f t="shared" si="0"/>
        <v>1992.645817714536</v>
      </c>
      <c r="CQ12" s="333">
        <f t="shared" si="1"/>
        <v>0</v>
      </c>
      <c r="CR12" s="333">
        <f t="shared" si="2"/>
        <v>0</v>
      </c>
      <c r="CS12" s="333">
        <f t="shared" si="3"/>
        <v>0</v>
      </c>
      <c r="CT12" s="333">
        <f t="shared" si="4"/>
        <v>0</v>
      </c>
      <c r="CU12" s="333">
        <f t="shared" si="5"/>
        <v>0</v>
      </c>
      <c r="CV12" s="348">
        <f t="shared" si="6"/>
        <v>5.8823529411764719E-2</v>
      </c>
      <c r="CW12" s="333">
        <f t="shared" si="7"/>
        <v>0.11764705882352944</v>
      </c>
      <c r="CX12" s="333">
        <f t="shared" si="8"/>
        <v>0.17647058823529416</v>
      </c>
      <c r="CY12" s="333">
        <f t="shared" si="9"/>
        <v>0.23529411764705888</v>
      </c>
      <c r="CZ12" s="333">
        <f t="shared" si="10"/>
        <v>0.29411764705882348</v>
      </c>
      <c r="DA12" s="333">
        <f t="shared" si="11"/>
        <v>0.3529411764705882</v>
      </c>
      <c r="DB12" s="333">
        <f t="shared" si="12"/>
        <v>0.41176470588235292</v>
      </c>
      <c r="DC12" s="333">
        <f t="shared" si="13"/>
        <v>0.47058823529411764</v>
      </c>
      <c r="DD12" s="333">
        <f t="shared" si="14"/>
        <v>0.52941176470588236</v>
      </c>
      <c r="DE12" s="333">
        <f t="shared" si="15"/>
        <v>0</v>
      </c>
      <c r="DF12" s="333">
        <f t="shared" si="16"/>
        <v>0.58823529411764708</v>
      </c>
      <c r="DG12" s="333">
        <f t="shared" si="17"/>
        <v>0.64705882352941169</v>
      </c>
      <c r="DH12" s="333">
        <f t="shared" si="18"/>
        <v>0.70588235294117641</v>
      </c>
      <c r="DI12" s="333">
        <f t="shared" si="19"/>
        <v>0.76470588235294112</v>
      </c>
      <c r="DJ12" s="333">
        <f t="shared" si="20"/>
        <v>0.82352941176470584</v>
      </c>
      <c r="DK12" s="333">
        <f t="shared" si="21"/>
        <v>0.88235294117647056</v>
      </c>
      <c r="DL12" s="333">
        <f t="shared" si="22"/>
        <v>0.94117647058823528</v>
      </c>
      <c r="DM12" s="333">
        <f t="shared" si="23"/>
        <v>1</v>
      </c>
      <c r="DN12" s="334">
        <f t="shared" si="24"/>
        <v>1004086.6877361333</v>
      </c>
      <c r="DO12" s="334">
        <f t="shared" si="25"/>
        <v>859124.00399115018</v>
      </c>
      <c r="DP12" s="334">
        <f t="shared" si="26"/>
        <v>61197.892881457745</v>
      </c>
    </row>
    <row r="13" spans="1:120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7">SUM(E5:E12)</f>
        <v>0</v>
      </c>
      <c r="F13" s="296">
        <f t="shared" si="27"/>
        <v>3156823.1414713804</v>
      </c>
      <c r="G13" s="296">
        <f t="shared" si="27"/>
        <v>266106.52899199998</v>
      </c>
      <c r="H13" s="296">
        <f t="shared" si="27"/>
        <v>0</v>
      </c>
      <c r="I13" s="296">
        <f t="shared" si="27"/>
        <v>0</v>
      </c>
      <c r="J13" s="296">
        <f t="shared" si="27"/>
        <v>0</v>
      </c>
      <c r="K13" s="296">
        <f t="shared" si="27"/>
        <v>107260.34</v>
      </c>
      <c r="L13" s="296">
        <f t="shared" si="27"/>
        <v>0</v>
      </c>
      <c r="M13" s="296">
        <f t="shared" si="27"/>
        <v>0</v>
      </c>
      <c r="N13" s="296">
        <f t="shared" si="27"/>
        <v>0</v>
      </c>
      <c r="O13" s="296">
        <f t="shared" si="27"/>
        <v>170017.04106100003</v>
      </c>
      <c r="P13" s="296">
        <f t="shared" si="27"/>
        <v>0</v>
      </c>
      <c r="Q13" s="296">
        <f t="shared" si="27"/>
        <v>0</v>
      </c>
      <c r="R13" s="296">
        <f t="shared" si="27"/>
        <v>0</v>
      </c>
      <c r="S13" s="296">
        <f t="shared" si="27"/>
        <v>141552.63</v>
      </c>
      <c r="T13" s="296">
        <f t="shared" si="27"/>
        <v>0</v>
      </c>
      <c r="U13" s="296">
        <f t="shared" si="27"/>
        <v>0</v>
      </c>
      <c r="V13" s="296">
        <f t="shared" si="27"/>
        <v>0</v>
      </c>
      <c r="W13" s="296">
        <f t="shared" si="27"/>
        <v>334246.14000000007</v>
      </c>
      <c r="X13" s="296">
        <f t="shared" si="27"/>
        <v>0</v>
      </c>
      <c r="Y13" s="296">
        <f t="shared" si="27"/>
        <v>0</v>
      </c>
      <c r="Z13" s="296">
        <f t="shared" si="27"/>
        <v>0</v>
      </c>
      <c r="AA13" s="296">
        <f t="shared" si="27"/>
        <v>167868.13</v>
      </c>
      <c r="AB13" s="296">
        <f t="shared" si="27"/>
        <v>0</v>
      </c>
      <c r="AC13" s="296">
        <f t="shared" si="27"/>
        <v>0</v>
      </c>
      <c r="AD13" s="296">
        <f t="shared" si="27"/>
        <v>0</v>
      </c>
      <c r="AE13" s="296">
        <f t="shared" si="27"/>
        <v>132511.28</v>
      </c>
      <c r="AF13" s="296">
        <f t="shared" si="27"/>
        <v>0</v>
      </c>
      <c r="AG13" s="296">
        <f t="shared" si="27"/>
        <v>0</v>
      </c>
      <c r="AH13" s="296">
        <f t="shared" si="27"/>
        <v>0</v>
      </c>
      <c r="AI13" s="296">
        <f t="shared" si="27"/>
        <v>323314.10387699993</v>
      </c>
      <c r="AJ13" s="296">
        <f t="shared" si="27"/>
        <v>0</v>
      </c>
      <c r="AK13" s="296">
        <f t="shared" si="27"/>
        <v>0</v>
      </c>
      <c r="AL13" s="296">
        <f t="shared" si="27"/>
        <v>0</v>
      </c>
      <c r="AM13" s="296">
        <f t="shared" si="27"/>
        <v>91335.93</v>
      </c>
      <c r="AN13" s="296">
        <f t="shared" si="27"/>
        <v>0</v>
      </c>
      <c r="AO13" s="296">
        <f t="shared" si="27"/>
        <v>0</v>
      </c>
      <c r="AP13" s="296">
        <f t="shared" si="27"/>
        <v>0</v>
      </c>
      <c r="AQ13" s="296">
        <f t="shared" si="27"/>
        <v>243514.73</v>
      </c>
      <c r="AR13" s="296">
        <f t="shared" si="27"/>
        <v>0</v>
      </c>
      <c r="AS13" s="296">
        <f t="shared" si="27"/>
        <v>0</v>
      </c>
      <c r="AT13" s="296">
        <f t="shared" si="27"/>
        <v>0</v>
      </c>
      <c r="AU13" s="296">
        <f t="shared" si="27"/>
        <v>0</v>
      </c>
      <c r="AV13" s="296">
        <f t="shared" si="27"/>
        <v>0</v>
      </c>
      <c r="AW13" s="296">
        <f t="shared" si="27"/>
        <v>0</v>
      </c>
      <c r="AX13" s="296">
        <f t="shared" si="27"/>
        <v>0</v>
      </c>
      <c r="AY13" s="296">
        <f t="shared" si="27"/>
        <v>56420.78</v>
      </c>
      <c r="AZ13" s="296">
        <f t="shared" si="27"/>
        <v>0</v>
      </c>
      <c r="BA13" s="296">
        <f t="shared" si="27"/>
        <v>0</v>
      </c>
      <c r="BB13" s="296">
        <f t="shared" si="27"/>
        <v>0</v>
      </c>
      <c r="BC13" s="296">
        <f t="shared" si="27"/>
        <v>1275811.54</v>
      </c>
      <c r="BD13" s="296">
        <f t="shared" si="27"/>
        <v>0</v>
      </c>
      <c r="BE13" s="296">
        <f t="shared" si="27"/>
        <v>0</v>
      </c>
      <c r="BF13" s="296">
        <f t="shared" si="27"/>
        <v>0</v>
      </c>
      <c r="BG13" s="296">
        <f t="shared" si="27"/>
        <v>940000</v>
      </c>
      <c r="BH13" s="296">
        <f t="shared" si="27"/>
        <v>0</v>
      </c>
      <c r="BI13" s="296">
        <f t="shared" si="27"/>
        <v>940000</v>
      </c>
      <c r="BJ13" s="296">
        <f t="shared" si="27"/>
        <v>917175.86</v>
      </c>
      <c r="BK13" s="296">
        <f t="shared" si="27"/>
        <v>0</v>
      </c>
      <c r="BL13" s="296">
        <f t="shared" si="27"/>
        <v>0</v>
      </c>
      <c r="BM13" s="296">
        <f t="shared" si="27"/>
        <v>0</v>
      </c>
      <c r="BN13" s="296">
        <f t="shared" si="27"/>
        <v>1105575.6700000002</v>
      </c>
      <c r="BO13" s="296">
        <f t="shared" si="27"/>
        <v>0</v>
      </c>
      <c r="BP13" s="296">
        <f t="shared" si="27"/>
        <v>0</v>
      </c>
      <c r="BQ13" s="296">
        <f t="shared" ref="BQ13:CK13" si="28">SUM(BQ5:BQ12)</f>
        <v>0</v>
      </c>
      <c r="BR13" s="296">
        <f t="shared" si="28"/>
        <v>1102455.8699999996</v>
      </c>
      <c r="BS13" s="296">
        <f t="shared" si="28"/>
        <v>0</v>
      </c>
      <c r="BT13" s="296">
        <f t="shared" si="28"/>
        <v>0</v>
      </c>
      <c r="BU13" s="296">
        <f t="shared" si="28"/>
        <v>0</v>
      </c>
      <c r="BV13" s="296">
        <f t="shared" si="28"/>
        <v>1120073.2300000004</v>
      </c>
      <c r="BW13" s="296">
        <f t="shared" si="28"/>
        <v>0</v>
      </c>
      <c r="BX13" s="296">
        <f t="shared" si="28"/>
        <v>0</v>
      </c>
      <c r="BY13" s="296">
        <f t="shared" si="28"/>
        <v>0</v>
      </c>
      <c r="BZ13" s="296">
        <f t="shared" si="28"/>
        <v>3586563.6400000011</v>
      </c>
      <c r="CA13" s="296">
        <f t="shared" si="28"/>
        <v>0</v>
      </c>
      <c r="CB13" s="296">
        <f t="shared" si="28"/>
        <v>0</v>
      </c>
      <c r="CC13" s="296">
        <f t="shared" si="28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6">
        <f t="shared" si="28"/>
        <v>881689.72999999986</v>
      </c>
      <c r="CI13" s="296">
        <f t="shared" si="28"/>
        <v>0</v>
      </c>
      <c r="CJ13" s="296">
        <f t="shared" si="28"/>
        <v>0</v>
      </c>
      <c r="CK13" s="296">
        <f t="shared" si="28"/>
        <v>0</v>
      </c>
      <c r="CL13" s="296">
        <f>SUM(CL5:CL12)</f>
        <v>1253665.81</v>
      </c>
      <c r="CM13" s="296">
        <f>SUM(CM5:CM12)</f>
        <v>0</v>
      </c>
      <c r="CN13" s="296">
        <f>SUM(CN5:CN12)</f>
        <v>0</v>
      </c>
      <c r="CO13" s="296">
        <f>SUM(CO5:CO12)</f>
        <v>0</v>
      </c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8">
        <f>SUM(DN5:DN12)</f>
        <v>20701816.943285145</v>
      </c>
      <c r="DO13" s="298">
        <f>SUM(DO5:DO12)</f>
        <v>11835154.124189578</v>
      </c>
      <c r="DP13" s="298">
        <f>SUM(DP5:DP12)</f>
        <v>4749669.9306583013</v>
      </c>
    </row>
    <row r="14" spans="1:120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333"/>
      <c r="CQ14" s="333"/>
      <c r="CR14" s="333"/>
      <c r="CS14" s="333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4"/>
      <c r="DO14" s="334"/>
      <c r="DP14" s="334"/>
    </row>
    <row r="15" spans="1:120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290">
        <v>0</v>
      </c>
      <c r="CI15" s="290">
        <v>0</v>
      </c>
      <c r="CJ15" s="290"/>
      <c r="CK15" s="290"/>
      <c r="CL15" s="290">
        <v>0</v>
      </c>
      <c r="CM15" s="290"/>
      <c r="CN15" s="290"/>
      <c r="CO15" s="290"/>
      <c r="CP15" s="321">
        <f>IF(D15=0,0,2001-(D15-F15)*C15/D15)</f>
        <v>0</v>
      </c>
      <c r="CQ15" s="333">
        <f>IF((1-($DN$2-$CP15)/$C15)&gt;0,(1-($DN$2-$CP15)/$C15),0)</f>
        <v>0</v>
      </c>
      <c r="CR15" s="333">
        <f>IF((1-($DN$2-G$2)/$C15)&gt;0,(1-($DN$2-G$2)/$C15),0)</f>
        <v>0.33333333333333337</v>
      </c>
      <c r="CS15" s="333">
        <f>IF((1-($DN$2-K$2)/$C15)&gt;0,(1-($DN$2-K$2)/$C15),0)</f>
        <v>0.3666666666666667</v>
      </c>
      <c r="CT15" s="333">
        <f>IF((1-($DN$2-O$2)/$C15)&gt;0,(1-($DN$2-O$2)/$C15),0)</f>
        <v>0.4</v>
      </c>
      <c r="CU15" s="333">
        <f>IF((1-($DN$2-S$2)/$C15)&gt;0,(1-($DN$2-S$2)/$C15),0)</f>
        <v>0.43333333333333335</v>
      </c>
      <c r="CV15" s="333">
        <f>IF((1-($DN$2-W$2)/$C15)&gt;0,(1-($DN$2-W$2)/$C15),0)</f>
        <v>0.46666666666666667</v>
      </c>
      <c r="CW15" s="333">
        <f>IF((1-($DN$2-AA$2)/$C15)&gt;0,(1-($DN$2-AA$2)/$C15),0)</f>
        <v>0.5</v>
      </c>
      <c r="CX15" s="333">
        <f>IF((1-($DN$2-AE$2)/$C15)&gt;0,(1-($DN$2-AE$2)/$C15),0)</f>
        <v>0.53333333333333333</v>
      </c>
      <c r="CY15" s="333">
        <f>IF((1-($DN$2-AI$2)/$C15)&gt;0,(1-($DN$2-AI$2)/$C15),0)</f>
        <v>0.56666666666666665</v>
      </c>
      <c r="CZ15" s="333">
        <f>IF((1-($DN$2-AM$2)/$C15)&gt;0,(1-($DN$2-AM$2)/$C15),0)</f>
        <v>0.6</v>
      </c>
      <c r="DA15" s="333">
        <f>IF((1-($DN$2-AQ$2)/$C15)&gt;0,(1-($DN$2-AQ$2)/$C15),0)</f>
        <v>0.6333333333333333</v>
      </c>
      <c r="DB15" s="333">
        <f>IF((1-($DN$2-AU$2)/$C15)&gt;0,(1-($DN$2-AU$2)/$C15),0)</f>
        <v>0.66666666666666674</v>
      </c>
      <c r="DC15" s="333">
        <f>IF((1-($DN$2-AY$2)/$C15)&gt;0,(1-($DN$2-AY$2)/$C15),0)</f>
        <v>0.7</v>
      </c>
      <c r="DD15" s="333">
        <f>IF((1-($DN$2-BC$2)/$C15)&gt;0,(1-($DN$2-BC$2)/$C15),0)</f>
        <v>0.73333333333333339</v>
      </c>
      <c r="DE15" s="333">
        <f>IF(BG15=0,0,1-($DN$2-(2014.5-(BG15-BI15)*C15/BG15))/C15)</f>
        <v>0</v>
      </c>
      <c r="DF15" s="333">
        <f>IF((1-($DN$2-BJ$2)/$C15)&gt;0,(1-($DN$2-BJ$2)/$C15),0)</f>
        <v>0.76666666666666661</v>
      </c>
      <c r="DG15" s="333">
        <f>IF((1-($DN$2-BN$2)/$C15)&gt;0,(1-($DN$2-BN$2)/$C15),0)</f>
        <v>0.8</v>
      </c>
      <c r="DH15" s="333">
        <f>IF((1-($DN$2-BR$2)/$C15)&gt;0,(1-($DN$2-BR$2)/$C15),0)</f>
        <v>0.83333333333333337</v>
      </c>
      <c r="DI15" s="333">
        <f>IF((1-($DN$2-BV$2)/$C15)&gt;0,(1-($DN$2-BV$2)/$C15),0)</f>
        <v>0.8666666666666667</v>
      </c>
      <c r="DJ15" s="333">
        <f>IF((1-($DN$2-BZ$2)/$C15)&gt;0,(1-($DN$2-BZ$2)/$C15),0)</f>
        <v>0.9</v>
      </c>
      <c r="DK15" s="333">
        <f>IF((1-($DN$2-CD$2)/$C15)&gt;0,(1-($DN$2-CD$2)/$C15),0)</f>
        <v>0.93333333333333335</v>
      </c>
      <c r="DL15" s="333">
        <f>IF((1-($DN$2-CH$2)/$C15)&gt;0,(1-($DN$2-CH$2)/$C15),0)</f>
        <v>0.96666666666666667</v>
      </c>
      <c r="DM15" s="333">
        <f>IF((1-($DN$2-CL$2)/$C15)&gt;0,(1-($DN$2-CL$2)/$C15),0)</f>
        <v>1</v>
      </c>
      <c r="DN15" s="334">
        <f t="shared" ref="DN15:DN44" si="29"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+(CD15-CE15-CF15)*$CD$61+(CH15-CI15-CJ15)*$CH$61+(CL15-CM15-CN15)*$CL$61</f>
        <v>2170367.98068809</v>
      </c>
      <c r="DO15" s="334">
        <f t="shared" ref="DO15:DO44" si="30">IF(CQ15=0,D15-E15,0)+IF(CR15=0,(G15-H15-I15)*G$61,0)+IF(CS15=0,(K15-L15-M15)*K$61,0)+IF(CT15=0,(O15-P15-Q15)*O$61,0)+IF(CU15=0,(S15-T15-U15)*S$61,0)+IF(CV15=0,(W15-X15-Y15)*W$61,0)+IF(CW15=0,(AA15-AB15-AC15)*AA$61,0)+IF(CX15=0,(AE15-AF15-AG15)*AE$61,0)+IF(CY15=0,(AI15-AJ15-AK15)*AI$61,0)+IF(CZ15=0,(AM15-AN15-AO15)*AM$61,0)+IF(DA15=0,(AQ15-AR15-AS15)*$AQ$61,0)+IF(DB15=0,(AU15-AV15-AW15)*$AU$61,0)+IF(DC15=0,(AY15-AZ15-BA15)*$AY$61,0)++IF(DD15=0,(BC15-BD15-BE15)*$BC$61,0)+IF(DE15=0,BG15,0)+IF(DF15=0,(BJ15-BK15-BL15)*$BJ$61,0)+IF(DG15=0,(BN15-BO15-BP15)*$BN$61,0)+IF(DH15=0,(BR15-BS15-BT15)*$BR$61,0)+IF(DI15=0,(BV15-BW15-BX15)*$BV$61,0)+IF(DJ15=0,(BZ15-CA15-CB15)*$BZ$61,0)+IF(DK15=0,(CD15-CE15-CF15)*$CD$61,0)+IF(DL15=0,(CH15-CI15-CJ15)*$CH$61,0)+IF(DM15=0,(CL15-CM15-CN15)*$CL$61,0)</f>
        <v>0</v>
      </c>
      <c r="DP15" s="334">
        <f>(D15-E15)*CQ15+((G15-H15-(I15-J15))*G$61)*CR15+((K15-L15-(M15-N15))*K$61)*CS15+((O15-P15-(Q15-R15))*O$61)*CT15+((S15-T15-(U15-V15))*S$61)*CU15+((W15-X15-(Y15-Z15))*W$61)*CV15+((AA15-AB15-(AC15-AD15))*AA$61)*CW15+((AE15-AF15-(AG15-AH15))*AE$61)*CX15+((AI15-AJ15-(AK15-AL15))*AI$61)*CY15+((AM15-AN15-(AO15-AP15))*$AM$61)*CZ15+((AQ15-AR15-(AS15-AT15))*$AQ$61)*DA15+((AU15-AV15-(AW15-AX15))*$AU$61)*DB15+((AY15-AZ15-(BA15-BB15))*$AY$61)*DC15+((BC15-BD15-(BE15-BF15))*$BC$61)*DD15+((BJ15-BK15-(BL15-BM15))*$BJ$61)*DF15+(BG15-BH15)*DE15+((BN15-BO15-(BP15-BQ15))*$BN$61)*DG15+((BR15-BS15-(BT15-BU15))*$BR$61)*DH15+((BV15-BW15-(BX15-BY15))*$BV$61)*DI15+((BZ15-CA15-(CB15-CC15))*$BZ$61)*DJ15+((CD15-CE15-(CF15-CG15))*$CD$61)*DK15+((CH15-CI15-(CJ15-CK15))*$CH$61*DL15)+((CL15-CM15-(CN15-CO15))*$CL$61*DM15)</f>
        <v>1736294.384550472</v>
      </c>
    </row>
    <row r="16" spans="1:120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290">
        <v>0</v>
      </c>
      <c r="CI16" s="290">
        <v>0</v>
      </c>
      <c r="CJ16" s="290"/>
      <c r="CK16" s="290"/>
      <c r="CL16" s="290">
        <v>0</v>
      </c>
      <c r="CM16" s="290"/>
      <c r="CN16" s="290"/>
      <c r="CO16" s="290"/>
      <c r="CP16" s="321">
        <f>IF(D16=0,0,2001-(D16-F16)*C16/D16)</f>
        <v>0</v>
      </c>
      <c r="CQ16" s="333">
        <f>IF((1-($DN$2-$CP16)/$C16)&gt;0,(1-($DN$2-$CP16)/$C16),0)</f>
        <v>0</v>
      </c>
      <c r="CR16" s="333">
        <f>IF((1-($DN$2-G$2)/$C16)&gt;0,(1-($DN$2-G$2)/$C16),0)</f>
        <v>0.33333333333333337</v>
      </c>
      <c r="CS16" s="333">
        <f>IF((1-($DN$2-K$2)/$C16)&gt;0,(1-($DN$2-K$2)/$C16),0)</f>
        <v>0.3666666666666667</v>
      </c>
      <c r="CT16" s="333">
        <f>IF((1-($DN$2-O$2)/$C16)&gt;0,(1-($DN$2-O$2)/$C16),0)</f>
        <v>0.4</v>
      </c>
      <c r="CU16" s="333">
        <f>IF((1-($DN$2-S$2)/$C16)&gt;0,(1-($DN$2-S$2)/$C16),0)</f>
        <v>0.43333333333333335</v>
      </c>
      <c r="CV16" s="333">
        <f>IF((1-($DN$2-W$2)/$C16)&gt;0,(1-($DN$2-W$2)/$C16),0)</f>
        <v>0.46666666666666667</v>
      </c>
      <c r="CW16" s="333">
        <f>IF((1-($DN$2-AA$2)/$C16)&gt;0,(1-($DN$2-AA$2)/$C16),0)</f>
        <v>0.5</v>
      </c>
      <c r="CX16" s="333">
        <f>IF((1-($DN$2-AE$2)/$C16)&gt;0,(1-($DN$2-AE$2)/$C16),0)</f>
        <v>0.53333333333333333</v>
      </c>
      <c r="CY16" s="333">
        <f>IF((1-($DN$2-AI$2)/$C16)&gt;0,(1-($DN$2-AI$2)/$C16),0)</f>
        <v>0.56666666666666665</v>
      </c>
      <c r="CZ16" s="333">
        <f>IF((1-($DN$2-AM$2)/$C16)&gt;0,(1-($DN$2-AM$2)/$C16),0)</f>
        <v>0.6</v>
      </c>
      <c r="DA16" s="333">
        <f>IF((1-($DN$2-AQ$2)/$C16)&gt;0,(1-($DN$2-AQ$2)/$C16),0)</f>
        <v>0.6333333333333333</v>
      </c>
      <c r="DB16" s="333">
        <f>IF((1-($DN$2-AU$2)/$C16)&gt;0,(1-($DN$2-AU$2)/$C16),0)</f>
        <v>0.66666666666666674</v>
      </c>
      <c r="DC16" s="333">
        <f>IF((1-($DN$2-AY$2)/$C16)&gt;0,(1-($DN$2-AY$2)/$C16),0)</f>
        <v>0.7</v>
      </c>
      <c r="DD16" s="333">
        <f>IF((1-($DN$2-BC$2)/$C16)&gt;0,(1-($DN$2-BC$2)/$C16),0)</f>
        <v>0.73333333333333339</v>
      </c>
      <c r="DE16" s="333">
        <f>IF(BG16=0,0,1-($DN$2-(2014.5-(BG16-BI16)*C16/BG16))/C16)</f>
        <v>0</v>
      </c>
      <c r="DF16" s="333">
        <f>IF((1-($DN$2-BJ$2)/$C16)&gt;0,(1-($DN$2-BJ$2)/$C16),0)</f>
        <v>0.76666666666666661</v>
      </c>
      <c r="DG16" s="333">
        <f>IF((1-($DN$2-BN$2)/$C16)&gt;0,(1-($DN$2-BN$2)/$C16),0)</f>
        <v>0.8</v>
      </c>
      <c r="DH16" s="333">
        <f>IF((1-($DN$2-BR$2)/$C16)&gt;0,(1-($DN$2-BR$2)/$C16),0)</f>
        <v>0.83333333333333337</v>
      </c>
      <c r="DI16" s="333">
        <f>IF((1-($DN$2-BV$2)/$C16)&gt;0,(1-($DN$2-BV$2)/$C16),0)</f>
        <v>0.8666666666666667</v>
      </c>
      <c r="DJ16" s="333">
        <f>IF((1-($DN$2-BZ$2)/$C16)&gt;0,(1-($DN$2-BZ$2)/$C16),0)</f>
        <v>0.9</v>
      </c>
      <c r="DK16" s="333">
        <f>IF((1-($DN$2-CD$2)/$C16)&gt;0,(1-($DN$2-CD$2)/$C16),0)</f>
        <v>0.93333333333333335</v>
      </c>
      <c r="DL16" s="333">
        <f>IF((1-($DN$2-CH$2)/$C16)&gt;0,(1-($DN$2-CH$2)/$C16),0)</f>
        <v>0.96666666666666667</v>
      </c>
      <c r="DM16" s="333">
        <f>IF((1-($DN$2-CL$2)/$C16)&gt;0,(1-($DN$2-CL$2)/$C16),0)</f>
        <v>1</v>
      </c>
      <c r="DN16" s="334">
        <f t="shared" si="29"/>
        <v>2088630.1130731143</v>
      </c>
      <c r="DO16" s="334">
        <f t="shared" si="30"/>
        <v>0</v>
      </c>
      <c r="DP16" s="334">
        <f>(D16-E16)*CQ16+((G16-H16-(I16-J16))*G$61)*CR16+((K16-L16-(M16-N16))*K$61)*CS16+((O16-P16-(Q16-R16))*O$61)*CT16+((S16-T16-(U16-V16))*S$61)*CU16+((W16-X16-(Y16-Z16))*W$61)*CV16+((AA16-AB16-(AC16-AD16))*AA$61)*CW16+((AE16-AF16-(AG16-AH16))*AE$61)*CX16+((AI16-AJ16-(AK16-AL16))*AI$61)*CY16+((AM16-AN16-(AO16-AP16))*$AM$61)*CZ16+((AQ16-AR16-(AS16-AT16))*$AQ$61)*DA16+((AU16-AV16-(AW16-AX16))*$AU$61)*DB16+((AY16-AZ16-(BA16-BB16))*$AY$61)*DC16+((BC16-BD16-(BE16-BF16))*$BC$61)*DD16+((BJ16-BK16-(BL16-BM16))*$BJ$61)*DF16+(BG16-BH16)*DE16+((BN16-BO16-(BP16-BQ16))*$BN$61)*DG16+((BR16-BS16-(BT16-BU16))*$BR$61)*DH16+((BV16-BW16-(BX16-BY16))*$BV$61)*DI16+((BZ16-CA16-(CB16-CC16))*$BZ$61)*DJ16+((CD16-CE16-(CF16-CG16))*$CD$61)*DK16+((CH16-CI16-(CJ16-CK16))*$CH$61*DL16)+((CL16-CM16-(CN16-CO16))*$CL$61*DM16)</f>
        <v>1670904.0904584916</v>
      </c>
    </row>
    <row r="17" spans="1:120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290">
        <v>0</v>
      </c>
      <c r="CI17" s="290">
        <v>0</v>
      </c>
      <c r="CJ17" s="290"/>
      <c r="CK17" s="290"/>
      <c r="CL17" s="290">
        <v>0</v>
      </c>
      <c r="CM17" s="290"/>
      <c r="CN17" s="290"/>
      <c r="CO17" s="290"/>
      <c r="CP17" s="321">
        <f>IF(D17=0,0,2001-(D17-F17)*C17/D17)</f>
        <v>0</v>
      </c>
      <c r="CQ17" s="333">
        <f>IF((1-($DN$2-$CP17)/$C17)&gt;0,(1-($DN$2-$CP17)/$C17),0)</f>
        <v>0</v>
      </c>
      <c r="CR17" s="333">
        <f>IF((1-($DN$2-G$2)/$C17)&gt;0,(1-($DN$2-G$2)/$C17),0)</f>
        <v>0.33333333333333337</v>
      </c>
      <c r="CS17" s="333">
        <f>IF((1-($DN$2-K$2)/$C17)&gt;0,(1-($DN$2-K$2)/$C17),0)</f>
        <v>0.3666666666666667</v>
      </c>
      <c r="CT17" s="333">
        <f>IF((1-($DN$2-O$2)/$C17)&gt;0,(1-($DN$2-O$2)/$C17),0)</f>
        <v>0.4</v>
      </c>
      <c r="CU17" s="333">
        <f>IF((1-($DN$2-S$2)/$C17)&gt;0,(1-($DN$2-S$2)/$C17),0)</f>
        <v>0.43333333333333335</v>
      </c>
      <c r="CV17" s="333">
        <f>IF((1-($DN$2-W$2)/$C17)&gt;0,(1-($DN$2-W$2)/$C17),0)</f>
        <v>0.46666666666666667</v>
      </c>
      <c r="CW17" s="333">
        <f>IF((1-($DN$2-AA$2)/$C17)&gt;0,(1-($DN$2-AA$2)/$C17),0)</f>
        <v>0.5</v>
      </c>
      <c r="CX17" s="333">
        <f>IF((1-($DN$2-AE$2)/$C17)&gt;0,(1-($DN$2-AE$2)/$C17),0)</f>
        <v>0.53333333333333333</v>
      </c>
      <c r="CY17" s="333">
        <f>IF((1-($DN$2-AI$2)/$C17)&gt;0,(1-($DN$2-AI$2)/$C17),0)</f>
        <v>0.56666666666666665</v>
      </c>
      <c r="CZ17" s="333">
        <f>IF((1-($DN$2-AM$2)/$C17)&gt;0,(1-($DN$2-AM$2)/$C17),0)</f>
        <v>0.6</v>
      </c>
      <c r="DA17" s="333">
        <f>IF((1-($DN$2-AQ$2)/$C17)&gt;0,(1-($DN$2-AQ$2)/$C17),0)</f>
        <v>0.6333333333333333</v>
      </c>
      <c r="DB17" s="333">
        <f>IF((1-($DN$2-AU$2)/$C17)&gt;0,(1-($DN$2-AU$2)/$C17),0)</f>
        <v>0.66666666666666674</v>
      </c>
      <c r="DC17" s="333">
        <f>IF((1-($DN$2-AY$2)/$C17)&gt;0,(1-($DN$2-AY$2)/$C17),0)</f>
        <v>0.7</v>
      </c>
      <c r="DD17" s="333">
        <f>IF((1-($DN$2-BC$2)/$C17)&gt;0,(1-($DN$2-BC$2)/$C17),0)</f>
        <v>0.73333333333333339</v>
      </c>
      <c r="DE17" s="333">
        <f>IF(BG17=0,0,1-($DN$2-(2014.5-(BG17-BI17)*C17/BG17))/C17)</f>
        <v>0</v>
      </c>
      <c r="DF17" s="333">
        <f>IF((1-($DN$2-BJ$2)/$C17)&gt;0,(1-($DN$2-BJ$2)/$C17),0)</f>
        <v>0.76666666666666661</v>
      </c>
      <c r="DG17" s="333">
        <f>IF((1-($DN$2-BN$2)/$C17)&gt;0,(1-($DN$2-BN$2)/$C17),0)</f>
        <v>0.8</v>
      </c>
      <c r="DH17" s="333">
        <f>IF((1-($DN$2-BR$2)/$C17)&gt;0,(1-($DN$2-BR$2)/$C17),0)</f>
        <v>0.83333333333333337</v>
      </c>
      <c r="DI17" s="333">
        <f>IF((1-($DN$2-BV$2)/$C17)&gt;0,(1-($DN$2-BV$2)/$C17),0)</f>
        <v>0.8666666666666667</v>
      </c>
      <c r="DJ17" s="333">
        <f>IF((1-($DN$2-BZ$2)/$C17)&gt;0,(1-($DN$2-BZ$2)/$C17),0)</f>
        <v>0.9</v>
      </c>
      <c r="DK17" s="333">
        <f>IF((1-($DN$2-CD$2)/$C17)&gt;0,(1-($DN$2-CD$2)/$C17),0)</f>
        <v>0.93333333333333335</v>
      </c>
      <c r="DL17" s="333">
        <f>IF((1-($DN$2-CH$2)/$C17)&gt;0,(1-($DN$2-CH$2)/$C17),0)</f>
        <v>0.96666666666666667</v>
      </c>
      <c r="DM17" s="333">
        <f>IF((1-($DN$2-CL$2)/$C17)&gt;0,(1-($DN$2-CL$2)/$C17),0)</f>
        <v>1</v>
      </c>
      <c r="DN17" s="334">
        <f t="shared" si="29"/>
        <v>7229414.3872795496</v>
      </c>
      <c r="DO17" s="334">
        <f t="shared" si="30"/>
        <v>0</v>
      </c>
      <c r="DP17" s="334">
        <f>(D17-E17)*CQ17+((G17-H17-(I17-J17))*G$61)*CR17+((K17-L17-(M17-N17))*K$61)*CS17+((O17-P17-(Q17-R17))*O$61)*CT17+((S17-T17-(U17-V17))*S$61)*CU17+((W17-X17-(Y17-Z17))*W$61)*CV17+((AA17-AB17-(AC17-AD17))*AA$61)*CW17+((AE17-AF17-(AG17-AH17))*AE$61)*CX17+((AI17-AJ17-(AK17-AL17))*AI$61)*CY17+((AM17-AN17-(AO17-AP17))*$AM$61)*CZ17+((AQ17-AR17-(AS17-AT17))*$AQ$61)*DA17+((AU17-AV17-(AW17-AX17))*$AU$61)*DB17+((AY17-AZ17-(BA17-BB17))*$AY$61)*DC17+((BC17-BD17-(BE17-BF17))*$BC$61)*DD17+((BJ17-BK17-(BL17-BM17))*$BJ$61)*DF17+(BG17-BH17)*DE17+((BN17-BO17-(BP17-BQ17))*$BN$61)*DG17+((BR17-BS17-(BT17-BU17))*$BR$61)*DH17+((BV17-BW17-(BX17-BY17))*$BV$61)*DI17+((BZ17-CA17-(CB17-CC17))*$BZ$61)*DJ17+((CD17-CE17-(CF17-CG17))*$CD$61)*DK17+((CH17-CI17-(CJ17-CK17))*$CH$61*DL17)+((CL17-CM17-(CN17-CO17))*$CL$61*DM17)</f>
        <v>5788789.11499523</v>
      </c>
    </row>
    <row r="18" spans="1:120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290"/>
      <c r="CI18" s="290">
        <v>0</v>
      </c>
      <c r="CJ18" s="290"/>
      <c r="CK18" s="290"/>
      <c r="CL18" s="290">
        <v>0</v>
      </c>
      <c r="CM18" s="290"/>
      <c r="CN18" s="290"/>
      <c r="CO18" s="290"/>
      <c r="CP18" s="333"/>
      <c r="CQ18" s="333"/>
      <c r="CR18" s="333"/>
      <c r="CS18" s="333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4">
        <f t="shared" si="29"/>
        <v>0</v>
      </c>
      <c r="DO18" s="334">
        <f t="shared" si="30"/>
        <v>0</v>
      </c>
      <c r="DP18" s="334"/>
    </row>
    <row r="19" spans="1:120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290">
        <v>1243715.8800000001</v>
      </c>
      <c r="CI19" s="290">
        <v>34705.049949699998</v>
      </c>
      <c r="CJ19" s="290"/>
      <c r="CK19" s="290"/>
      <c r="CL19" s="290">
        <v>3004303.8000000007</v>
      </c>
      <c r="CM19" s="290"/>
      <c r="CN19" s="290"/>
      <c r="CO19" s="290"/>
      <c r="CP19" s="321">
        <f t="shared" ref="CP19:CP31" si="31">IF(D19=0,0,2001-(D19-F19)*C19/D19)</f>
        <v>1987.6168208038905</v>
      </c>
      <c r="CQ19" s="333">
        <f t="shared" ref="CQ19:CQ31" si="32">IF((1-($DN$2-$CP19)/$C19)&gt;0,(1-($DN$2-$CP19)/$C19),0)</f>
        <v>0</v>
      </c>
      <c r="CR19" s="333">
        <f t="shared" ref="CR19:CR31" si="33">IF((1-($DN$2-G$2)/$C19)&gt;0,(1-($DN$2-G$2)/$C19),0)</f>
        <v>0.33333333333333337</v>
      </c>
      <c r="CS19" s="333">
        <f t="shared" ref="CS19:CS31" si="34">IF((1-($DN$2-K$2)/$C19)&gt;0,(1-($DN$2-K$2)/$C19),0)</f>
        <v>0.3666666666666667</v>
      </c>
      <c r="CT19" s="333">
        <f t="shared" ref="CT19:CT31" si="35">IF((1-($DN$2-O$2)/$C19)&gt;0,(1-($DN$2-O$2)/$C19),0)</f>
        <v>0.4</v>
      </c>
      <c r="CU19" s="333">
        <f t="shared" ref="CU19:CU31" si="36">IF((1-($DN$2-S$2)/$C19)&gt;0,(1-($DN$2-S$2)/$C19),0)</f>
        <v>0.43333333333333335</v>
      </c>
      <c r="CV19" s="333">
        <f t="shared" ref="CV19:CV31" si="37">IF((1-($DN$2-W$2)/$C19)&gt;0,(1-($DN$2-W$2)/$C19),0)</f>
        <v>0.46666666666666667</v>
      </c>
      <c r="CW19" s="333">
        <f t="shared" ref="CW19:CW31" si="38">IF((1-($DN$2-AA$2)/$C19)&gt;0,(1-($DN$2-AA$2)/$C19),0)</f>
        <v>0.5</v>
      </c>
      <c r="CX19" s="333">
        <f t="shared" ref="CX19:CX31" si="39">IF((1-($DN$2-AE$2)/$C19)&gt;0,(1-($DN$2-AE$2)/$C19),0)</f>
        <v>0.53333333333333333</v>
      </c>
      <c r="CY19" s="333">
        <f t="shared" ref="CY19:CY31" si="40">IF((1-($DN$2-AI$2)/$C19)&gt;0,(1-($DN$2-AI$2)/$C19),0)</f>
        <v>0.56666666666666665</v>
      </c>
      <c r="CZ19" s="333">
        <f t="shared" ref="CZ19:CZ31" si="41">IF((1-($DN$2-AM$2)/$C19)&gt;0,(1-($DN$2-AM$2)/$C19),0)</f>
        <v>0.6</v>
      </c>
      <c r="DA19" s="333">
        <f t="shared" ref="DA19:DA31" si="42">IF((1-($DN$2-AQ$2)/$C19)&gt;0,(1-($DN$2-AQ$2)/$C19),0)</f>
        <v>0.6333333333333333</v>
      </c>
      <c r="DB19" s="333">
        <f t="shared" ref="DB19:DB31" si="43">IF((1-($DN$2-AU$2)/$C19)&gt;0,(1-($DN$2-AU$2)/$C19),0)</f>
        <v>0.66666666666666674</v>
      </c>
      <c r="DC19" s="333">
        <f t="shared" ref="DC19:DC31" si="44">IF((1-($DN$2-AY$2)/$C19)&gt;0,(1-($DN$2-AY$2)/$C19),0)</f>
        <v>0.7</v>
      </c>
      <c r="DD19" s="333">
        <f t="shared" ref="DD19:DD31" si="45">IF((1-($DN$2-BC$2)/$C19)&gt;0,(1-($DN$2-BC$2)/$C19),0)</f>
        <v>0.73333333333333339</v>
      </c>
      <c r="DE19" s="333">
        <f t="shared" ref="DE19:DE31" si="46">IF(BG19=0,0,1-($DN$2-(2014.5-(BG19-BI19)*C19/BG19))/C19)</f>
        <v>0.42173664402623667</v>
      </c>
      <c r="DF19" s="333">
        <f t="shared" ref="DF19:DF31" si="47">IF((1-($DN$2-BJ$2)/$C19)&gt;0,(1-($DN$2-BJ$2)/$C19),0)</f>
        <v>0.76666666666666661</v>
      </c>
      <c r="DG19" s="333">
        <f t="shared" ref="DG19:DG31" si="48">IF((1-($DN$2-BN$2)/$C19)&gt;0,(1-($DN$2-BN$2)/$C19),0)</f>
        <v>0.8</v>
      </c>
      <c r="DH19" s="333">
        <f t="shared" ref="DH19:DH31" si="49">IF((1-($DN$2-BR$2)/$C19)&gt;0,(1-($DN$2-BR$2)/$C19),0)</f>
        <v>0.83333333333333337</v>
      </c>
      <c r="DI19" s="333">
        <f t="shared" ref="DI19:DI31" si="50">IF((1-($DN$2-BV$2)/$C19)&gt;0,(1-($DN$2-BV$2)/$C19),0)</f>
        <v>0.8666666666666667</v>
      </c>
      <c r="DJ19" s="333">
        <f t="shared" ref="DJ19:DJ31" si="51">IF((1-($DN$2-BZ$2)/$C19)&gt;0,(1-($DN$2-BZ$2)/$C19),0)</f>
        <v>0.9</v>
      </c>
      <c r="DK19" s="333">
        <f t="shared" ref="DK19:DK31" si="52">IF((1-($DN$2-CD$2)/$C19)&gt;0,(1-($DN$2-CD$2)/$C19),0)</f>
        <v>0.93333333333333335</v>
      </c>
      <c r="DL19" s="333">
        <f t="shared" ref="DL19:DL31" si="53">IF((1-($DN$2-CH$2)/$C19)&gt;0,(1-($DN$2-CH$2)/$C19),0)</f>
        <v>0.96666666666666667</v>
      </c>
      <c r="DM19" s="333">
        <f t="shared" ref="DM19:DM31" si="54">IF((1-($DN$2-CL$2)/$C19)&gt;0,(1-($DN$2-CL$2)/$C19),0)</f>
        <v>1</v>
      </c>
      <c r="DN19" s="334">
        <f t="shared" si="29"/>
        <v>50712631.80949989</v>
      </c>
      <c r="DO19" s="334">
        <f t="shared" si="30"/>
        <v>20631115.423739497</v>
      </c>
      <c r="DP19" s="334">
        <f t="shared" ref="DP19:DP31" si="55">(D19-E19)*CQ19+((G19-H19-(I19-J19))*G$61)*CR19+((K19-L19-(M19-N19))*K$61)*CS19+((O19-P19-(Q19-R19))*O$61)*CT19+((S19-T19-(U19-V19))*S$61)*CU19+((W19-X19-(Y19-Z19))*W$61)*CV19+((AA19-AB19-(AC19-AD19))*AA$61)*CW19+((AE19-AF19-(AG19-AH19))*AE$61)*CX19+((AI19-AJ19-(AK19-AL19))*AI$61)*CY19+((AM19-AN19-(AO19-AP19))*$AM$61)*CZ19+((AQ19-AR19-(AS19-AT19))*$AQ$61)*DA19+((AU19-AV19-(AW19-AX19))*$AU$61)*DB19+((AY19-AZ19-(BA19-BB19))*$AY$61)*DC19+((BC19-BD19-(BE19-BF19))*$BC$61)*DD19+((BJ19-BK19-(BL19-BM19))*$BJ$61)*DF19+(BG19-BH19)*DE19+((BN19-BO19-(BP19-BQ19))*$BN$61)*DG19+((BR19-BS19-(BT19-BU19))*$BR$61)*DH19+((BV19-BW19-(BX19-BY19))*$BV$61)*DI19+((BZ19-CA19-(CB19-CC19))*$BZ$61)*DJ19+((CD19-CE19-(CF19-CG19))*$CD$61)*DK19+((CH19-CI19-(CJ19-CK19))*$CH$61*DL19)+((CL19-CM19-(CN19-CO19))*$CL$61*DM19)</f>
        <v>19901526.16621333</v>
      </c>
    </row>
    <row r="20" spans="1:120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290">
        <v>1453339.2800000005</v>
      </c>
      <c r="CI20" s="290">
        <v>27821.311839000002</v>
      </c>
      <c r="CJ20" s="290"/>
      <c r="CK20" s="290"/>
      <c r="CL20" s="290">
        <v>1233452.23</v>
      </c>
      <c r="CM20" s="290"/>
      <c r="CN20" s="290"/>
      <c r="CO20" s="290"/>
      <c r="CP20" s="321">
        <f t="shared" si="31"/>
        <v>1987.6165577130359</v>
      </c>
      <c r="CQ20" s="333">
        <f t="shared" si="32"/>
        <v>0</v>
      </c>
      <c r="CR20" s="333">
        <f t="shared" si="33"/>
        <v>0.33333333333333337</v>
      </c>
      <c r="CS20" s="333">
        <f t="shared" si="34"/>
        <v>0.3666666666666667</v>
      </c>
      <c r="CT20" s="333">
        <f t="shared" si="35"/>
        <v>0.4</v>
      </c>
      <c r="CU20" s="333">
        <f t="shared" si="36"/>
        <v>0.43333333333333335</v>
      </c>
      <c r="CV20" s="333">
        <f t="shared" si="37"/>
        <v>0.46666666666666667</v>
      </c>
      <c r="CW20" s="333">
        <f t="shared" si="38"/>
        <v>0.5</v>
      </c>
      <c r="CX20" s="333">
        <f t="shared" si="39"/>
        <v>0.53333333333333333</v>
      </c>
      <c r="CY20" s="333">
        <f t="shared" si="40"/>
        <v>0.56666666666666665</v>
      </c>
      <c r="CZ20" s="333">
        <f t="shared" si="41"/>
        <v>0.6</v>
      </c>
      <c r="DA20" s="333">
        <f t="shared" si="42"/>
        <v>0.6333333333333333</v>
      </c>
      <c r="DB20" s="333">
        <f t="shared" si="43"/>
        <v>0.66666666666666674</v>
      </c>
      <c r="DC20" s="333">
        <f t="shared" si="44"/>
        <v>0.7</v>
      </c>
      <c r="DD20" s="333">
        <f t="shared" si="45"/>
        <v>0.73333333333333339</v>
      </c>
      <c r="DE20" s="333">
        <f t="shared" si="46"/>
        <v>0</v>
      </c>
      <c r="DF20" s="333">
        <f t="shared" si="47"/>
        <v>0.76666666666666661</v>
      </c>
      <c r="DG20" s="333">
        <f t="shared" si="48"/>
        <v>0.8</v>
      </c>
      <c r="DH20" s="333">
        <f t="shared" si="49"/>
        <v>0.83333333333333337</v>
      </c>
      <c r="DI20" s="333">
        <f t="shared" si="50"/>
        <v>0.8666666666666667</v>
      </c>
      <c r="DJ20" s="333">
        <f t="shared" si="51"/>
        <v>0.9</v>
      </c>
      <c r="DK20" s="333">
        <f t="shared" si="52"/>
        <v>0.93333333333333335</v>
      </c>
      <c r="DL20" s="333">
        <f t="shared" si="53"/>
        <v>0.96666666666666667</v>
      </c>
      <c r="DM20" s="333">
        <f t="shared" si="54"/>
        <v>1</v>
      </c>
      <c r="DN20" s="334">
        <f t="shared" si="29"/>
        <v>33537716.3066497</v>
      </c>
      <c r="DO20" s="334">
        <f t="shared" si="30"/>
        <v>20319163.888809633</v>
      </c>
      <c r="DP20" s="334">
        <f t="shared" si="55"/>
        <v>10277009.547258254</v>
      </c>
    </row>
    <row r="21" spans="1:120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290">
        <v>0</v>
      </c>
      <c r="CI21" s="290">
        <v>0</v>
      </c>
      <c r="CJ21" s="290"/>
      <c r="CK21" s="290"/>
      <c r="CL21" s="290">
        <v>0</v>
      </c>
      <c r="CM21" s="290"/>
      <c r="CN21" s="290"/>
      <c r="CO21" s="290"/>
      <c r="CP21" s="321">
        <f t="shared" si="31"/>
        <v>1987.6167726485194</v>
      </c>
      <c r="CQ21" s="333">
        <f t="shared" si="32"/>
        <v>0</v>
      </c>
      <c r="CR21" s="333">
        <f t="shared" si="33"/>
        <v>0.33333333333333337</v>
      </c>
      <c r="CS21" s="333">
        <f t="shared" si="34"/>
        <v>0.3666666666666667</v>
      </c>
      <c r="CT21" s="333">
        <f t="shared" si="35"/>
        <v>0.4</v>
      </c>
      <c r="CU21" s="333">
        <f t="shared" si="36"/>
        <v>0.43333333333333335</v>
      </c>
      <c r="CV21" s="333">
        <f t="shared" si="37"/>
        <v>0.46666666666666667</v>
      </c>
      <c r="CW21" s="333">
        <f t="shared" si="38"/>
        <v>0.5</v>
      </c>
      <c r="CX21" s="333">
        <f t="shared" si="39"/>
        <v>0.53333333333333333</v>
      </c>
      <c r="CY21" s="333">
        <f t="shared" si="40"/>
        <v>0.56666666666666665</v>
      </c>
      <c r="CZ21" s="333">
        <f t="shared" si="41"/>
        <v>0.6</v>
      </c>
      <c r="DA21" s="333">
        <f t="shared" si="42"/>
        <v>0.6333333333333333</v>
      </c>
      <c r="DB21" s="333">
        <f t="shared" si="43"/>
        <v>0.66666666666666674</v>
      </c>
      <c r="DC21" s="333">
        <f t="shared" si="44"/>
        <v>0.7</v>
      </c>
      <c r="DD21" s="333">
        <f t="shared" si="45"/>
        <v>0.73333333333333339</v>
      </c>
      <c r="DE21" s="333">
        <f t="shared" si="46"/>
        <v>0.45000007043061785</v>
      </c>
      <c r="DF21" s="333">
        <f t="shared" si="47"/>
        <v>0.76666666666666661</v>
      </c>
      <c r="DG21" s="333">
        <f t="shared" si="48"/>
        <v>0.8</v>
      </c>
      <c r="DH21" s="333">
        <f t="shared" si="49"/>
        <v>0.83333333333333337</v>
      </c>
      <c r="DI21" s="333">
        <f t="shared" si="50"/>
        <v>0.8666666666666667</v>
      </c>
      <c r="DJ21" s="333">
        <f t="shared" si="51"/>
        <v>0.9</v>
      </c>
      <c r="DK21" s="333">
        <f t="shared" si="52"/>
        <v>0.93333333333333335</v>
      </c>
      <c r="DL21" s="333">
        <f t="shared" si="53"/>
        <v>0.96666666666666667</v>
      </c>
      <c r="DM21" s="333">
        <f t="shared" si="54"/>
        <v>1</v>
      </c>
      <c r="DN21" s="334">
        <f t="shared" si="29"/>
        <v>220572.67704669843</v>
      </c>
      <c r="DO21" s="334">
        <f t="shared" si="30"/>
        <v>149580.82704669842</v>
      </c>
      <c r="DP21" s="334">
        <f t="shared" si="55"/>
        <v>31946.33749999986</v>
      </c>
    </row>
    <row r="22" spans="1:120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290">
        <v>651665.85</v>
      </c>
      <c r="CI22" s="290">
        <v>4568.1160339999997</v>
      </c>
      <c r="CJ22" s="290"/>
      <c r="CK22" s="290"/>
      <c r="CL22" s="290">
        <v>121215.21</v>
      </c>
      <c r="CM22" s="290"/>
      <c r="CN22" s="290"/>
      <c r="CO22" s="290"/>
      <c r="CP22" s="321">
        <f t="shared" si="31"/>
        <v>0</v>
      </c>
      <c r="CQ22" s="333">
        <f t="shared" si="32"/>
        <v>0</v>
      </c>
      <c r="CR22" s="333">
        <f t="shared" si="33"/>
        <v>0.33333333333333337</v>
      </c>
      <c r="CS22" s="333">
        <f t="shared" si="34"/>
        <v>0.3666666666666667</v>
      </c>
      <c r="CT22" s="333">
        <f t="shared" si="35"/>
        <v>0.4</v>
      </c>
      <c r="CU22" s="333">
        <f t="shared" si="36"/>
        <v>0.43333333333333335</v>
      </c>
      <c r="CV22" s="333">
        <f t="shared" si="37"/>
        <v>0.46666666666666667</v>
      </c>
      <c r="CW22" s="333">
        <f t="shared" si="38"/>
        <v>0.5</v>
      </c>
      <c r="CX22" s="333">
        <f t="shared" si="39"/>
        <v>0.53333333333333333</v>
      </c>
      <c r="CY22" s="333">
        <f t="shared" si="40"/>
        <v>0.56666666666666665</v>
      </c>
      <c r="CZ22" s="333">
        <f t="shared" si="41"/>
        <v>0.6</v>
      </c>
      <c r="DA22" s="333">
        <f t="shared" si="42"/>
        <v>0.6333333333333333</v>
      </c>
      <c r="DB22" s="333">
        <f t="shared" si="43"/>
        <v>0.66666666666666674</v>
      </c>
      <c r="DC22" s="333">
        <f t="shared" si="44"/>
        <v>0.7</v>
      </c>
      <c r="DD22" s="333">
        <f t="shared" si="45"/>
        <v>0.73333333333333339</v>
      </c>
      <c r="DE22" s="333">
        <f t="shared" si="46"/>
        <v>0</v>
      </c>
      <c r="DF22" s="333">
        <f t="shared" si="47"/>
        <v>0.76666666666666661</v>
      </c>
      <c r="DG22" s="333">
        <f t="shared" si="48"/>
        <v>0.8</v>
      </c>
      <c r="DH22" s="333">
        <f t="shared" si="49"/>
        <v>0.83333333333333337</v>
      </c>
      <c r="DI22" s="333">
        <f t="shared" si="50"/>
        <v>0.8666666666666667</v>
      </c>
      <c r="DJ22" s="333">
        <f t="shared" si="51"/>
        <v>0.9</v>
      </c>
      <c r="DK22" s="333">
        <f t="shared" si="52"/>
        <v>0.93333333333333335</v>
      </c>
      <c r="DL22" s="333">
        <f t="shared" si="53"/>
        <v>0.96666666666666667</v>
      </c>
      <c r="DM22" s="333">
        <f t="shared" si="54"/>
        <v>1</v>
      </c>
      <c r="DN22" s="334">
        <f t="shared" si="29"/>
        <v>4391759.0978239207</v>
      </c>
      <c r="DO22" s="334">
        <f t="shared" si="30"/>
        <v>0</v>
      </c>
      <c r="DP22" s="334">
        <f t="shared" si="55"/>
        <v>3608087.5060426951</v>
      </c>
    </row>
    <row r="23" spans="1:120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290">
        <v>228894.65</v>
      </c>
      <c r="CI23" s="290">
        <v>0</v>
      </c>
      <c r="CJ23" s="290"/>
      <c r="CK23" s="290"/>
      <c r="CL23" s="290">
        <v>429753.95999999996</v>
      </c>
      <c r="CM23" s="290"/>
      <c r="CN23" s="290"/>
      <c r="CO23" s="290"/>
      <c r="CP23" s="321">
        <f t="shared" si="31"/>
        <v>0</v>
      </c>
      <c r="CQ23" s="333">
        <f t="shared" si="32"/>
        <v>0</v>
      </c>
      <c r="CR23" s="333">
        <f t="shared" si="33"/>
        <v>0.33333333333333337</v>
      </c>
      <c r="CS23" s="333">
        <f t="shared" si="34"/>
        <v>0.3666666666666667</v>
      </c>
      <c r="CT23" s="333">
        <f t="shared" si="35"/>
        <v>0.4</v>
      </c>
      <c r="CU23" s="333">
        <f t="shared" si="36"/>
        <v>0.43333333333333335</v>
      </c>
      <c r="CV23" s="333">
        <f t="shared" si="37"/>
        <v>0.46666666666666667</v>
      </c>
      <c r="CW23" s="333">
        <f t="shared" si="38"/>
        <v>0.5</v>
      </c>
      <c r="CX23" s="333">
        <f t="shared" si="39"/>
        <v>0.53333333333333333</v>
      </c>
      <c r="CY23" s="333">
        <f t="shared" si="40"/>
        <v>0.56666666666666665</v>
      </c>
      <c r="CZ23" s="333">
        <f t="shared" si="41"/>
        <v>0.6</v>
      </c>
      <c r="DA23" s="333">
        <f t="shared" si="42"/>
        <v>0.6333333333333333</v>
      </c>
      <c r="DB23" s="333">
        <f t="shared" si="43"/>
        <v>0.66666666666666674</v>
      </c>
      <c r="DC23" s="333">
        <f t="shared" si="44"/>
        <v>0.7</v>
      </c>
      <c r="DD23" s="333">
        <f t="shared" si="45"/>
        <v>0.73333333333333339</v>
      </c>
      <c r="DE23" s="333">
        <f t="shared" si="46"/>
        <v>0</v>
      </c>
      <c r="DF23" s="333">
        <f t="shared" si="47"/>
        <v>0.76666666666666661</v>
      </c>
      <c r="DG23" s="333">
        <f t="shared" si="48"/>
        <v>0.8</v>
      </c>
      <c r="DH23" s="333">
        <f t="shared" si="49"/>
        <v>0.83333333333333337</v>
      </c>
      <c r="DI23" s="333">
        <f t="shared" si="50"/>
        <v>0.8666666666666667</v>
      </c>
      <c r="DJ23" s="333">
        <f t="shared" si="51"/>
        <v>0.9</v>
      </c>
      <c r="DK23" s="333">
        <f t="shared" si="52"/>
        <v>0.93333333333333335</v>
      </c>
      <c r="DL23" s="333">
        <f t="shared" si="53"/>
        <v>0.96666666666666667</v>
      </c>
      <c r="DM23" s="333">
        <f t="shared" si="54"/>
        <v>1</v>
      </c>
      <c r="DN23" s="334">
        <f t="shared" si="29"/>
        <v>4336924.8848953126</v>
      </c>
      <c r="DO23" s="334">
        <f t="shared" si="30"/>
        <v>0</v>
      </c>
      <c r="DP23" s="334">
        <f t="shared" si="55"/>
        <v>3541610.9959683232</v>
      </c>
    </row>
    <row r="24" spans="1:120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290">
        <v>0</v>
      </c>
      <c r="CI24" s="290">
        <v>0</v>
      </c>
      <c r="CJ24" s="290"/>
      <c r="CK24" s="290"/>
      <c r="CL24" s="290">
        <v>0</v>
      </c>
      <c r="CM24" s="290"/>
      <c r="CN24" s="290"/>
      <c r="CO24" s="290"/>
      <c r="CP24" s="321">
        <f t="shared" si="31"/>
        <v>0</v>
      </c>
      <c r="CQ24" s="333">
        <f t="shared" si="32"/>
        <v>0</v>
      </c>
      <c r="CR24" s="333">
        <f t="shared" si="33"/>
        <v>0.33333333333333337</v>
      </c>
      <c r="CS24" s="333">
        <f t="shared" si="34"/>
        <v>0.3666666666666667</v>
      </c>
      <c r="CT24" s="333">
        <f t="shared" si="35"/>
        <v>0.4</v>
      </c>
      <c r="CU24" s="333">
        <f t="shared" si="36"/>
        <v>0.43333333333333335</v>
      </c>
      <c r="CV24" s="333">
        <f t="shared" si="37"/>
        <v>0.46666666666666667</v>
      </c>
      <c r="CW24" s="333">
        <f t="shared" si="38"/>
        <v>0.5</v>
      </c>
      <c r="CX24" s="333">
        <f t="shared" si="39"/>
        <v>0.53333333333333333</v>
      </c>
      <c r="CY24" s="333">
        <f t="shared" si="40"/>
        <v>0.56666666666666665</v>
      </c>
      <c r="CZ24" s="333">
        <f t="shared" si="41"/>
        <v>0.6</v>
      </c>
      <c r="DA24" s="333">
        <f t="shared" si="42"/>
        <v>0.6333333333333333</v>
      </c>
      <c r="DB24" s="333">
        <f t="shared" si="43"/>
        <v>0.66666666666666674</v>
      </c>
      <c r="DC24" s="333">
        <f t="shared" si="44"/>
        <v>0.7</v>
      </c>
      <c r="DD24" s="333">
        <f t="shared" si="45"/>
        <v>0.73333333333333339</v>
      </c>
      <c r="DE24" s="333">
        <f t="shared" si="46"/>
        <v>0</v>
      </c>
      <c r="DF24" s="333">
        <f t="shared" si="47"/>
        <v>0.76666666666666661</v>
      </c>
      <c r="DG24" s="333">
        <f t="shared" si="48"/>
        <v>0.8</v>
      </c>
      <c r="DH24" s="333">
        <f t="shared" si="49"/>
        <v>0.83333333333333337</v>
      </c>
      <c r="DI24" s="333">
        <f t="shared" si="50"/>
        <v>0.8666666666666667</v>
      </c>
      <c r="DJ24" s="333">
        <f t="shared" si="51"/>
        <v>0.9</v>
      </c>
      <c r="DK24" s="333">
        <f t="shared" si="52"/>
        <v>0.93333333333333335</v>
      </c>
      <c r="DL24" s="333">
        <f t="shared" si="53"/>
        <v>0.96666666666666667</v>
      </c>
      <c r="DM24" s="333">
        <f t="shared" si="54"/>
        <v>1</v>
      </c>
      <c r="DN24" s="334">
        <f t="shared" si="29"/>
        <v>0</v>
      </c>
      <c r="DO24" s="334">
        <f t="shared" si="30"/>
        <v>0</v>
      </c>
      <c r="DP24" s="334">
        <f t="shared" si="55"/>
        <v>0</v>
      </c>
    </row>
    <row r="25" spans="1:120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290">
        <v>0</v>
      </c>
      <c r="CI25" s="290">
        <v>0</v>
      </c>
      <c r="CJ25" s="290"/>
      <c r="CK25" s="290"/>
      <c r="CL25" s="290">
        <v>76613.399999999994</v>
      </c>
      <c r="CM25" s="290"/>
      <c r="CN25" s="290"/>
      <c r="CO25" s="290"/>
      <c r="CP25" s="321">
        <f t="shared" si="31"/>
        <v>1983.0579643777135</v>
      </c>
      <c r="CQ25" s="333">
        <f t="shared" si="32"/>
        <v>0</v>
      </c>
      <c r="CR25" s="333">
        <f t="shared" si="33"/>
        <v>0.33333333333333337</v>
      </c>
      <c r="CS25" s="333">
        <f t="shared" si="34"/>
        <v>0.3666666666666667</v>
      </c>
      <c r="CT25" s="333">
        <f t="shared" si="35"/>
        <v>0.4</v>
      </c>
      <c r="CU25" s="333">
        <f t="shared" si="36"/>
        <v>0.43333333333333335</v>
      </c>
      <c r="CV25" s="333">
        <f t="shared" si="37"/>
        <v>0.46666666666666667</v>
      </c>
      <c r="CW25" s="333">
        <f t="shared" si="38"/>
        <v>0.5</v>
      </c>
      <c r="CX25" s="333">
        <f t="shared" si="39"/>
        <v>0.53333333333333333</v>
      </c>
      <c r="CY25" s="333">
        <f t="shared" si="40"/>
        <v>0.56666666666666665</v>
      </c>
      <c r="CZ25" s="333">
        <f t="shared" si="41"/>
        <v>0.6</v>
      </c>
      <c r="DA25" s="333">
        <f t="shared" si="42"/>
        <v>0.6333333333333333</v>
      </c>
      <c r="DB25" s="333">
        <f t="shared" si="43"/>
        <v>0.66666666666666674</v>
      </c>
      <c r="DC25" s="333">
        <f t="shared" si="44"/>
        <v>0.7</v>
      </c>
      <c r="DD25" s="333">
        <f t="shared" si="45"/>
        <v>0.73333333333333339</v>
      </c>
      <c r="DE25" s="333">
        <f t="shared" si="46"/>
        <v>0.30242760860858198</v>
      </c>
      <c r="DF25" s="333">
        <f t="shared" si="47"/>
        <v>0.76666666666666661</v>
      </c>
      <c r="DG25" s="333">
        <f t="shared" si="48"/>
        <v>0.8</v>
      </c>
      <c r="DH25" s="333">
        <f t="shared" si="49"/>
        <v>0.83333333333333337</v>
      </c>
      <c r="DI25" s="333">
        <f t="shared" si="50"/>
        <v>0.8666666666666667</v>
      </c>
      <c r="DJ25" s="333">
        <f t="shared" si="51"/>
        <v>0.9</v>
      </c>
      <c r="DK25" s="333">
        <f t="shared" si="52"/>
        <v>0.93333333333333335</v>
      </c>
      <c r="DL25" s="333">
        <f t="shared" si="53"/>
        <v>0.96666666666666667</v>
      </c>
      <c r="DM25" s="333">
        <f t="shared" si="54"/>
        <v>1</v>
      </c>
      <c r="DN25" s="334">
        <f t="shared" si="29"/>
        <v>10158722.75945325</v>
      </c>
      <c r="DO25" s="334">
        <f t="shared" si="30"/>
        <v>5501374.3444445133</v>
      </c>
      <c r="DP25" s="334">
        <f t="shared" si="55"/>
        <v>3050266.3988620453</v>
      </c>
    </row>
    <row r="26" spans="1:120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290">
        <v>0</v>
      </c>
      <c r="CI26" s="290">
        <v>0</v>
      </c>
      <c r="CJ26" s="290"/>
      <c r="CK26" s="290"/>
      <c r="CL26" s="290">
        <v>0</v>
      </c>
      <c r="CM26" s="290"/>
      <c r="CN26" s="290"/>
      <c r="CO26" s="290"/>
      <c r="CP26" s="321">
        <f t="shared" si="31"/>
        <v>0</v>
      </c>
      <c r="CQ26" s="333">
        <f t="shared" si="32"/>
        <v>0</v>
      </c>
      <c r="CR26" s="333">
        <f t="shared" si="33"/>
        <v>0.33333333333333337</v>
      </c>
      <c r="CS26" s="333">
        <f t="shared" si="34"/>
        <v>0.3666666666666667</v>
      </c>
      <c r="CT26" s="333">
        <f t="shared" si="35"/>
        <v>0.4</v>
      </c>
      <c r="CU26" s="333">
        <f t="shared" si="36"/>
        <v>0.43333333333333335</v>
      </c>
      <c r="CV26" s="333">
        <f t="shared" si="37"/>
        <v>0.46666666666666667</v>
      </c>
      <c r="CW26" s="333">
        <f t="shared" si="38"/>
        <v>0.5</v>
      </c>
      <c r="CX26" s="333">
        <f t="shared" si="39"/>
        <v>0.53333333333333333</v>
      </c>
      <c r="CY26" s="333">
        <f t="shared" si="40"/>
        <v>0.56666666666666665</v>
      </c>
      <c r="CZ26" s="333">
        <f t="shared" si="41"/>
        <v>0.6</v>
      </c>
      <c r="DA26" s="333">
        <f t="shared" si="42"/>
        <v>0.6333333333333333</v>
      </c>
      <c r="DB26" s="333">
        <f t="shared" si="43"/>
        <v>0.66666666666666674</v>
      </c>
      <c r="DC26" s="333">
        <f t="shared" si="44"/>
        <v>0.7</v>
      </c>
      <c r="DD26" s="333">
        <f t="shared" si="45"/>
        <v>0.73333333333333339</v>
      </c>
      <c r="DE26" s="333">
        <f t="shared" si="46"/>
        <v>0.50412407916239776</v>
      </c>
      <c r="DF26" s="333">
        <f t="shared" si="47"/>
        <v>0.76666666666666661</v>
      </c>
      <c r="DG26" s="333">
        <f t="shared" si="48"/>
        <v>0.8</v>
      </c>
      <c r="DH26" s="333">
        <f t="shared" si="49"/>
        <v>0.83333333333333337</v>
      </c>
      <c r="DI26" s="333">
        <f t="shared" si="50"/>
        <v>0.8666666666666667</v>
      </c>
      <c r="DJ26" s="333">
        <f t="shared" si="51"/>
        <v>0.9</v>
      </c>
      <c r="DK26" s="333">
        <f t="shared" si="52"/>
        <v>0.93333333333333335</v>
      </c>
      <c r="DL26" s="333">
        <f t="shared" si="53"/>
        <v>0.96666666666666667</v>
      </c>
      <c r="DM26" s="333">
        <f t="shared" si="54"/>
        <v>1</v>
      </c>
      <c r="DN26" s="334">
        <f t="shared" si="29"/>
        <v>2503042.5259680757</v>
      </c>
      <c r="DO26" s="334">
        <f t="shared" si="30"/>
        <v>0</v>
      </c>
      <c r="DP26" s="334">
        <f t="shared" si="55"/>
        <v>0</v>
      </c>
    </row>
    <row r="27" spans="1:120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290">
        <v>0</v>
      </c>
      <c r="CI27" s="290">
        <v>0</v>
      </c>
      <c r="CJ27" s="290"/>
      <c r="CK27" s="290"/>
      <c r="CL27" s="290">
        <v>0</v>
      </c>
      <c r="CM27" s="290"/>
      <c r="CN27" s="290"/>
      <c r="CO27" s="290"/>
      <c r="CP27" s="321">
        <f t="shared" si="31"/>
        <v>0</v>
      </c>
      <c r="CQ27" s="333">
        <f t="shared" si="32"/>
        <v>0</v>
      </c>
      <c r="CR27" s="333">
        <f t="shared" si="33"/>
        <v>0.33333333333333337</v>
      </c>
      <c r="CS27" s="333">
        <f t="shared" si="34"/>
        <v>0.3666666666666667</v>
      </c>
      <c r="CT27" s="333">
        <f t="shared" si="35"/>
        <v>0.4</v>
      </c>
      <c r="CU27" s="333">
        <f t="shared" si="36"/>
        <v>0.43333333333333335</v>
      </c>
      <c r="CV27" s="333">
        <f t="shared" si="37"/>
        <v>0.46666666666666667</v>
      </c>
      <c r="CW27" s="333">
        <f t="shared" si="38"/>
        <v>0.5</v>
      </c>
      <c r="CX27" s="333">
        <f t="shared" si="39"/>
        <v>0.53333333333333333</v>
      </c>
      <c r="CY27" s="333">
        <f t="shared" si="40"/>
        <v>0.56666666666666665</v>
      </c>
      <c r="CZ27" s="333">
        <f t="shared" si="41"/>
        <v>0.6</v>
      </c>
      <c r="DA27" s="333">
        <f t="shared" si="42"/>
        <v>0.6333333333333333</v>
      </c>
      <c r="DB27" s="333">
        <f t="shared" si="43"/>
        <v>0.66666666666666674</v>
      </c>
      <c r="DC27" s="333">
        <f t="shared" si="44"/>
        <v>0.7</v>
      </c>
      <c r="DD27" s="333">
        <f t="shared" si="45"/>
        <v>0.73333333333333339</v>
      </c>
      <c r="DE27" s="333">
        <f t="shared" si="46"/>
        <v>0</v>
      </c>
      <c r="DF27" s="333">
        <f t="shared" si="47"/>
        <v>0.76666666666666661</v>
      </c>
      <c r="DG27" s="333">
        <f t="shared" si="48"/>
        <v>0.8</v>
      </c>
      <c r="DH27" s="333">
        <f t="shared" si="49"/>
        <v>0.83333333333333337</v>
      </c>
      <c r="DI27" s="333">
        <f t="shared" si="50"/>
        <v>0.8666666666666667</v>
      </c>
      <c r="DJ27" s="333">
        <f t="shared" si="51"/>
        <v>0.9</v>
      </c>
      <c r="DK27" s="333">
        <f t="shared" si="52"/>
        <v>0.93333333333333335</v>
      </c>
      <c r="DL27" s="333">
        <f t="shared" si="53"/>
        <v>0.96666666666666667</v>
      </c>
      <c r="DM27" s="333">
        <f t="shared" si="54"/>
        <v>1</v>
      </c>
      <c r="DN27" s="334">
        <f t="shared" si="29"/>
        <v>0</v>
      </c>
      <c r="DO27" s="334">
        <f t="shared" si="30"/>
        <v>0</v>
      </c>
      <c r="DP27" s="334">
        <f t="shared" si="55"/>
        <v>0</v>
      </c>
    </row>
    <row r="28" spans="1:120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290">
        <v>0</v>
      </c>
      <c r="CI28" s="290">
        <v>0</v>
      </c>
      <c r="CJ28" s="290"/>
      <c r="CK28" s="290"/>
      <c r="CL28" s="290">
        <v>0</v>
      </c>
      <c r="CM28" s="290"/>
      <c r="CN28" s="290"/>
      <c r="CO28" s="290"/>
      <c r="CP28" s="321">
        <f t="shared" si="31"/>
        <v>0</v>
      </c>
      <c r="CQ28" s="333">
        <f t="shared" si="32"/>
        <v>0</v>
      </c>
      <c r="CR28" s="333">
        <f t="shared" si="33"/>
        <v>0.33333333333333337</v>
      </c>
      <c r="CS28" s="333">
        <f t="shared" si="34"/>
        <v>0.3666666666666667</v>
      </c>
      <c r="CT28" s="333">
        <f t="shared" si="35"/>
        <v>0.4</v>
      </c>
      <c r="CU28" s="333">
        <f t="shared" si="36"/>
        <v>0.43333333333333335</v>
      </c>
      <c r="CV28" s="333">
        <f t="shared" si="37"/>
        <v>0.46666666666666667</v>
      </c>
      <c r="CW28" s="333">
        <f t="shared" si="38"/>
        <v>0.5</v>
      </c>
      <c r="CX28" s="333">
        <f t="shared" si="39"/>
        <v>0.53333333333333333</v>
      </c>
      <c r="CY28" s="333">
        <f t="shared" si="40"/>
        <v>0.56666666666666665</v>
      </c>
      <c r="CZ28" s="333">
        <f t="shared" si="41"/>
        <v>0.6</v>
      </c>
      <c r="DA28" s="333">
        <f t="shared" si="42"/>
        <v>0.6333333333333333</v>
      </c>
      <c r="DB28" s="333">
        <f t="shared" si="43"/>
        <v>0.66666666666666674</v>
      </c>
      <c r="DC28" s="333">
        <f t="shared" si="44"/>
        <v>0.7</v>
      </c>
      <c r="DD28" s="333">
        <f t="shared" si="45"/>
        <v>0.73333333333333339</v>
      </c>
      <c r="DE28" s="333">
        <f t="shared" si="46"/>
        <v>0</v>
      </c>
      <c r="DF28" s="333">
        <f t="shared" si="47"/>
        <v>0.76666666666666661</v>
      </c>
      <c r="DG28" s="333">
        <f t="shared" si="48"/>
        <v>0.8</v>
      </c>
      <c r="DH28" s="333">
        <f t="shared" si="49"/>
        <v>0.83333333333333337</v>
      </c>
      <c r="DI28" s="333">
        <f t="shared" si="50"/>
        <v>0.8666666666666667</v>
      </c>
      <c r="DJ28" s="333">
        <f t="shared" si="51"/>
        <v>0.9</v>
      </c>
      <c r="DK28" s="333">
        <f t="shared" si="52"/>
        <v>0.93333333333333335</v>
      </c>
      <c r="DL28" s="333">
        <f t="shared" si="53"/>
        <v>0.96666666666666667</v>
      </c>
      <c r="DM28" s="333">
        <f t="shared" si="54"/>
        <v>1</v>
      </c>
      <c r="DN28" s="334">
        <f t="shared" si="29"/>
        <v>12610.54608680449</v>
      </c>
      <c r="DO28" s="334">
        <f t="shared" si="30"/>
        <v>0</v>
      </c>
      <c r="DP28" s="334">
        <f t="shared" si="55"/>
        <v>8827.3822607631428</v>
      </c>
    </row>
    <row r="29" spans="1:120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290">
        <v>2447494.7299999995</v>
      </c>
      <c r="CI29" s="290">
        <v>9332.3399969999991</v>
      </c>
      <c r="CJ29" s="290"/>
      <c r="CK29" s="290"/>
      <c r="CL29" s="290">
        <v>2423874.1799999992</v>
      </c>
      <c r="CM29" s="290"/>
      <c r="CN29" s="290"/>
      <c r="CO29" s="290"/>
      <c r="CP29" s="321">
        <f t="shared" si="31"/>
        <v>1990.0430180109104</v>
      </c>
      <c r="CQ29" s="333">
        <f t="shared" si="32"/>
        <v>0</v>
      </c>
      <c r="CR29" s="333">
        <f t="shared" si="33"/>
        <v>0.33333333333333337</v>
      </c>
      <c r="CS29" s="333">
        <f t="shared" si="34"/>
        <v>0.3666666666666667</v>
      </c>
      <c r="CT29" s="333">
        <f t="shared" si="35"/>
        <v>0.4</v>
      </c>
      <c r="CU29" s="333">
        <f t="shared" si="36"/>
        <v>0.43333333333333335</v>
      </c>
      <c r="CV29" s="333">
        <f t="shared" si="37"/>
        <v>0.46666666666666667</v>
      </c>
      <c r="CW29" s="333">
        <f t="shared" si="38"/>
        <v>0.5</v>
      </c>
      <c r="CX29" s="333">
        <f t="shared" si="39"/>
        <v>0.53333333333333333</v>
      </c>
      <c r="CY29" s="333">
        <f t="shared" si="40"/>
        <v>0.56666666666666665</v>
      </c>
      <c r="CZ29" s="333">
        <f t="shared" si="41"/>
        <v>0.6</v>
      </c>
      <c r="DA29" s="333">
        <f t="shared" si="42"/>
        <v>0.6333333333333333</v>
      </c>
      <c r="DB29" s="333">
        <f t="shared" si="43"/>
        <v>0.66666666666666674</v>
      </c>
      <c r="DC29" s="333">
        <f t="shared" si="44"/>
        <v>0.7</v>
      </c>
      <c r="DD29" s="333">
        <f t="shared" si="45"/>
        <v>0.73333333333333339</v>
      </c>
      <c r="DE29" s="333">
        <f t="shared" si="46"/>
        <v>0.50412407916239776</v>
      </c>
      <c r="DF29" s="333">
        <f t="shared" si="47"/>
        <v>0.76666666666666661</v>
      </c>
      <c r="DG29" s="333">
        <f t="shared" si="48"/>
        <v>0.8</v>
      </c>
      <c r="DH29" s="333">
        <f t="shared" si="49"/>
        <v>0.83333333333333337</v>
      </c>
      <c r="DI29" s="333">
        <f t="shared" si="50"/>
        <v>0.8666666666666667</v>
      </c>
      <c r="DJ29" s="333">
        <f t="shared" si="51"/>
        <v>0.9</v>
      </c>
      <c r="DK29" s="333">
        <f t="shared" si="52"/>
        <v>0.93333333333333335</v>
      </c>
      <c r="DL29" s="333">
        <f t="shared" si="53"/>
        <v>0.96666666666666667</v>
      </c>
      <c r="DM29" s="333">
        <f t="shared" si="54"/>
        <v>1</v>
      </c>
      <c r="DN29" s="334">
        <f t="shared" si="29"/>
        <v>27032537.063988775</v>
      </c>
      <c r="DO29" s="334">
        <f t="shared" si="30"/>
        <v>3799108.6462719133</v>
      </c>
      <c r="DP29" s="334">
        <f t="shared" si="55"/>
        <v>18295903.591944456</v>
      </c>
    </row>
    <row r="30" spans="1:120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290">
        <v>1270655.6599999995</v>
      </c>
      <c r="CI30" s="290">
        <v>21137.23675</v>
      </c>
      <c r="CJ30" s="290"/>
      <c r="CK30" s="290"/>
      <c r="CL30" s="290">
        <v>1640369.1900000006</v>
      </c>
      <c r="CM30" s="290"/>
      <c r="CN30" s="290"/>
      <c r="CO30" s="290"/>
      <c r="CP30" s="321">
        <f t="shared" si="31"/>
        <v>1990.0418779969095</v>
      </c>
      <c r="CQ30" s="333">
        <f t="shared" si="32"/>
        <v>0</v>
      </c>
      <c r="CR30" s="333">
        <f t="shared" si="33"/>
        <v>0.33333333333333337</v>
      </c>
      <c r="CS30" s="333">
        <f t="shared" si="34"/>
        <v>0.3666666666666667</v>
      </c>
      <c r="CT30" s="333">
        <f t="shared" si="35"/>
        <v>0.4</v>
      </c>
      <c r="CU30" s="333">
        <f t="shared" si="36"/>
        <v>0.43333333333333335</v>
      </c>
      <c r="CV30" s="333">
        <f t="shared" si="37"/>
        <v>0.46666666666666667</v>
      </c>
      <c r="CW30" s="333">
        <f t="shared" si="38"/>
        <v>0.5</v>
      </c>
      <c r="CX30" s="333">
        <f t="shared" si="39"/>
        <v>0.53333333333333333</v>
      </c>
      <c r="CY30" s="333">
        <f t="shared" si="40"/>
        <v>0.56666666666666665</v>
      </c>
      <c r="CZ30" s="333">
        <f t="shared" si="41"/>
        <v>0.6</v>
      </c>
      <c r="DA30" s="333">
        <f t="shared" si="42"/>
        <v>0.6333333333333333</v>
      </c>
      <c r="DB30" s="333">
        <f t="shared" si="43"/>
        <v>0.66666666666666674</v>
      </c>
      <c r="DC30" s="333">
        <f t="shared" si="44"/>
        <v>0.7</v>
      </c>
      <c r="DD30" s="333">
        <f t="shared" si="45"/>
        <v>0.73333333333333339</v>
      </c>
      <c r="DE30" s="333">
        <f t="shared" si="46"/>
        <v>0</v>
      </c>
      <c r="DF30" s="333">
        <f t="shared" si="47"/>
        <v>0.76666666666666661</v>
      </c>
      <c r="DG30" s="333">
        <f t="shared" si="48"/>
        <v>0.8</v>
      </c>
      <c r="DH30" s="333">
        <f t="shared" si="49"/>
        <v>0.83333333333333337</v>
      </c>
      <c r="DI30" s="333">
        <f t="shared" si="50"/>
        <v>0.8666666666666667</v>
      </c>
      <c r="DJ30" s="333">
        <f t="shared" si="51"/>
        <v>0.9</v>
      </c>
      <c r="DK30" s="333">
        <f t="shared" si="52"/>
        <v>0.93333333333333335</v>
      </c>
      <c r="DL30" s="333">
        <f t="shared" si="53"/>
        <v>0.96666666666666667</v>
      </c>
      <c r="DM30" s="333">
        <f t="shared" si="54"/>
        <v>1</v>
      </c>
      <c r="DN30" s="334">
        <f t="shared" si="29"/>
        <v>16793579.901786648</v>
      </c>
      <c r="DO30" s="334">
        <f t="shared" si="30"/>
        <v>3801860.6462719133</v>
      </c>
      <c r="DP30" s="334">
        <f t="shared" si="55"/>
        <v>10376725.665320722</v>
      </c>
    </row>
    <row r="31" spans="1:120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290">
        <v>226390.16000000006</v>
      </c>
      <c r="CI31" s="290">
        <v>0</v>
      </c>
      <c r="CJ31" s="290"/>
      <c r="CK31" s="290"/>
      <c r="CL31" s="290">
        <v>367558.94000000006</v>
      </c>
      <c r="CM31" s="290"/>
      <c r="CN31" s="290"/>
      <c r="CO31" s="290"/>
      <c r="CP31" s="321">
        <f t="shared" si="31"/>
        <v>0</v>
      </c>
      <c r="CQ31" s="333">
        <f t="shared" si="32"/>
        <v>0</v>
      </c>
      <c r="CR31" s="333">
        <f t="shared" si="33"/>
        <v>0.33333333333333337</v>
      </c>
      <c r="CS31" s="333">
        <f t="shared" si="34"/>
        <v>0.3666666666666667</v>
      </c>
      <c r="CT31" s="333">
        <f t="shared" si="35"/>
        <v>0.4</v>
      </c>
      <c r="CU31" s="333">
        <f t="shared" si="36"/>
        <v>0.43333333333333335</v>
      </c>
      <c r="CV31" s="333">
        <f t="shared" si="37"/>
        <v>0.46666666666666667</v>
      </c>
      <c r="CW31" s="333">
        <f t="shared" si="38"/>
        <v>0.5</v>
      </c>
      <c r="CX31" s="333">
        <f t="shared" si="39"/>
        <v>0.53333333333333333</v>
      </c>
      <c r="CY31" s="333">
        <f t="shared" si="40"/>
        <v>0.56666666666666665</v>
      </c>
      <c r="CZ31" s="333">
        <f t="shared" si="41"/>
        <v>0.6</v>
      </c>
      <c r="DA31" s="333">
        <f t="shared" si="42"/>
        <v>0.6333333333333333</v>
      </c>
      <c r="DB31" s="333">
        <f t="shared" si="43"/>
        <v>0.66666666666666674</v>
      </c>
      <c r="DC31" s="333">
        <f t="shared" si="44"/>
        <v>0.7</v>
      </c>
      <c r="DD31" s="333">
        <f t="shared" si="45"/>
        <v>0.73333333333333339</v>
      </c>
      <c r="DE31" s="333">
        <f t="shared" si="46"/>
        <v>0</v>
      </c>
      <c r="DF31" s="333">
        <f t="shared" si="47"/>
        <v>0.76666666666666661</v>
      </c>
      <c r="DG31" s="333">
        <f t="shared" si="48"/>
        <v>0.8</v>
      </c>
      <c r="DH31" s="333">
        <f t="shared" si="49"/>
        <v>0.83333333333333337</v>
      </c>
      <c r="DI31" s="333">
        <f t="shared" si="50"/>
        <v>0.8666666666666667</v>
      </c>
      <c r="DJ31" s="333">
        <f t="shared" si="51"/>
        <v>0.9</v>
      </c>
      <c r="DK31" s="333">
        <f t="shared" si="52"/>
        <v>0.93333333333333335</v>
      </c>
      <c r="DL31" s="333">
        <f t="shared" si="53"/>
        <v>0.96666666666666667</v>
      </c>
      <c r="DM31" s="333">
        <f t="shared" si="54"/>
        <v>1</v>
      </c>
      <c r="DN31" s="334">
        <f t="shared" si="29"/>
        <v>1877893.5188771212</v>
      </c>
      <c r="DO31" s="334">
        <f t="shared" si="30"/>
        <v>0</v>
      </c>
      <c r="DP31" s="334">
        <f t="shared" si="55"/>
        <v>1662363.4512868167</v>
      </c>
    </row>
    <row r="32" spans="1:120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>
        <v>0</v>
      </c>
      <c r="CJ32" s="290"/>
      <c r="CK32" s="290"/>
      <c r="CL32" s="290">
        <v>0</v>
      </c>
      <c r="CM32" s="290"/>
      <c r="CN32" s="290"/>
      <c r="CO32" s="290"/>
      <c r="CP32" s="333"/>
      <c r="CQ32" s="333"/>
      <c r="CR32" s="333"/>
      <c r="CS32" s="333"/>
      <c r="CT32" s="333"/>
      <c r="CU32" s="333"/>
      <c r="CV32" s="333"/>
      <c r="CW32" s="333"/>
      <c r="CX32" s="333"/>
      <c r="CY32" s="333"/>
      <c r="CZ32" s="333"/>
      <c r="DA32" s="333"/>
      <c r="DB32" s="333"/>
      <c r="DC32" s="333"/>
      <c r="DD32" s="333"/>
      <c r="DE32" s="333"/>
      <c r="DF32" s="333"/>
      <c r="DG32" s="333"/>
      <c r="DH32" s="333"/>
      <c r="DI32" s="333"/>
      <c r="DJ32" s="333"/>
      <c r="DK32" s="333"/>
      <c r="DL32" s="333"/>
      <c r="DM32" s="333"/>
      <c r="DN32" s="334">
        <f t="shared" si="29"/>
        <v>0</v>
      </c>
      <c r="DO32" s="334">
        <f t="shared" si="30"/>
        <v>0</v>
      </c>
      <c r="DP32" s="334"/>
    </row>
    <row r="33" spans="1:120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290">
        <v>3914894.2299999944</v>
      </c>
      <c r="CI33" s="290">
        <v>35647.347027299998</v>
      </c>
      <c r="CJ33" s="290"/>
      <c r="CK33" s="290"/>
      <c r="CL33" s="290">
        <v>4296729.32</v>
      </c>
      <c r="CM33" s="290"/>
      <c r="CN33" s="290"/>
      <c r="CO33" s="290"/>
      <c r="CP33" s="321">
        <f>IF(D33=0,0,2001-(D33-F33)*C33/D33)</f>
        <v>0</v>
      </c>
      <c r="CQ33" s="333">
        <f>IF((1-($DN$2-$CP33)/$C33)&gt;0,(1-($DN$2-$CP33)/$C33),0)</f>
        <v>0</v>
      </c>
      <c r="CR33" s="333">
        <f>IF((1-($DN$2-G$2)/$C33)&gt;0,(1-($DN$2-G$2)/$C33),0)</f>
        <v>0.33333333333333337</v>
      </c>
      <c r="CS33" s="333">
        <f>IF((1-($DN$2-K$2)/$C33)&gt;0,(1-($DN$2-K$2)/$C33),0)</f>
        <v>0.3666666666666667</v>
      </c>
      <c r="CT33" s="333">
        <f>IF((1-($DN$2-O$2)/$C33)&gt;0,(1-($DN$2-O$2)/$C33),0)</f>
        <v>0.4</v>
      </c>
      <c r="CU33" s="333">
        <f>IF((1-($DN$2-S$2)/$C33)&gt;0,(1-($DN$2-S$2)/$C33),0)</f>
        <v>0.43333333333333335</v>
      </c>
      <c r="CV33" s="333">
        <f>IF((1-($DN$2-W$2)/$C33)&gt;0,(1-($DN$2-W$2)/$C33),0)</f>
        <v>0.46666666666666667</v>
      </c>
      <c r="CW33" s="333">
        <f>IF((1-($DN$2-AA$2)/$C33)&gt;0,(1-($DN$2-AA$2)/$C33),0)</f>
        <v>0.5</v>
      </c>
      <c r="CX33" s="333">
        <f>IF((1-($DN$2-AE$2)/$C33)&gt;0,(1-($DN$2-AE$2)/$C33),0)</f>
        <v>0.53333333333333333</v>
      </c>
      <c r="CY33" s="333">
        <f>IF((1-($DN$2-AI$2)/$C33)&gt;0,(1-($DN$2-AI$2)/$C33),0)</f>
        <v>0.56666666666666665</v>
      </c>
      <c r="CZ33" s="333">
        <f>IF((1-($DN$2-AM$2)/$C33)&gt;0,(1-($DN$2-AM$2)/$C33),0)</f>
        <v>0.6</v>
      </c>
      <c r="DA33" s="333">
        <f>IF((1-($DN$2-AQ$2)/$C33)&gt;0,(1-($DN$2-AQ$2)/$C33),0)</f>
        <v>0.6333333333333333</v>
      </c>
      <c r="DB33" s="333">
        <f>IF((1-($DN$2-AU$2)/$C33)&gt;0,(1-($DN$2-AU$2)/$C33),0)</f>
        <v>0.66666666666666674</v>
      </c>
      <c r="DC33" s="333">
        <f>IF((1-($DN$2-AY$2)/$C33)&gt;0,(1-($DN$2-AY$2)/$C33),0)</f>
        <v>0.7</v>
      </c>
      <c r="DD33" s="333">
        <f>IF((1-($DN$2-BC$2)/$C33)&gt;0,(1-($DN$2-BC$2)/$C33),0)</f>
        <v>0.73333333333333339</v>
      </c>
      <c r="DE33" s="333">
        <f>IF(BG33=0,0,1-($DN$2-(2014.5-(BG33-BI33)*C33/BG33))/C33)</f>
        <v>0.50412407916239776</v>
      </c>
      <c r="DF33" s="333">
        <f>IF((1-($DN$2-BJ$2)/$C33)&gt;0,(1-($DN$2-BJ$2)/$C33),0)</f>
        <v>0.76666666666666661</v>
      </c>
      <c r="DG33" s="333">
        <f>IF((1-($DN$2-BN$2)/$C33)&gt;0,(1-($DN$2-BN$2)/$C33),0)</f>
        <v>0.8</v>
      </c>
      <c r="DH33" s="333">
        <f>IF((1-($DN$2-BR$2)/$C33)&gt;0,(1-($DN$2-BR$2)/$C33),0)</f>
        <v>0.83333333333333337</v>
      </c>
      <c r="DI33" s="333">
        <f>IF((1-($DN$2-BV$2)/$C33)&gt;0,(1-($DN$2-BV$2)/$C33),0)</f>
        <v>0.8666666666666667</v>
      </c>
      <c r="DJ33" s="333">
        <f>IF((1-($DN$2-BZ$2)/$C33)&gt;0,(1-($DN$2-BZ$2)/$C33),0)</f>
        <v>0.9</v>
      </c>
      <c r="DK33" s="333">
        <f>IF((1-($DN$2-CD$2)/$C33)&gt;0,(1-($DN$2-CD$2)/$C33),0)</f>
        <v>0.93333333333333335</v>
      </c>
      <c r="DL33" s="333">
        <f>IF((1-($DN$2-CH$2)/$C33)&gt;0,(1-($DN$2-CH$2)/$C33),0)</f>
        <v>0.96666666666666667</v>
      </c>
      <c r="DM33" s="333">
        <f>IF((1-($DN$2-CL$2)/$C33)&gt;0,(1-($DN$2-CL$2)/$C33),0)</f>
        <v>1</v>
      </c>
      <c r="DN33" s="334">
        <f t="shared" si="29"/>
        <v>30139008.052787691</v>
      </c>
      <c r="DO33" s="334">
        <f t="shared" si="30"/>
        <v>0</v>
      </c>
      <c r="DP33" s="334">
        <f>(D33-E33)*CQ33+((G33-H33-(I33-J33))*G$61)*CR33+((K33-L33-(M33-N33))*K$61)*CS33+((O33-P33-(Q33-R33))*O$61)*CT33+((S33-T33-(U33-V33))*S$61)*CU33+((W33-X33-(Y33-Z33))*W$61)*CV33+((AA33-AB33-(AC33-AD33))*AA$61)*CW33+((AE33-AF33-(AG33-AH33))*AE$61)*CX33+((AI33-AJ33-(AK33-AL33))*AI$61)*CY33+((AM33-AN33-(AO33-AP33))*$AM$61)*CZ33+((AQ33-AR33-(AS33-AT33))*$AQ$61)*DA33+((AU33-AV33-(AW33-AX33))*$AU$61)*DB33+((AY33-AZ33-(BA33-BB33))*$AY$61)*DC33+((BC33-BD33-(BE33-BF33))*$BC$61)*DD33+((BJ33-BK33-(BL33-BM33))*$BJ$61)*DF33+(BG33-BH33)*DE33+((BN33-BO33-(BP33-BQ33))*$BN$61)*DG33+((BR33-BS33-(BT33-BU33))*$BR$61)*DH33+((BV33-BW33-(BX33-BY33))*$BV$61)*DI33+((BZ33-CA33-(CB33-CC33))*$BZ$61)*DJ33+((CD33-CE33-(CF33-CG33))*$CD$61)*DK33+((CH33-CI33-(CJ33-CK33))*$CH$61*DL33)+((CL33-CM33-(CN33-CO33))*$CL$61*DM33)</f>
        <v>23199213.595550541</v>
      </c>
    </row>
    <row r="34" spans="1:120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290">
        <v>565782.81999999995</v>
      </c>
      <c r="CI34" s="290">
        <v>10213.723609999999</v>
      </c>
      <c r="CJ34" s="290"/>
      <c r="CK34" s="290"/>
      <c r="CL34" s="290">
        <v>1055983.78</v>
      </c>
      <c r="CM34" s="290"/>
      <c r="CN34" s="290"/>
      <c r="CO34" s="290"/>
      <c r="CP34" s="321">
        <f>IF(D34=0,0,2001-(D34-F34)*C34/D34)</f>
        <v>0</v>
      </c>
      <c r="CQ34" s="333">
        <f>IF((1-($DN$2-$CP34)/$C34)&gt;0,(1-($DN$2-$CP34)/$C34),0)</f>
        <v>0</v>
      </c>
      <c r="CR34" s="333">
        <f>IF((1-($DN$2-G$2)/$C34)&gt;0,(1-($DN$2-G$2)/$C34),0)</f>
        <v>0.33333333333333337</v>
      </c>
      <c r="CS34" s="333">
        <f>IF((1-($DN$2-K$2)/$C34)&gt;0,(1-($DN$2-K$2)/$C34),0)</f>
        <v>0.3666666666666667</v>
      </c>
      <c r="CT34" s="333">
        <f>IF((1-($DN$2-O$2)/$C34)&gt;0,(1-($DN$2-O$2)/$C34),0)</f>
        <v>0.4</v>
      </c>
      <c r="CU34" s="333">
        <f>IF((1-($DN$2-S$2)/$C34)&gt;0,(1-($DN$2-S$2)/$C34),0)</f>
        <v>0.43333333333333335</v>
      </c>
      <c r="CV34" s="333">
        <f>IF((1-($DN$2-W$2)/$C34)&gt;0,(1-($DN$2-W$2)/$C34),0)</f>
        <v>0.46666666666666667</v>
      </c>
      <c r="CW34" s="333">
        <f>IF((1-($DN$2-AA$2)/$C34)&gt;0,(1-($DN$2-AA$2)/$C34),0)</f>
        <v>0.5</v>
      </c>
      <c r="CX34" s="333">
        <f>IF((1-($DN$2-AE$2)/$C34)&gt;0,(1-($DN$2-AE$2)/$C34),0)</f>
        <v>0.53333333333333333</v>
      </c>
      <c r="CY34" s="333">
        <f>IF((1-($DN$2-AI$2)/$C34)&gt;0,(1-($DN$2-AI$2)/$C34),0)</f>
        <v>0.56666666666666665</v>
      </c>
      <c r="CZ34" s="333">
        <f>IF((1-($DN$2-AM$2)/$C34)&gt;0,(1-($DN$2-AM$2)/$C34),0)</f>
        <v>0.6</v>
      </c>
      <c r="DA34" s="333">
        <f>IF((1-($DN$2-AQ$2)/$C34)&gt;0,(1-($DN$2-AQ$2)/$C34),0)</f>
        <v>0.6333333333333333</v>
      </c>
      <c r="DB34" s="333">
        <f>IF((1-($DN$2-AU$2)/$C34)&gt;0,(1-($DN$2-AU$2)/$C34),0)</f>
        <v>0.66666666666666674</v>
      </c>
      <c r="DC34" s="333">
        <f>IF((1-($DN$2-AY$2)/$C34)&gt;0,(1-($DN$2-AY$2)/$C34),0)</f>
        <v>0.7</v>
      </c>
      <c r="DD34" s="333">
        <f>IF((1-($DN$2-BC$2)/$C34)&gt;0,(1-($DN$2-BC$2)/$C34),0)</f>
        <v>0.73333333333333339</v>
      </c>
      <c r="DE34" s="333">
        <f>IF(BG34=0,0,1-($DN$2-(2014.5-(BG34-BI34)*C34/BG34))/C34)</f>
        <v>0</v>
      </c>
      <c r="DF34" s="333">
        <f>IF((1-($DN$2-BJ$2)/$C34)&gt;0,(1-($DN$2-BJ$2)/$C34),0)</f>
        <v>0.76666666666666661</v>
      </c>
      <c r="DG34" s="333">
        <f>IF((1-($DN$2-BN$2)/$C34)&gt;0,(1-($DN$2-BN$2)/$C34),0)</f>
        <v>0.8</v>
      </c>
      <c r="DH34" s="333">
        <f>IF((1-($DN$2-BR$2)/$C34)&gt;0,(1-($DN$2-BR$2)/$C34),0)</f>
        <v>0.83333333333333337</v>
      </c>
      <c r="DI34" s="333">
        <f>IF((1-($DN$2-BV$2)/$C34)&gt;0,(1-($DN$2-BV$2)/$C34),0)</f>
        <v>0.8666666666666667</v>
      </c>
      <c r="DJ34" s="333">
        <f>IF((1-($DN$2-BZ$2)/$C34)&gt;0,(1-($DN$2-BZ$2)/$C34),0)</f>
        <v>0.9</v>
      </c>
      <c r="DK34" s="333">
        <f>IF((1-($DN$2-CD$2)/$C34)&gt;0,(1-($DN$2-CD$2)/$C34),0)</f>
        <v>0.93333333333333335</v>
      </c>
      <c r="DL34" s="333">
        <f>IF((1-($DN$2-CH$2)/$C34)&gt;0,(1-($DN$2-CH$2)/$C34),0)</f>
        <v>0.96666666666666667</v>
      </c>
      <c r="DM34" s="333">
        <f>IF((1-($DN$2-CL$2)/$C34)&gt;0,(1-($DN$2-CL$2)/$C34),0)</f>
        <v>1</v>
      </c>
      <c r="DN34" s="334">
        <f t="shared" si="29"/>
        <v>8921122.5650470667</v>
      </c>
      <c r="DO34" s="334">
        <f t="shared" si="30"/>
        <v>0</v>
      </c>
      <c r="DP34" s="334">
        <f>(D34-E34)*CQ34+((G34-H34-(I34-J34))*G$61)*CR34+((K34-L34-(M34-N34))*K$61)*CS34+((O34-P34-(Q34-R34))*O$61)*CT34+((S34-T34-(U34-V34))*S$61)*CU34+((W34-X34-(Y34-Z34))*W$61)*CV34+((AA34-AB34-(AC34-AD34))*AA$61)*CW34+((AE34-AF34-(AG34-AH34))*AE$61)*CX34+((AI34-AJ34-(AK34-AL34))*AI$61)*CY34+((AM34-AN34-(AO34-AP34))*$AM$61)*CZ34+((AQ34-AR34-(AS34-AT34))*$AQ$61)*DA34+((AU34-AV34-(AW34-AX34))*$AU$61)*DB34+((AY34-AZ34-(BA34-BB34))*$AY$61)*DC34+((BC34-BD34-(BE34-BF34))*$BC$61)*DD34+((BJ34-BK34-(BL34-BM34))*$BJ$61)*DF34+(BG34-BH34)*DE34+((BN34-BO34-(BP34-BQ34))*$BN$61)*DG34+((BR34-BS34-(BT34-BU34))*$BR$61)*DH34+((BV34-BW34-(BX34-BY34))*$BV$61)*DI34+((BZ34-CA34-(CB34-CC34))*$BZ$61)*DJ34+((CD34-CE34-(CF34-CG34))*$CD$61)*DK34+((CH34-CI34-(CJ34-CK34))*$CH$61*DL34)+((CL34-CM34-(CN34-CO34))*$CL$61*DM34)</f>
        <v>7549611.0151149128</v>
      </c>
    </row>
    <row r="35" spans="1:120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290">
        <v>295989.71999999997</v>
      </c>
      <c r="CI35" s="290">
        <v>0</v>
      </c>
      <c r="CJ35" s="290"/>
      <c r="CK35" s="290"/>
      <c r="CL35" s="290">
        <v>277530.59999999998</v>
      </c>
      <c r="CM35" s="290"/>
      <c r="CN35" s="290"/>
      <c r="CO35" s="290"/>
      <c r="CP35" s="321">
        <f>IF(D35=0,0,2001-(D35-F35)*C35/D35)</f>
        <v>1991.607642802117</v>
      </c>
      <c r="CQ35" s="333">
        <f>IF((1-($DN$2-$CP35)/$C35)&gt;0,(1-($DN$2-$CP35)/$C35),0)</f>
        <v>0</v>
      </c>
      <c r="CR35" s="333">
        <f>IF((1-($DN$2-G$2)/$C35)&gt;0,(1-($DN$2-G$2)/$C35),0)</f>
        <v>0.33333333333333337</v>
      </c>
      <c r="CS35" s="333">
        <f>IF((1-($DN$2-K$2)/$C35)&gt;0,(1-($DN$2-K$2)/$C35),0)</f>
        <v>0.3666666666666667</v>
      </c>
      <c r="CT35" s="333">
        <f>IF((1-($DN$2-O$2)/$C35)&gt;0,(1-($DN$2-O$2)/$C35),0)</f>
        <v>0.4</v>
      </c>
      <c r="CU35" s="333">
        <f>IF((1-($DN$2-S$2)/$C35)&gt;0,(1-($DN$2-S$2)/$C35),0)</f>
        <v>0.43333333333333335</v>
      </c>
      <c r="CV35" s="333">
        <f>IF((1-($DN$2-W$2)/$C35)&gt;0,(1-($DN$2-W$2)/$C35),0)</f>
        <v>0.46666666666666667</v>
      </c>
      <c r="CW35" s="333">
        <f>IF((1-($DN$2-AA$2)/$C35)&gt;0,(1-($DN$2-AA$2)/$C35),0)</f>
        <v>0.5</v>
      </c>
      <c r="CX35" s="333">
        <f>IF((1-($DN$2-AE$2)/$C35)&gt;0,(1-($DN$2-AE$2)/$C35),0)</f>
        <v>0.53333333333333333</v>
      </c>
      <c r="CY35" s="333">
        <f>IF((1-($DN$2-AI$2)/$C35)&gt;0,(1-($DN$2-AI$2)/$C35),0)</f>
        <v>0.56666666666666665</v>
      </c>
      <c r="CZ35" s="333">
        <f>IF((1-($DN$2-AM$2)/$C35)&gt;0,(1-($DN$2-AM$2)/$C35),0)</f>
        <v>0.6</v>
      </c>
      <c r="DA35" s="333">
        <f>IF((1-($DN$2-AQ$2)/$C35)&gt;0,(1-($DN$2-AQ$2)/$C35),0)</f>
        <v>0.6333333333333333</v>
      </c>
      <c r="DB35" s="333">
        <f>IF((1-($DN$2-AU$2)/$C35)&gt;0,(1-($DN$2-AU$2)/$C35),0)</f>
        <v>0.66666666666666674</v>
      </c>
      <c r="DC35" s="333">
        <f>IF((1-($DN$2-AY$2)/$C35)&gt;0,(1-($DN$2-AY$2)/$C35),0)</f>
        <v>0.7</v>
      </c>
      <c r="DD35" s="333">
        <f>IF((1-($DN$2-BC$2)/$C35)&gt;0,(1-($DN$2-BC$2)/$C35),0)</f>
        <v>0.73333333333333339</v>
      </c>
      <c r="DE35" s="333">
        <f>IF(BG35=0,0,1-($DN$2-(2014.5-(BG35-BI35)*C35/BG35))/C35)</f>
        <v>0.50412407916239776</v>
      </c>
      <c r="DF35" s="333">
        <f>IF((1-($DN$2-BJ$2)/$C35)&gt;0,(1-($DN$2-BJ$2)/$C35),0)</f>
        <v>0.76666666666666661</v>
      </c>
      <c r="DG35" s="333">
        <f>IF((1-($DN$2-BN$2)/$C35)&gt;0,(1-($DN$2-BN$2)/$C35),0)</f>
        <v>0.8</v>
      </c>
      <c r="DH35" s="333">
        <f>IF((1-($DN$2-BR$2)/$C35)&gt;0,(1-($DN$2-BR$2)/$C35),0)</f>
        <v>0.83333333333333337</v>
      </c>
      <c r="DI35" s="333">
        <f>IF((1-($DN$2-BV$2)/$C35)&gt;0,(1-($DN$2-BV$2)/$C35),0)</f>
        <v>0.8666666666666667</v>
      </c>
      <c r="DJ35" s="333">
        <f>IF((1-($DN$2-BZ$2)/$C35)&gt;0,(1-($DN$2-BZ$2)/$C35),0)</f>
        <v>0.9</v>
      </c>
      <c r="DK35" s="333">
        <f>IF((1-($DN$2-CD$2)/$C35)&gt;0,(1-($DN$2-CD$2)/$C35),0)</f>
        <v>0.93333333333333335</v>
      </c>
      <c r="DL35" s="333">
        <f>IF((1-($DN$2-CH$2)/$C35)&gt;0,(1-($DN$2-CH$2)/$C35),0)</f>
        <v>0.96666666666666667</v>
      </c>
      <c r="DM35" s="333">
        <f>IF((1-($DN$2-CL$2)/$C35)&gt;0,(1-($DN$2-CL$2)/$C35),0)</f>
        <v>1</v>
      </c>
      <c r="DN35" s="334">
        <f t="shared" si="29"/>
        <v>14927926.516890263</v>
      </c>
      <c r="DO35" s="334">
        <f t="shared" si="30"/>
        <v>10109999.26940603</v>
      </c>
      <c r="DP35" s="334">
        <f>(D35-E35)*CQ35+((G35-H35-(I35-J35))*G$61)*CR35+((K35-L35-(M35-N35))*K$61)*CS35+((O35-P35-(Q35-R35))*O$61)*CT35+((S35-T35-(U35-V35))*S$61)*CU35+((W35-X35-(Y35-Z35))*W$61)*CV35+((AA35-AB35-(AC35-AD35))*AA$61)*CW35+((AE35-AF35-(AG35-AH35))*AE$61)*CX35+((AI35-AJ35-(AK35-AL35))*AI$61)*CY35+((AM35-AN35-(AO35-AP35))*$AM$61)*CZ35+((AQ35-AR35-(AS35-AT35))*$AQ$61)*DA35+((AU35-AV35-(AW35-AX35))*$AU$61)*DB35+((AY35-AZ35-(BA35-BB35))*$AY$61)*DC35+((BC35-BD35-(BE35-BF35))*$BC$61)*DD35+((BJ35-BK35-(BL35-BM35))*$BJ$61)*DF35+(BG35-BH35)*DE35+((BN35-BO35-(BP35-BQ35))*$BN$61)*DG35+((BR35-BS35-(BT35-BU35))*$BR$61)*DH35+((BV35-BW35-(BX35-BY35))*$BV$61)*DI35+((BZ35-CA35-(CB35-CC35))*$BZ$61)*DJ35+((CD35-CE35-(CF35-CG35))*$CD$61)*DK35+((CH35-CI35-(CJ35-CK35))*$CH$61*DL35)+((CL35-CM35-(CN35-CO35))*$CL$61*DM35)</f>
        <v>3224164.2285448164</v>
      </c>
    </row>
    <row r="36" spans="1:120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>
        <v>0</v>
      </c>
      <c r="CJ36" s="290"/>
      <c r="CK36" s="290"/>
      <c r="CL36" s="290">
        <v>0</v>
      </c>
      <c r="CM36" s="290"/>
      <c r="CN36" s="290"/>
      <c r="CO36" s="290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4">
        <f t="shared" si="29"/>
        <v>0</v>
      </c>
      <c r="DO36" s="334">
        <f t="shared" si="30"/>
        <v>0</v>
      </c>
      <c r="DP36" s="334"/>
    </row>
    <row r="37" spans="1:120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290">
        <v>0</v>
      </c>
      <c r="CI37" s="290">
        <v>0</v>
      </c>
      <c r="CJ37" s="290"/>
      <c r="CK37" s="290"/>
      <c r="CL37" s="290">
        <v>0</v>
      </c>
      <c r="CM37" s="290"/>
      <c r="CN37" s="290"/>
      <c r="CO37" s="290"/>
      <c r="CP37" s="321">
        <f t="shared" ref="CP37:CP44" si="56">IF(D37=0,0,2001-(D37-F37)*C37/D37)</f>
        <v>0</v>
      </c>
      <c r="CQ37" s="333">
        <f t="shared" ref="CQ37:CQ44" si="57">IF((1-($DN$2-$CP37)/$C37)&gt;0,(1-($DN$2-$CP37)/$C37),0)</f>
        <v>0</v>
      </c>
      <c r="CR37" s="333">
        <f t="shared" ref="CR37:CR44" si="58">IF((1-($DN$2-G$2)/$C37)&gt;0,(1-($DN$2-G$2)/$C37),0)</f>
        <v>0</v>
      </c>
      <c r="CS37" s="333">
        <f t="shared" ref="CS37:CS44" si="59">IF((1-($DN$2-K$2)/$C37)&gt;0,(1-($DN$2-K$2)/$C37),0)</f>
        <v>0</v>
      </c>
      <c r="CT37" s="333">
        <f t="shared" ref="CT37:CT44" si="60">IF((1-($DN$2-O$2)/$C37)&gt;0,(1-($DN$2-O$2)/$C37),0)</f>
        <v>0</v>
      </c>
      <c r="CU37" s="333">
        <f t="shared" ref="CU37:CU44" si="61">IF((1-($DN$2-S$2)/$C37)&gt;0,(1-($DN$2-S$2)/$C37),0)</f>
        <v>0</v>
      </c>
      <c r="CV37" s="333">
        <f t="shared" ref="CV37:CV44" si="62">IF((1-($DN$2-W$2)/$C37)&gt;0,(1-($DN$2-W$2)/$C37),0)</f>
        <v>0</v>
      </c>
      <c r="CW37" s="333">
        <f t="shared" ref="CW37:CW44" si="63">IF((1-($DN$2-AA$2)/$C37)&gt;0,(1-($DN$2-AA$2)/$C37),0)</f>
        <v>0</v>
      </c>
      <c r="CX37" s="333">
        <f t="shared" ref="CX37:CX44" si="64">IF((1-($DN$2-AE$2)/$C37)&gt;0,(1-($DN$2-AE$2)/$C37),0)</f>
        <v>0</v>
      </c>
      <c r="CY37" s="333">
        <f t="shared" ref="CY37:CY44" si="65">IF((1-($DN$2-AI$2)/$C37)&gt;0,(1-($DN$2-AI$2)/$C37),0)</f>
        <v>0</v>
      </c>
      <c r="CZ37" s="333">
        <f t="shared" ref="CZ37:CZ44" si="66">IF((1-($DN$2-AM$2)/$C37)&gt;0,(1-($DN$2-AM$2)/$C37),0)</f>
        <v>0</v>
      </c>
      <c r="DA37" s="333">
        <f t="shared" ref="DA37:DA44" si="67">IF((1-($DN$2-AQ$2)/$C37)&gt;0,(1-($DN$2-AQ$2)/$C37),0)</f>
        <v>0</v>
      </c>
      <c r="DB37" s="333">
        <f t="shared" ref="DB37:DB44" si="68">IF((1-($DN$2-AU$2)/$C37)&gt;0,(1-($DN$2-AU$2)/$C37),0)</f>
        <v>0</v>
      </c>
      <c r="DC37" s="333">
        <f t="shared" ref="DC37:DC44" si="69">IF((1-($DN$2-AY$2)/$C37)&gt;0,(1-($DN$2-AY$2)/$C37),0)</f>
        <v>9.9999999999999978E-2</v>
      </c>
      <c r="DD37" s="333">
        <f t="shared" ref="DD37:DD44" si="70">IF((1-($DN$2-BC$2)/$C37)&gt;0,(1-($DN$2-BC$2)/$C37),0)</f>
        <v>0.19999999999999996</v>
      </c>
      <c r="DE37" s="333">
        <f t="shared" ref="DE37:DE44" si="71">IF(BG37=0,0,1-($DN$2-(2014.5-(BG37-BI37)*C37/BG37))/C37)</f>
        <v>0</v>
      </c>
      <c r="DF37" s="333">
        <f t="shared" ref="DF37:DF44" si="72">IF((1-($DN$2-BJ$2)/$C37)&gt;0,(1-($DN$2-BJ$2)/$C37),0)</f>
        <v>0.30000000000000004</v>
      </c>
      <c r="DG37" s="333">
        <f t="shared" ref="DG37:DG44" si="73">IF((1-($DN$2-BN$2)/$C37)&gt;0,(1-($DN$2-BN$2)/$C37),0)</f>
        <v>0.4</v>
      </c>
      <c r="DH37" s="333">
        <f t="shared" ref="DH37:DH44" si="74">IF((1-($DN$2-BR$2)/$C37)&gt;0,(1-($DN$2-BR$2)/$C37),0)</f>
        <v>0.5</v>
      </c>
      <c r="DI37" s="333">
        <f t="shared" ref="DI37:DI44" si="75">IF((1-($DN$2-BV$2)/$C37)&gt;0,(1-($DN$2-BV$2)/$C37),0)</f>
        <v>0.6</v>
      </c>
      <c r="DJ37" s="333">
        <f t="shared" ref="DJ37:DJ44" si="76">IF((1-($DN$2-BZ$2)/$C37)&gt;0,(1-($DN$2-BZ$2)/$C37),0)</f>
        <v>0.7</v>
      </c>
      <c r="DK37" s="333">
        <f t="shared" ref="DK37:DK44" si="77">IF((1-($DN$2-CD$2)/$C37)&gt;0,(1-($DN$2-CD$2)/$C37),0)</f>
        <v>0.8</v>
      </c>
      <c r="DL37" s="333">
        <f t="shared" ref="DL37:DL44" si="78">IF((1-($DN$2-CH$2)/$C37)&gt;0,(1-($DN$2-CH$2)/$C37),0)</f>
        <v>0.9</v>
      </c>
      <c r="DM37" s="333">
        <f t="shared" ref="DM37:DM44" si="79">IF((1-($DN$2-CL$2)/$C37)&gt;0,(1-($DN$2-CL$2)/$C37),0)</f>
        <v>1</v>
      </c>
      <c r="DN37" s="334">
        <f t="shared" si="29"/>
        <v>0</v>
      </c>
      <c r="DO37" s="334">
        <f t="shared" si="30"/>
        <v>0</v>
      </c>
      <c r="DP37" s="334">
        <f t="shared" ref="DP37:DP44" si="80">(D37-E37)*CQ37+((G37-H37-(I37-J37))*G$61)*CR37+((K37-L37-(M37-N37))*K$61)*CS37+((O37-P37-(Q37-R37))*O$61)*CT37+((S37-T37-(U37-V37))*S$61)*CU37+((W37-X37-(Y37-Z37))*W$61)*CV37+((AA37-AB37-(AC37-AD37))*AA$61)*CW37+((AE37-AF37-(AG37-AH37))*AE$61)*CX37+((AI37-AJ37-(AK37-AL37))*AI$61)*CY37+((AM37-AN37-(AO37-AP37))*$AM$61)*CZ37+((AQ37-AR37-(AS37-AT37))*$AQ$61)*DA37+((AU37-AV37-(AW37-AX37))*$AU$61)*DB37+((AY37-AZ37-(BA37-BB37))*$AY$61)*DC37+((BC37-BD37-(BE37-BF37))*$BC$61)*DD37+((BJ37-BK37-(BL37-BM37))*$BJ$61)*DF37+(BG37-BH37)*DE37+((BN37-BO37-(BP37-BQ37))*$BN$61)*DG37+((BR37-BS37-(BT37-BU37))*$BR$61)*DH37+((BV37-BW37-(BX37-BY37))*$BV$61)*DI37+((BZ37-CA37-(CB37-CC37))*$BZ$61)*DJ37+((CD37-CE37-(CF37-CG37))*$CD$61)*DK37+((CH37-CI37-(CJ37-CK37))*$CH$61*DL37)+((CL37-CM37-(CN37-CO37))*$CL$61*DM37)</f>
        <v>0</v>
      </c>
    </row>
    <row r="38" spans="1:120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>
        <v>0</v>
      </c>
      <c r="CJ38" s="290"/>
      <c r="CK38" s="290"/>
      <c r="CL38" s="290"/>
      <c r="CM38" s="290"/>
      <c r="CN38" s="290"/>
      <c r="CO38" s="290"/>
      <c r="CP38" s="321">
        <f t="shared" si="56"/>
        <v>0</v>
      </c>
      <c r="CQ38" s="333">
        <f t="shared" si="57"/>
        <v>0</v>
      </c>
      <c r="CR38" s="333">
        <f t="shared" si="58"/>
        <v>0</v>
      </c>
      <c r="CS38" s="333">
        <f t="shared" si="59"/>
        <v>0</v>
      </c>
      <c r="CT38" s="333">
        <f t="shared" si="60"/>
        <v>0</v>
      </c>
      <c r="CU38" s="333">
        <f t="shared" si="61"/>
        <v>0</v>
      </c>
      <c r="CV38" s="333">
        <f t="shared" si="62"/>
        <v>0</v>
      </c>
      <c r="CW38" s="333">
        <f t="shared" si="63"/>
        <v>0</v>
      </c>
      <c r="CX38" s="333">
        <f t="shared" si="64"/>
        <v>0</v>
      </c>
      <c r="CY38" s="333">
        <f t="shared" si="65"/>
        <v>0</v>
      </c>
      <c r="CZ38" s="333">
        <f t="shared" si="66"/>
        <v>0</v>
      </c>
      <c r="DA38" s="333">
        <f t="shared" si="67"/>
        <v>0</v>
      </c>
      <c r="DB38" s="333">
        <f t="shared" si="68"/>
        <v>0</v>
      </c>
      <c r="DC38" s="333">
        <f t="shared" si="69"/>
        <v>0</v>
      </c>
      <c r="DD38" s="333">
        <f t="shared" si="70"/>
        <v>0</v>
      </c>
      <c r="DE38" s="333">
        <f t="shared" si="71"/>
        <v>0</v>
      </c>
      <c r="DF38" s="333">
        <f t="shared" si="72"/>
        <v>0</v>
      </c>
      <c r="DG38" s="333">
        <f t="shared" si="73"/>
        <v>0</v>
      </c>
      <c r="DH38" s="333">
        <f t="shared" si="74"/>
        <v>0</v>
      </c>
      <c r="DI38" s="333">
        <f t="shared" si="75"/>
        <v>0.19999999999999996</v>
      </c>
      <c r="DJ38" s="333">
        <f t="shared" si="76"/>
        <v>0.4</v>
      </c>
      <c r="DK38" s="333">
        <f t="shared" si="77"/>
        <v>0.6</v>
      </c>
      <c r="DL38" s="333">
        <f t="shared" si="78"/>
        <v>0.8</v>
      </c>
      <c r="DM38" s="333">
        <f t="shared" si="79"/>
        <v>1</v>
      </c>
      <c r="DN38" s="334">
        <f t="shared" si="29"/>
        <v>7670.8689809675761</v>
      </c>
      <c r="DO38" s="334">
        <f t="shared" si="30"/>
        <v>7670.8689809675761</v>
      </c>
      <c r="DP38" s="334">
        <f t="shared" si="80"/>
        <v>0</v>
      </c>
    </row>
    <row r="39" spans="1:120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>
        <v>0</v>
      </c>
      <c r="CJ39" s="290"/>
      <c r="CK39" s="290"/>
      <c r="CL39" s="290"/>
      <c r="CM39" s="290"/>
      <c r="CN39" s="290"/>
      <c r="CO39" s="290"/>
      <c r="CP39" s="321">
        <f t="shared" si="56"/>
        <v>0</v>
      </c>
      <c r="CQ39" s="333">
        <f t="shared" si="57"/>
        <v>0</v>
      </c>
      <c r="CR39" s="333">
        <f t="shared" si="58"/>
        <v>0.98</v>
      </c>
      <c r="CS39" s="333">
        <f t="shared" si="59"/>
        <v>0.98099999999999998</v>
      </c>
      <c r="CT39" s="333">
        <f t="shared" si="60"/>
        <v>0.98199999999999998</v>
      </c>
      <c r="CU39" s="333">
        <f t="shared" si="61"/>
        <v>0.98299999999999998</v>
      </c>
      <c r="CV39" s="333">
        <f t="shared" si="62"/>
        <v>0.98399999999999999</v>
      </c>
      <c r="CW39" s="333">
        <f t="shared" si="63"/>
        <v>0.98499999999999999</v>
      </c>
      <c r="CX39" s="333">
        <f t="shared" si="64"/>
        <v>0.98599999999999999</v>
      </c>
      <c r="CY39" s="333">
        <f t="shared" si="65"/>
        <v>0.98699999999999999</v>
      </c>
      <c r="CZ39" s="333">
        <f t="shared" si="66"/>
        <v>0.98799999999999999</v>
      </c>
      <c r="DA39" s="333">
        <f t="shared" si="67"/>
        <v>0.98899999999999999</v>
      </c>
      <c r="DB39" s="333">
        <f t="shared" si="68"/>
        <v>0.99</v>
      </c>
      <c r="DC39" s="333">
        <f t="shared" si="69"/>
        <v>0.99099999999999999</v>
      </c>
      <c r="DD39" s="333">
        <f t="shared" si="70"/>
        <v>0.99199999999999999</v>
      </c>
      <c r="DE39" s="333">
        <f t="shared" si="71"/>
        <v>0</v>
      </c>
      <c r="DF39" s="333">
        <f t="shared" si="72"/>
        <v>0.99299999999999999</v>
      </c>
      <c r="DG39" s="333">
        <f t="shared" si="73"/>
        <v>0.99399999999999999</v>
      </c>
      <c r="DH39" s="333">
        <f t="shared" si="74"/>
        <v>0.995</v>
      </c>
      <c r="DI39" s="333">
        <f t="shared" si="75"/>
        <v>0.996</v>
      </c>
      <c r="DJ39" s="333">
        <f t="shared" si="76"/>
        <v>0.997</v>
      </c>
      <c r="DK39" s="333">
        <f t="shared" si="77"/>
        <v>0.998</v>
      </c>
      <c r="DL39" s="333">
        <f t="shared" si="78"/>
        <v>0.999</v>
      </c>
      <c r="DM39" s="333">
        <f t="shared" si="79"/>
        <v>1</v>
      </c>
      <c r="DN39" s="334">
        <f t="shared" si="29"/>
        <v>0</v>
      </c>
      <c r="DO39" s="334">
        <f t="shared" si="30"/>
        <v>0</v>
      </c>
      <c r="DP39" s="334">
        <f t="shared" si="80"/>
        <v>0</v>
      </c>
    </row>
    <row r="40" spans="1:120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>
        <v>0</v>
      </c>
      <c r="CJ40" s="290"/>
      <c r="CK40" s="290"/>
      <c r="CL40" s="290"/>
      <c r="CM40" s="290"/>
      <c r="CN40" s="290"/>
      <c r="CO40" s="290"/>
      <c r="CP40" s="321">
        <f t="shared" si="56"/>
        <v>0</v>
      </c>
      <c r="CQ40" s="333">
        <f t="shared" si="57"/>
        <v>0</v>
      </c>
      <c r="CR40" s="333">
        <f t="shared" si="58"/>
        <v>0.5</v>
      </c>
      <c r="CS40" s="333">
        <f t="shared" si="59"/>
        <v>0.52500000000000002</v>
      </c>
      <c r="CT40" s="333">
        <f t="shared" si="60"/>
        <v>0.55000000000000004</v>
      </c>
      <c r="CU40" s="333">
        <f t="shared" si="61"/>
        <v>0.57499999999999996</v>
      </c>
      <c r="CV40" s="333">
        <f t="shared" si="62"/>
        <v>0.6</v>
      </c>
      <c r="CW40" s="333">
        <f t="shared" si="63"/>
        <v>0.625</v>
      </c>
      <c r="CX40" s="333">
        <f t="shared" si="64"/>
        <v>0.65</v>
      </c>
      <c r="CY40" s="333">
        <f t="shared" si="65"/>
        <v>0.67500000000000004</v>
      </c>
      <c r="CZ40" s="333">
        <f t="shared" si="66"/>
        <v>0.7</v>
      </c>
      <c r="DA40" s="333">
        <f t="shared" si="67"/>
        <v>0.72499999999999998</v>
      </c>
      <c r="DB40" s="333">
        <f t="shared" si="68"/>
        <v>0.75</v>
      </c>
      <c r="DC40" s="333">
        <f t="shared" si="69"/>
        <v>0.77500000000000002</v>
      </c>
      <c r="DD40" s="333">
        <f t="shared" si="70"/>
        <v>0.8</v>
      </c>
      <c r="DE40" s="333">
        <f t="shared" si="71"/>
        <v>0</v>
      </c>
      <c r="DF40" s="333">
        <f t="shared" si="72"/>
        <v>0.82499999999999996</v>
      </c>
      <c r="DG40" s="333">
        <f t="shared" si="73"/>
        <v>0.85</v>
      </c>
      <c r="DH40" s="333">
        <f t="shared" si="74"/>
        <v>0.875</v>
      </c>
      <c r="DI40" s="333">
        <f t="shared" si="75"/>
        <v>0.9</v>
      </c>
      <c r="DJ40" s="333">
        <f t="shared" si="76"/>
        <v>0.92500000000000004</v>
      </c>
      <c r="DK40" s="333">
        <f t="shared" si="77"/>
        <v>0.95</v>
      </c>
      <c r="DL40" s="333">
        <f t="shared" si="78"/>
        <v>0.97499999999999998</v>
      </c>
      <c r="DM40" s="333">
        <f t="shared" si="79"/>
        <v>1</v>
      </c>
      <c r="DN40" s="334">
        <f t="shared" si="29"/>
        <v>0</v>
      </c>
      <c r="DO40" s="334">
        <f t="shared" si="30"/>
        <v>0</v>
      </c>
      <c r="DP40" s="334">
        <f t="shared" si="80"/>
        <v>0</v>
      </c>
    </row>
    <row r="41" spans="1:120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290">
        <v>1564664.1</v>
      </c>
      <c r="CI41" s="290">
        <v>0</v>
      </c>
      <c r="CJ41" s="290"/>
      <c r="CK41" s="290"/>
      <c r="CL41" s="290">
        <v>851576.63</v>
      </c>
      <c r="CM41" s="290"/>
      <c r="CN41" s="290"/>
      <c r="CO41" s="290"/>
      <c r="CP41" s="321">
        <f t="shared" si="56"/>
        <v>1991</v>
      </c>
      <c r="CQ41" s="333">
        <f t="shared" si="57"/>
        <v>0</v>
      </c>
      <c r="CR41" s="333">
        <f t="shared" si="58"/>
        <v>0</v>
      </c>
      <c r="CS41" s="333">
        <f t="shared" si="59"/>
        <v>0</v>
      </c>
      <c r="CT41" s="333">
        <f t="shared" si="60"/>
        <v>0</v>
      </c>
      <c r="CU41" s="333">
        <f t="shared" si="61"/>
        <v>0</v>
      </c>
      <c r="CV41" s="333">
        <f t="shared" si="62"/>
        <v>0</v>
      </c>
      <c r="CW41" s="333">
        <f t="shared" si="63"/>
        <v>0</v>
      </c>
      <c r="CX41" s="333">
        <f t="shared" si="64"/>
        <v>0</v>
      </c>
      <c r="CY41" s="333">
        <f t="shared" si="65"/>
        <v>0</v>
      </c>
      <c r="CZ41" s="333">
        <f t="shared" si="66"/>
        <v>0</v>
      </c>
      <c r="DA41" s="333">
        <f t="shared" si="67"/>
        <v>0</v>
      </c>
      <c r="DB41" s="333">
        <f t="shared" si="68"/>
        <v>0</v>
      </c>
      <c r="DC41" s="333">
        <f t="shared" si="69"/>
        <v>9.9999999999999978E-2</v>
      </c>
      <c r="DD41" s="333">
        <f t="shared" si="70"/>
        <v>0.19999999999999996</v>
      </c>
      <c r="DE41" s="333">
        <f t="shared" si="71"/>
        <v>0</v>
      </c>
      <c r="DF41" s="333">
        <f t="shared" si="72"/>
        <v>0.30000000000000004</v>
      </c>
      <c r="DG41" s="333">
        <f t="shared" si="73"/>
        <v>0.4</v>
      </c>
      <c r="DH41" s="333">
        <f t="shared" si="74"/>
        <v>0.5</v>
      </c>
      <c r="DI41" s="333">
        <f t="shared" si="75"/>
        <v>0.6</v>
      </c>
      <c r="DJ41" s="333">
        <f t="shared" si="76"/>
        <v>0.7</v>
      </c>
      <c r="DK41" s="333">
        <f t="shared" si="77"/>
        <v>0.8</v>
      </c>
      <c r="DL41" s="333">
        <f t="shared" si="78"/>
        <v>0.9</v>
      </c>
      <c r="DM41" s="333">
        <f t="shared" si="79"/>
        <v>1</v>
      </c>
      <c r="DN41" s="334">
        <f t="shared" si="29"/>
        <v>7084938.6710506361</v>
      </c>
      <c r="DO41" s="334">
        <f t="shared" si="30"/>
        <v>349986.16632174124</v>
      </c>
      <c r="DP41" s="334">
        <f t="shared" si="80"/>
        <v>4224237.3908948498</v>
      </c>
    </row>
    <row r="42" spans="1:120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290">
        <v>211466.45</v>
      </c>
      <c r="CI42" s="290">
        <v>0</v>
      </c>
      <c r="CJ42" s="290"/>
      <c r="CK42" s="290"/>
      <c r="CL42" s="290">
        <v>237731.02000000002</v>
      </c>
      <c r="CM42" s="290"/>
      <c r="CN42" s="290"/>
      <c r="CO42" s="290"/>
      <c r="CP42" s="321">
        <f t="shared" si="56"/>
        <v>0</v>
      </c>
      <c r="CQ42" s="333">
        <f t="shared" si="57"/>
        <v>0</v>
      </c>
      <c r="CR42" s="333">
        <f t="shared" si="58"/>
        <v>9.0909090909090939E-2</v>
      </c>
      <c r="CS42" s="333">
        <f t="shared" si="59"/>
        <v>0.13636363636363635</v>
      </c>
      <c r="CT42" s="333">
        <f t="shared" si="60"/>
        <v>0.18181818181818177</v>
      </c>
      <c r="CU42" s="333">
        <f t="shared" si="61"/>
        <v>0.22727272727272729</v>
      </c>
      <c r="CV42" s="333">
        <f t="shared" si="62"/>
        <v>0.27272727272727271</v>
      </c>
      <c r="CW42" s="333">
        <f t="shared" si="63"/>
        <v>0.31818181818181823</v>
      </c>
      <c r="CX42" s="333">
        <f t="shared" si="64"/>
        <v>0.36363636363636365</v>
      </c>
      <c r="CY42" s="333">
        <f t="shared" si="65"/>
        <v>0.40909090909090906</v>
      </c>
      <c r="CZ42" s="333">
        <f t="shared" si="66"/>
        <v>0.45454545454545459</v>
      </c>
      <c r="DA42" s="333">
        <f t="shared" si="67"/>
        <v>0.5</v>
      </c>
      <c r="DB42" s="333">
        <f t="shared" si="68"/>
        <v>0.54545454545454541</v>
      </c>
      <c r="DC42" s="333">
        <f t="shared" si="69"/>
        <v>0.59090909090909083</v>
      </c>
      <c r="DD42" s="333">
        <f t="shared" si="70"/>
        <v>0.63636363636363635</v>
      </c>
      <c r="DE42" s="333">
        <f t="shared" si="71"/>
        <v>0</v>
      </c>
      <c r="DF42" s="333">
        <f t="shared" si="72"/>
        <v>0.68181818181818188</v>
      </c>
      <c r="DG42" s="333">
        <f t="shared" si="73"/>
        <v>0.72727272727272729</v>
      </c>
      <c r="DH42" s="333">
        <f t="shared" si="74"/>
        <v>0.77272727272727271</v>
      </c>
      <c r="DI42" s="333">
        <f t="shared" si="75"/>
        <v>0.81818181818181812</v>
      </c>
      <c r="DJ42" s="333">
        <f t="shared" si="76"/>
        <v>0.86363636363636365</v>
      </c>
      <c r="DK42" s="333">
        <f t="shared" si="77"/>
        <v>0.90909090909090906</v>
      </c>
      <c r="DL42" s="333">
        <f t="shared" si="78"/>
        <v>0.95454545454545459</v>
      </c>
      <c r="DM42" s="333">
        <f t="shared" si="79"/>
        <v>1</v>
      </c>
      <c r="DN42" s="334">
        <f t="shared" si="29"/>
        <v>956881.14633200946</v>
      </c>
      <c r="DO42" s="334">
        <f t="shared" si="30"/>
        <v>0</v>
      </c>
      <c r="DP42" s="334">
        <f t="shared" si="80"/>
        <v>769505.30631323112</v>
      </c>
    </row>
    <row r="43" spans="1:120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290"/>
      <c r="CI43" s="290">
        <v>0</v>
      </c>
      <c r="CJ43" s="290"/>
      <c r="CK43" s="290"/>
      <c r="CL43" s="290">
        <v>0</v>
      </c>
      <c r="CM43" s="290"/>
      <c r="CN43" s="290"/>
      <c r="CO43" s="290"/>
      <c r="CP43" s="321">
        <f t="shared" si="56"/>
        <v>0</v>
      </c>
      <c r="CQ43" s="333">
        <f t="shared" si="57"/>
        <v>0</v>
      </c>
      <c r="CR43" s="333">
        <f t="shared" si="58"/>
        <v>0</v>
      </c>
      <c r="CS43" s="333">
        <f t="shared" si="59"/>
        <v>0</v>
      </c>
      <c r="CT43" s="333">
        <f t="shared" si="60"/>
        <v>0</v>
      </c>
      <c r="CU43" s="333">
        <f t="shared" si="61"/>
        <v>0</v>
      </c>
      <c r="CV43" s="333">
        <f t="shared" si="62"/>
        <v>0</v>
      </c>
      <c r="CW43" s="333">
        <f t="shared" si="63"/>
        <v>0</v>
      </c>
      <c r="CX43" s="333">
        <f t="shared" si="64"/>
        <v>0</v>
      </c>
      <c r="CY43" s="333">
        <f t="shared" si="65"/>
        <v>0</v>
      </c>
      <c r="CZ43" s="333">
        <f t="shared" si="66"/>
        <v>0</v>
      </c>
      <c r="DA43" s="333">
        <f t="shared" si="67"/>
        <v>0</v>
      </c>
      <c r="DB43" s="333">
        <f t="shared" si="68"/>
        <v>0</v>
      </c>
      <c r="DC43" s="333">
        <f t="shared" si="69"/>
        <v>0</v>
      </c>
      <c r="DD43" s="333">
        <f t="shared" si="70"/>
        <v>0</v>
      </c>
      <c r="DE43" s="333">
        <f t="shared" si="71"/>
        <v>0</v>
      </c>
      <c r="DF43" s="333">
        <f t="shared" si="72"/>
        <v>0</v>
      </c>
      <c r="DG43" s="333">
        <f t="shared" si="73"/>
        <v>0</v>
      </c>
      <c r="DH43" s="333">
        <f t="shared" si="74"/>
        <v>0</v>
      </c>
      <c r="DI43" s="333">
        <f t="shared" si="75"/>
        <v>0</v>
      </c>
      <c r="DJ43" s="333">
        <f t="shared" si="76"/>
        <v>0.25</v>
      </c>
      <c r="DK43" s="333">
        <f t="shared" si="77"/>
        <v>0.5</v>
      </c>
      <c r="DL43" s="333">
        <f t="shared" si="78"/>
        <v>0.75</v>
      </c>
      <c r="DM43" s="333">
        <f t="shared" si="79"/>
        <v>1</v>
      </c>
      <c r="DN43" s="334">
        <f t="shared" si="29"/>
        <v>0</v>
      </c>
      <c r="DO43" s="334">
        <f t="shared" si="30"/>
        <v>0</v>
      </c>
      <c r="DP43" s="334">
        <f t="shared" si="80"/>
        <v>0</v>
      </c>
    </row>
    <row r="44" spans="1:120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0">
        <v>0</v>
      </c>
      <c r="CJ44" s="291"/>
      <c r="CK44" s="291"/>
      <c r="CL44" s="291"/>
      <c r="CM44" s="291"/>
      <c r="CN44" s="291"/>
      <c r="CO44" s="291"/>
      <c r="CP44" s="321">
        <f t="shared" si="56"/>
        <v>0</v>
      </c>
      <c r="CQ44" s="348">
        <f t="shared" si="57"/>
        <v>0</v>
      </c>
      <c r="CR44" s="333">
        <f t="shared" si="58"/>
        <v>0</v>
      </c>
      <c r="CS44" s="333">
        <f t="shared" si="59"/>
        <v>0</v>
      </c>
      <c r="CT44" s="333">
        <f t="shared" si="60"/>
        <v>0</v>
      </c>
      <c r="CU44" s="333">
        <f t="shared" si="61"/>
        <v>0</v>
      </c>
      <c r="CV44" s="333">
        <f t="shared" si="62"/>
        <v>0</v>
      </c>
      <c r="CW44" s="333">
        <f t="shared" si="63"/>
        <v>0</v>
      </c>
      <c r="CX44" s="333">
        <f t="shared" si="64"/>
        <v>0</v>
      </c>
      <c r="CY44" s="333">
        <f t="shared" si="65"/>
        <v>0</v>
      </c>
      <c r="CZ44" s="333">
        <f t="shared" si="66"/>
        <v>0</v>
      </c>
      <c r="DA44" s="333">
        <f t="shared" si="67"/>
        <v>0</v>
      </c>
      <c r="DB44" s="333">
        <f t="shared" si="68"/>
        <v>0</v>
      </c>
      <c r="DC44" s="333">
        <f t="shared" si="69"/>
        <v>0</v>
      </c>
      <c r="DD44" s="333">
        <f t="shared" si="70"/>
        <v>0</v>
      </c>
      <c r="DE44" s="333">
        <f t="shared" si="71"/>
        <v>0</v>
      </c>
      <c r="DF44" s="333">
        <f t="shared" si="72"/>
        <v>0.125</v>
      </c>
      <c r="DG44" s="333">
        <f t="shared" si="73"/>
        <v>0.25</v>
      </c>
      <c r="DH44" s="333">
        <f t="shared" si="74"/>
        <v>0.375</v>
      </c>
      <c r="DI44" s="333">
        <f t="shared" si="75"/>
        <v>0.5</v>
      </c>
      <c r="DJ44" s="333">
        <f t="shared" si="76"/>
        <v>0.625</v>
      </c>
      <c r="DK44" s="333">
        <f t="shared" si="77"/>
        <v>0.75</v>
      </c>
      <c r="DL44" s="333">
        <f t="shared" si="78"/>
        <v>0.875</v>
      </c>
      <c r="DM44" s="333">
        <f t="shared" si="79"/>
        <v>1</v>
      </c>
      <c r="DN44" s="334">
        <f t="shared" si="29"/>
        <v>153091.81329945009</v>
      </c>
      <c r="DO44" s="334">
        <f t="shared" si="30"/>
        <v>153091.81329945009</v>
      </c>
      <c r="DP44" s="334">
        <f t="shared" si="80"/>
        <v>0</v>
      </c>
    </row>
    <row r="45" spans="1:120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81">SUM(E14:E44)</f>
        <v>0</v>
      </c>
      <c r="F45" s="296">
        <f t="shared" si="81"/>
        <v>36745444.950886555</v>
      </c>
      <c r="G45" s="296">
        <f t="shared" si="81"/>
        <v>1262365.3598000002</v>
      </c>
      <c r="H45" s="296">
        <f t="shared" si="81"/>
        <v>0</v>
      </c>
      <c r="I45" s="296">
        <f t="shared" si="81"/>
        <v>0</v>
      </c>
      <c r="J45" s="296">
        <f t="shared" si="81"/>
        <v>0</v>
      </c>
      <c r="K45" s="296">
        <f t="shared" si="81"/>
        <v>2422005.5850740555</v>
      </c>
      <c r="L45" s="296">
        <f t="shared" si="81"/>
        <v>315949</v>
      </c>
      <c r="M45" s="296">
        <f t="shared" si="81"/>
        <v>0</v>
      </c>
      <c r="N45" s="296">
        <f t="shared" si="81"/>
        <v>0</v>
      </c>
      <c r="O45" s="296">
        <f t="shared" si="81"/>
        <v>2468106.6800000002</v>
      </c>
      <c r="P45" s="296">
        <f t="shared" si="81"/>
        <v>0</v>
      </c>
      <c r="Q45" s="296">
        <f t="shared" si="81"/>
        <v>0</v>
      </c>
      <c r="R45" s="296">
        <f t="shared" si="81"/>
        <v>0</v>
      </c>
      <c r="S45" s="296">
        <f t="shared" si="81"/>
        <v>2636963</v>
      </c>
      <c r="T45" s="296">
        <f t="shared" si="81"/>
        <v>0</v>
      </c>
      <c r="U45" s="296">
        <f t="shared" si="81"/>
        <v>0</v>
      </c>
      <c r="V45" s="296">
        <f t="shared" si="81"/>
        <v>0</v>
      </c>
      <c r="W45" s="296">
        <f t="shared" si="81"/>
        <v>2901614.0900000003</v>
      </c>
      <c r="X45" s="296">
        <f t="shared" si="81"/>
        <v>0</v>
      </c>
      <c r="Y45" s="296">
        <f t="shared" si="81"/>
        <v>0</v>
      </c>
      <c r="Z45" s="296">
        <f t="shared" si="81"/>
        <v>0</v>
      </c>
      <c r="AA45" s="296">
        <f t="shared" si="81"/>
        <v>4650052.8100000005</v>
      </c>
      <c r="AB45" s="296">
        <f t="shared" si="81"/>
        <v>556386.07000000007</v>
      </c>
      <c r="AC45" s="296">
        <f t="shared" si="81"/>
        <v>0</v>
      </c>
      <c r="AD45" s="296">
        <f t="shared" si="81"/>
        <v>0</v>
      </c>
      <c r="AE45" s="296">
        <f t="shared" si="81"/>
        <v>5437854.6999999993</v>
      </c>
      <c r="AF45" s="296">
        <f t="shared" si="81"/>
        <v>0</v>
      </c>
      <c r="AG45" s="296">
        <f t="shared" si="81"/>
        <v>0</v>
      </c>
      <c r="AH45" s="296">
        <f t="shared" si="81"/>
        <v>0</v>
      </c>
      <c r="AI45" s="296">
        <f t="shared" si="81"/>
        <v>7755169.0999999968</v>
      </c>
      <c r="AJ45" s="296">
        <f t="shared" si="81"/>
        <v>0</v>
      </c>
      <c r="AK45" s="296">
        <f t="shared" si="81"/>
        <v>0</v>
      </c>
      <c r="AL45" s="296">
        <f t="shared" si="81"/>
        <v>0</v>
      </c>
      <c r="AM45" s="296">
        <f t="shared" si="81"/>
        <v>5445007.6719999984</v>
      </c>
      <c r="AN45" s="296">
        <f t="shared" si="81"/>
        <v>0</v>
      </c>
      <c r="AO45" s="296">
        <f t="shared" si="81"/>
        <v>0</v>
      </c>
      <c r="AP45" s="296">
        <f t="shared" si="81"/>
        <v>0</v>
      </c>
      <c r="AQ45" s="296">
        <f t="shared" si="81"/>
        <v>6483412.9600000028</v>
      </c>
      <c r="AR45" s="296">
        <f t="shared" si="81"/>
        <v>0</v>
      </c>
      <c r="AS45" s="296">
        <f t="shared" si="81"/>
        <v>0</v>
      </c>
      <c r="AT45" s="296">
        <f t="shared" si="81"/>
        <v>0</v>
      </c>
      <c r="AU45" s="296">
        <f t="shared" si="81"/>
        <v>4744163.7299999967</v>
      </c>
      <c r="AV45" s="296">
        <f t="shared" si="81"/>
        <v>0</v>
      </c>
      <c r="AW45" s="296">
        <f t="shared" si="81"/>
        <v>0</v>
      </c>
      <c r="AX45" s="296">
        <f t="shared" si="81"/>
        <v>0</v>
      </c>
      <c r="AY45" s="296">
        <f t="shared" si="81"/>
        <v>8655575.7579999957</v>
      </c>
      <c r="AZ45" s="296">
        <f t="shared" si="81"/>
        <v>0</v>
      </c>
      <c r="BA45" s="296">
        <f t="shared" si="81"/>
        <v>0</v>
      </c>
      <c r="BB45" s="296">
        <f t="shared" si="81"/>
        <v>0</v>
      </c>
      <c r="BC45" s="296">
        <f t="shared" si="81"/>
        <v>8595478.4899999984</v>
      </c>
      <c r="BD45" s="296">
        <f t="shared" si="81"/>
        <v>0</v>
      </c>
      <c r="BE45" s="296">
        <f t="shared" si="81"/>
        <v>0</v>
      </c>
      <c r="BF45" s="296">
        <f t="shared" si="81"/>
        <v>0</v>
      </c>
      <c r="BG45" s="296">
        <f t="shared" si="81"/>
        <v>6931047.2479580687</v>
      </c>
      <c r="BH45" s="296">
        <f t="shared" si="81"/>
        <v>5763524.5579580693</v>
      </c>
      <c r="BI45" s="296">
        <f t="shared" si="81"/>
        <v>4907911.2199999988</v>
      </c>
      <c r="BJ45" s="296">
        <f t="shared" si="81"/>
        <v>10289030.280000001</v>
      </c>
      <c r="BK45" s="296">
        <f t="shared" si="81"/>
        <v>0</v>
      </c>
      <c r="BL45" s="296">
        <f t="shared" si="81"/>
        <v>0</v>
      </c>
      <c r="BM45" s="296">
        <f t="shared" si="81"/>
        <v>0</v>
      </c>
      <c r="BN45" s="296">
        <f t="shared" si="81"/>
        <v>23273467.399999995</v>
      </c>
      <c r="BO45" s="296">
        <f t="shared" si="81"/>
        <v>0</v>
      </c>
      <c r="BP45" s="296">
        <f t="shared" si="81"/>
        <v>0</v>
      </c>
      <c r="BQ45" s="296">
        <f t="shared" ref="BQ45:CK45" si="82">SUM(BQ14:BQ44)</f>
        <v>0</v>
      </c>
      <c r="BR45" s="296">
        <f t="shared" si="82"/>
        <v>16573617.789999997</v>
      </c>
      <c r="BS45" s="296">
        <f t="shared" si="82"/>
        <v>65610.73</v>
      </c>
      <c r="BT45" s="296">
        <f t="shared" si="82"/>
        <v>0</v>
      </c>
      <c r="BU45" s="296">
        <f t="shared" si="82"/>
        <v>0</v>
      </c>
      <c r="BV45" s="296">
        <f t="shared" si="82"/>
        <v>17574337.189999998</v>
      </c>
      <c r="BW45" s="296">
        <f t="shared" si="82"/>
        <v>2126529.2643995676</v>
      </c>
      <c r="BX45" s="296">
        <f t="shared" si="82"/>
        <v>0</v>
      </c>
      <c r="BY45" s="296">
        <f t="shared" si="82"/>
        <v>0</v>
      </c>
      <c r="BZ45" s="296">
        <f t="shared" si="82"/>
        <v>17203994.490000002</v>
      </c>
      <c r="CA45" s="296">
        <f t="shared" si="82"/>
        <v>2659763.210547294</v>
      </c>
      <c r="CB45" s="296">
        <f t="shared" si="82"/>
        <v>0</v>
      </c>
      <c r="CC45" s="296">
        <f t="shared" si="82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6">
        <f t="shared" si="82"/>
        <v>14074953.529999994</v>
      </c>
      <c r="CI45" s="296">
        <f t="shared" si="82"/>
        <v>143425.125207</v>
      </c>
      <c r="CJ45" s="296">
        <f t="shared" si="82"/>
        <v>0</v>
      </c>
      <c r="CK45" s="296">
        <f t="shared" si="82"/>
        <v>0</v>
      </c>
      <c r="CL45" s="296">
        <f>SUM(CL14:CL44)</f>
        <v>16016692.260000002</v>
      </c>
      <c r="CM45" s="296">
        <f>SUM(CM14:CM44)</f>
        <v>0</v>
      </c>
      <c r="CN45" s="296">
        <f>SUM(CN14:CN44)</f>
        <v>0</v>
      </c>
      <c r="CO45" s="296">
        <f>SUM(CO14:CO44)</f>
        <v>0</v>
      </c>
      <c r="CP45" s="297"/>
      <c r="CQ45" s="297"/>
      <c r="CR45" s="297"/>
      <c r="CS45" s="297"/>
      <c r="CT45" s="297"/>
      <c r="CU45" s="297"/>
      <c r="CV45" s="297"/>
      <c r="CW45" s="297"/>
      <c r="CX45" s="297"/>
      <c r="CY45" s="297"/>
      <c r="CZ45" s="297"/>
      <c r="DA45" s="297"/>
      <c r="DB45" s="297"/>
      <c r="DC45" s="297"/>
      <c r="DD45" s="297"/>
      <c r="DE45" s="297"/>
      <c r="DF45" s="297"/>
      <c r="DG45" s="297"/>
      <c r="DH45" s="297"/>
      <c r="DI45" s="297"/>
      <c r="DJ45" s="297"/>
      <c r="DK45" s="297"/>
      <c r="DL45" s="297"/>
      <c r="DM45" s="297"/>
      <c r="DN45" s="298">
        <f>SUM(DN14:DN44)</f>
        <v>225257043.20750502</v>
      </c>
      <c r="DO45" s="298">
        <f>SUM(DO14:DO44)</f>
        <v>64822951.894592352</v>
      </c>
      <c r="DP45" s="298">
        <f>SUM(DP14:DP44)</f>
        <v>118916986.16907996</v>
      </c>
    </row>
    <row r="46" spans="1:120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292">
        <v>743971.64</v>
      </c>
      <c r="CI46" s="290">
        <v>0</v>
      </c>
      <c r="CJ46" s="292"/>
      <c r="CK46" s="292"/>
      <c r="CL46" s="290">
        <v>550410.49999999988</v>
      </c>
      <c r="CM46" s="290"/>
      <c r="CN46" s="292"/>
      <c r="CO46" s="292"/>
      <c r="CP46" s="321">
        <f>IF(D46=0,0,2001-(D46-F46)*C46/D46)</f>
        <v>1993.2473056022818</v>
      </c>
      <c r="CQ46" s="374">
        <f>IF((1-($DN$2-$CP46)/$C46)&gt;0,(1-($DN$2-$CP46)/$C46),0)</f>
        <v>0</v>
      </c>
      <c r="CR46" s="333">
        <f>IF((1-($DN$2-G$2)/$C46)&gt;0,(1-($DN$2-G$2)/$C46),0)</f>
        <v>9.0909090909090939E-2</v>
      </c>
      <c r="CS46" s="333">
        <f>IF((1-($DN$2-K$2)/$C46)&gt;0,(1-($DN$2-K$2)/$C46),0)</f>
        <v>0.13636363636363635</v>
      </c>
      <c r="CT46" s="333">
        <f>IF((1-($DN$2-O$2)/$C46)&gt;0,(1-($DN$2-O$2)/$C46),0)</f>
        <v>0.18181818181818177</v>
      </c>
      <c r="CU46" s="333">
        <f>IF((1-($DN$2-S$2)/$C46)&gt;0,(1-($DN$2-S$2)/$C46),0)</f>
        <v>0.22727272727272729</v>
      </c>
      <c r="CV46" s="333">
        <f>IF((1-($DN$2-W$2)/$C46)&gt;0,(1-($DN$2-W$2)/$C46),0)</f>
        <v>0.27272727272727271</v>
      </c>
      <c r="CW46" s="333">
        <f>IF((1-($DN$2-AA$2)/$C46)&gt;0,(1-($DN$2-AA$2)/$C46),0)</f>
        <v>0.31818181818181823</v>
      </c>
      <c r="CX46" s="333">
        <f>IF((1-($DN$2-AE$2)/$C46)&gt;0,(1-($DN$2-AE$2)/$C46),0)</f>
        <v>0.36363636363636365</v>
      </c>
      <c r="CY46" s="333">
        <f>IF((1-($DN$2-AI$2)/$C46)&gt;0,(1-($DN$2-AI$2)/$C46),0)</f>
        <v>0.40909090909090906</v>
      </c>
      <c r="CZ46" s="333">
        <f>IF((1-($DN$2-AM$2)/$C46)&gt;0,(1-($DN$2-AM$2)/$C46),0)</f>
        <v>0.45454545454545459</v>
      </c>
      <c r="DA46" s="333">
        <f>IF((1-($DN$2-AQ$2)/$C46)&gt;0,(1-($DN$2-AQ$2)/$C46),0)</f>
        <v>0.5</v>
      </c>
      <c r="DB46" s="333">
        <f>IF((1-($DN$2-AU$2)/$C46)&gt;0,(1-($DN$2-AU$2)/$C46),0)</f>
        <v>0.54545454545454541</v>
      </c>
      <c r="DC46" s="333">
        <f>IF((1-($DN$2-AY$2)/$C46)&gt;0,(1-($DN$2-AY$2)/$C46),0)</f>
        <v>0.59090909090909083</v>
      </c>
      <c r="DD46" s="333">
        <f>IF((1-($DN$2-BC$2)/$C46)&gt;0,(1-($DN$2-BC$2)/$C46),0)</f>
        <v>0.63636363636363635</v>
      </c>
      <c r="DE46" s="333">
        <f>IF(BG46=0,0,1-($DN$2-(2014.5-(BG46-BI46)*C46/BG46))/C46)</f>
        <v>0</v>
      </c>
      <c r="DF46" s="333">
        <f>IF((1-($DN$2-BJ$2)/$C46)&gt;0,(1-($DN$2-BJ$2)/$C46),0)</f>
        <v>0.68181818181818188</v>
      </c>
      <c r="DG46" s="333">
        <f>IF((1-($DN$2-BN$2)/$C46)&gt;0,(1-($DN$2-BN$2)/$C46),0)</f>
        <v>0.72727272727272729</v>
      </c>
      <c r="DH46" s="333">
        <f>IF((1-($DN$2-BR$2)/$C46)&gt;0,(1-($DN$2-BR$2)/$C46),0)</f>
        <v>0.77272727272727271</v>
      </c>
      <c r="DI46" s="333">
        <f>IF((1-($DN$2-BV$2)/$C46)&gt;0,(1-($DN$2-BV$2)/$C46),0)</f>
        <v>0.81818181818181812</v>
      </c>
      <c r="DJ46" s="333">
        <f>IF((1-($DN$2-BZ$2)/$C46)&gt;0,(1-($DN$2-BZ$2)/$C46),0)</f>
        <v>0.86363636363636365</v>
      </c>
      <c r="DK46" s="333">
        <f>IF((1-($DN$2-CD$2)/$C46)&gt;0,(1-($DN$2-CD$2)/$C46),0)</f>
        <v>0.90909090909090906</v>
      </c>
      <c r="DL46" s="333">
        <f>IF((1-($DN$2-CH$2)/$C46)&gt;0,(1-($DN$2-CH$2)/$C46),0)</f>
        <v>0.95454545454545459</v>
      </c>
      <c r="DM46" s="333">
        <f>IF((1-($DN$2-CL$2)/$C46)&gt;0,(1-($DN$2-CL$2)/$C46),0)</f>
        <v>1</v>
      </c>
      <c r="DN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+(CD46-CE46-CF46)*$CD$62+(CH46-CI46-CJ46)*$CH$62+(CL46-CM46-CN46)*$CL$62</f>
        <v>13281862.930222053</v>
      </c>
      <c r="DO46" s="334">
        <f>IF(CQ46=0,D46-E46,0)+IF(CR46=0,(G46-H46-I46)*G$62,0)+IF(CS46=0,(K46-L46-M46)*K$62,0)+IF(CT46=0,(O46-P46-Q46)*O$62,0)+IF(CU46=0,(S46-T46-U46)*S$62,0)+IF(CV46=0,(W46-X46-Y46)*W$62,0)+IF(CW46=0,(AA46-AB46-AC46)*AA$62,0)+IF(CX46=0,(AE46-AF46-AG46)*AE$62,0)+IF(CY46=0,(AI46-AJ46-AK46)*AI$62,0)+IF(CZ46=0,(AM46-AN46-AO46)*AM$62,0)+IF(DA46=0,(AQ46-AR46-AS46)*$AQ$62,0)+IF(DB46=0,(AU46-AV46-AW46)*$AU$62,0)+IF(DC46=0,(AY46-AZ46-BA46)*$AY$62,0)++IF(DD46=0,(BC46-BD46-BE46)*$BC$62,0)+IF(DE46=0,BG46,0)+IF(DF46=0,(BJ46-BK46-BL46)*$BJ$62,0)+IF(DG46=0,(BN46-BO46-BP46)*$BN$62,0)+IF(DH46=0,(BR46-BS46-BT46)*$BR$62,0)+IF(DI46=0,(BV46-BW46-BX46)*$BV$62,0)+IF(DJ46=0,(BZ46-CA46-CB46)*$BZ$62,0)+IF(DK46=0,(CD46-CE46-CF46)*$CD$62,0)+IF(DL46=0,(CH46-CI46-CJ46)*$CH$62,0)+IF(DM46=0,(CL46-CM46-CN46)*$CL$62,0)</f>
        <v>2957226.5007306808</v>
      </c>
      <c r="DP46" s="334">
        <f>(D46-E46)*CQ46+((G46-H46-(I46-J46))*G$62)*CR46+((K46-L46-(M46-N46))*K$62)*CS46+((O46-P46-(Q46-R46))*O$62)*CT46+((S46-T46-(U46-V46))*S$62)*CU46+((W46-X46-(Y46-Z46))*W$62)*CV46+((AA46-AB46-(AC46-AD46))*AA$62)*CW46+((AE46-AF46-(AG46-AH46))*AE$62)*CX46+((AI46-AJ46-(AK46-AL46))*AI$62)*CY46+((AM46-AN46-(AO46-AP46))*$AM$62)*CZ46+((AQ46-AR46-(AS46-AT46))*$AQ$62)*DA46+((AU46-AV46-(AW46-AX46))*$AU$62)*DB46+((AY46-AZ46-(BA46-BB46))*$AY$62)*DC46+((BC46-BD46-(BE46-BF46))*$BC$62)*DD46+((BJ46-BK46-(BL46-BM46))*$BJ$62)*DF46+(BG46-BH46)*DE46+((BN46-BO46-(BP46-BQ46))*$BN$62)*DG46+((BR46-BS46-(BT46-BU46))*$BR$62)*DH46+((BV46-BW46-(BX46-BY46))*$BV$62)*DI46+((BZ46-CA46-(CB46-CC46))*$BZ$62)*DJ46+((CD46-CE46-(CF46-CG46))*$CD$62)*DK46+((CH46-CI46-(CJ46-CK46))*$CH$62*DL46)+((CL46-CM46-(CN46-CO46))*$CL$62*DM46)</f>
        <v>6016901.611200233</v>
      </c>
    </row>
    <row r="47" spans="1:120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83">+E46</f>
        <v>0</v>
      </c>
      <c r="F47" s="296">
        <f t="shared" si="83"/>
        <v>1915114.0768671127</v>
      </c>
      <c r="G47" s="296">
        <f t="shared" si="83"/>
        <v>383603.42</v>
      </c>
      <c r="H47" s="296">
        <f t="shared" si="83"/>
        <v>0</v>
      </c>
      <c r="I47" s="296">
        <f t="shared" si="83"/>
        <v>0</v>
      </c>
      <c r="J47" s="296">
        <f t="shared" si="83"/>
        <v>0</v>
      </c>
      <c r="K47" s="296">
        <f t="shared" si="83"/>
        <v>723366.95</v>
      </c>
      <c r="L47" s="296">
        <f t="shared" si="83"/>
        <v>0</v>
      </c>
      <c r="M47" s="296">
        <f t="shared" si="83"/>
        <v>0</v>
      </c>
      <c r="N47" s="296">
        <f t="shared" si="83"/>
        <v>0</v>
      </c>
      <c r="O47" s="296">
        <f t="shared" si="83"/>
        <v>345218.57</v>
      </c>
      <c r="P47" s="296">
        <f t="shared" si="83"/>
        <v>0</v>
      </c>
      <c r="Q47" s="296">
        <f t="shared" si="83"/>
        <v>0</v>
      </c>
      <c r="R47" s="296">
        <f t="shared" si="83"/>
        <v>0</v>
      </c>
      <c r="S47" s="296">
        <f t="shared" si="83"/>
        <v>343113</v>
      </c>
      <c r="T47" s="296">
        <f t="shared" si="83"/>
        <v>0</v>
      </c>
      <c r="U47" s="296">
        <f t="shared" si="83"/>
        <v>0</v>
      </c>
      <c r="V47" s="296">
        <f t="shared" si="83"/>
        <v>0</v>
      </c>
      <c r="W47" s="296">
        <f t="shared" si="83"/>
        <v>288347.67</v>
      </c>
      <c r="X47" s="296">
        <f t="shared" si="83"/>
        <v>0</v>
      </c>
      <c r="Y47" s="296">
        <f t="shared" si="83"/>
        <v>0</v>
      </c>
      <c r="Z47" s="296">
        <f t="shared" si="83"/>
        <v>0</v>
      </c>
      <c r="AA47" s="296">
        <f t="shared" si="83"/>
        <v>301261.25000000006</v>
      </c>
      <c r="AB47" s="296">
        <f t="shared" si="83"/>
        <v>0</v>
      </c>
      <c r="AC47" s="296">
        <f t="shared" si="83"/>
        <v>0</v>
      </c>
      <c r="AD47" s="296">
        <f t="shared" si="83"/>
        <v>0</v>
      </c>
      <c r="AE47" s="296">
        <f t="shared" si="83"/>
        <v>418664.33</v>
      </c>
      <c r="AF47" s="296">
        <f t="shared" si="83"/>
        <v>0</v>
      </c>
      <c r="AG47" s="296">
        <f t="shared" si="83"/>
        <v>0</v>
      </c>
      <c r="AH47" s="296">
        <f t="shared" si="83"/>
        <v>0</v>
      </c>
      <c r="AI47" s="296">
        <f t="shared" si="83"/>
        <v>191547.63</v>
      </c>
      <c r="AJ47" s="296">
        <f t="shared" si="83"/>
        <v>0</v>
      </c>
      <c r="AK47" s="296">
        <f t="shared" si="83"/>
        <v>0</v>
      </c>
      <c r="AL47" s="296">
        <f t="shared" si="83"/>
        <v>0</v>
      </c>
      <c r="AM47" s="296">
        <f t="shared" si="83"/>
        <v>284788.3</v>
      </c>
      <c r="AN47" s="296">
        <f t="shared" si="83"/>
        <v>0</v>
      </c>
      <c r="AO47" s="296">
        <f t="shared" si="83"/>
        <v>0</v>
      </c>
      <c r="AP47" s="296">
        <f t="shared" si="83"/>
        <v>0</v>
      </c>
      <c r="AQ47" s="296">
        <f t="shared" si="83"/>
        <v>417455.78889137268</v>
      </c>
      <c r="AR47" s="296">
        <f t="shared" si="83"/>
        <v>0</v>
      </c>
      <c r="AS47" s="296">
        <f t="shared" si="83"/>
        <v>0</v>
      </c>
      <c r="AT47" s="296">
        <f t="shared" si="83"/>
        <v>0</v>
      </c>
      <c r="AU47" s="296">
        <f t="shared" si="83"/>
        <v>846640.63000000012</v>
      </c>
      <c r="AV47" s="296">
        <f t="shared" si="83"/>
        <v>0</v>
      </c>
      <c r="AW47" s="296">
        <f t="shared" si="83"/>
        <v>0</v>
      </c>
      <c r="AX47" s="296">
        <f t="shared" si="83"/>
        <v>0</v>
      </c>
      <c r="AY47" s="296">
        <f t="shared" si="83"/>
        <v>696982</v>
      </c>
      <c r="AZ47" s="296">
        <f t="shared" si="83"/>
        <v>0</v>
      </c>
      <c r="BA47" s="296">
        <f t="shared" si="83"/>
        <v>0</v>
      </c>
      <c r="BB47" s="296">
        <f t="shared" si="83"/>
        <v>0</v>
      </c>
      <c r="BC47" s="296">
        <f t="shared" si="83"/>
        <v>611593.03</v>
      </c>
      <c r="BD47" s="296">
        <f t="shared" si="83"/>
        <v>0</v>
      </c>
      <c r="BE47" s="296">
        <f t="shared" si="83"/>
        <v>0</v>
      </c>
      <c r="BF47" s="296">
        <f t="shared" si="83"/>
        <v>0</v>
      </c>
      <c r="BG47" s="296">
        <f t="shared" si="83"/>
        <v>0</v>
      </c>
      <c r="BH47" s="296">
        <f t="shared" si="83"/>
        <v>0</v>
      </c>
      <c r="BI47" s="296">
        <f t="shared" si="83"/>
        <v>0</v>
      </c>
      <c r="BJ47" s="296">
        <f t="shared" si="83"/>
        <v>717101.01</v>
      </c>
      <c r="BK47" s="296">
        <f t="shared" si="83"/>
        <v>0</v>
      </c>
      <c r="BL47" s="296">
        <f t="shared" si="83"/>
        <v>0</v>
      </c>
      <c r="BM47" s="296">
        <f t="shared" si="83"/>
        <v>0</v>
      </c>
      <c r="BN47" s="296">
        <f t="shared" si="83"/>
        <v>778834.53</v>
      </c>
      <c r="BO47" s="296">
        <f t="shared" si="83"/>
        <v>0</v>
      </c>
      <c r="BP47" s="296">
        <f t="shared" si="83"/>
        <v>0</v>
      </c>
      <c r="BQ47" s="296">
        <f t="shared" ref="BQ47:CK47" si="84">+BQ46</f>
        <v>0</v>
      </c>
      <c r="BR47" s="296">
        <f t="shared" si="84"/>
        <v>1066066.3500000001</v>
      </c>
      <c r="BS47" s="296">
        <f t="shared" si="84"/>
        <v>0</v>
      </c>
      <c r="BT47" s="296">
        <f t="shared" si="84"/>
        <v>0</v>
      </c>
      <c r="BU47" s="296">
        <f t="shared" si="84"/>
        <v>0</v>
      </c>
      <c r="BV47" s="296">
        <f t="shared" si="84"/>
        <v>715400.34000000008</v>
      </c>
      <c r="BW47" s="296">
        <f t="shared" si="84"/>
        <v>0</v>
      </c>
      <c r="BX47" s="296">
        <f t="shared" si="84"/>
        <v>0</v>
      </c>
      <c r="BY47" s="296">
        <f t="shared" si="84"/>
        <v>0</v>
      </c>
      <c r="BZ47" s="296">
        <f t="shared" si="84"/>
        <v>305500.91000000003</v>
      </c>
      <c r="CA47" s="296">
        <f t="shared" si="84"/>
        <v>0</v>
      </c>
      <c r="CB47" s="296">
        <f t="shared" si="84"/>
        <v>0</v>
      </c>
      <c r="CC47" s="296">
        <f t="shared" si="84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6">
        <f t="shared" si="84"/>
        <v>743971.64</v>
      </c>
      <c r="CI47" s="296">
        <f t="shared" si="84"/>
        <v>0</v>
      </c>
      <c r="CJ47" s="296">
        <f t="shared" si="84"/>
        <v>0</v>
      </c>
      <c r="CK47" s="296">
        <f t="shared" si="84"/>
        <v>0</v>
      </c>
      <c r="CL47" s="296">
        <f>+CL46</f>
        <v>550410.49999999988</v>
      </c>
      <c r="CM47" s="296">
        <f>+CM46</f>
        <v>0</v>
      </c>
      <c r="CN47" s="296">
        <f>+CN46</f>
        <v>0</v>
      </c>
      <c r="CO47" s="296">
        <f>+CO46</f>
        <v>0</v>
      </c>
      <c r="CP47" s="297"/>
      <c r="CQ47" s="297"/>
      <c r="CR47" s="297"/>
      <c r="CS47" s="297"/>
      <c r="CT47" s="297"/>
      <c r="CU47" s="297"/>
      <c r="CV47" s="297"/>
      <c r="CW47" s="297"/>
      <c r="CX47" s="297"/>
      <c r="CY47" s="297"/>
      <c r="CZ47" s="297"/>
      <c r="DA47" s="297"/>
      <c r="DB47" s="297"/>
      <c r="DC47" s="297"/>
      <c r="DD47" s="297"/>
      <c r="DE47" s="297"/>
      <c r="DF47" s="297"/>
      <c r="DG47" s="297"/>
      <c r="DH47" s="297"/>
      <c r="DI47" s="297"/>
      <c r="DJ47" s="297"/>
      <c r="DK47" s="297"/>
      <c r="DL47" s="297"/>
      <c r="DM47" s="297"/>
      <c r="DN47" s="298">
        <f>DN46</f>
        <v>13281862.930222053</v>
      </c>
      <c r="DO47" s="298">
        <f>DO46</f>
        <v>2957226.5007306808</v>
      </c>
      <c r="DP47" s="298">
        <f>DP46</f>
        <v>6016901.611200233</v>
      </c>
    </row>
    <row r="48" spans="1:120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0">
        <v>0</v>
      </c>
      <c r="CJ48" s="293"/>
      <c r="CK48" s="293"/>
      <c r="CL48" s="293"/>
      <c r="CM48" s="293"/>
      <c r="CN48" s="293"/>
      <c r="CO48" s="293"/>
      <c r="CP48" s="321">
        <f t="shared" ref="CP48:CP57" si="85">IF(D48=0,0,2001-(D48-F48)*C48/D48)</f>
        <v>0</v>
      </c>
      <c r="CQ48" s="385">
        <f t="shared" ref="CQ48:CQ57" si="86">IF((1-($DN$2-$CP48)/$C48)&gt;0,(1-($DN$2-$CP48)/$C48),0)</f>
        <v>0</v>
      </c>
      <c r="CR48" s="333">
        <f t="shared" ref="CR48:CR57" si="87">IF((1-($DN$2-G$2)/$C48)&gt;0,(1-($DN$2-G$2)/$C48),0)</f>
        <v>0</v>
      </c>
      <c r="CS48" s="333">
        <f t="shared" ref="CS48:CS57" si="88">IF((1-($DN$2-K$2)/$C48)&gt;0,(1-($DN$2-K$2)/$C48),0)</f>
        <v>0</v>
      </c>
      <c r="CT48" s="333">
        <f t="shared" ref="CT48:CT57" si="89">IF((1-($DN$2-O$2)/$C48)&gt;0,(1-($DN$2-O$2)/$C48),0)</f>
        <v>0</v>
      </c>
      <c r="CU48" s="333">
        <f t="shared" ref="CU48:CU57" si="90">IF((1-($DN$2-S$2)/$C48)&gt;0,(1-($DN$2-S$2)/$C48),0)</f>
        <v>0</v>
      </c>
      <c r="CV48" s="333">
        <f t="shared" ref="CV48:CV57" si="91">IF((1-($DN$2-W$2)/$C48)&gt;0,(1-($DN$2-W$2)/$C48),0)</f>
        <v>0</v>
      </c>
      <c r="CW48" s="333">
        <f t="shared" ref="CW48:CW57" si="92">IF((1-($DN$2-AA$2)/$C48)&gt;0,(1-($DN$2-AA$2)/$C48),0)</f>
        <v>0</v>
      </c>
      <c r="CX48" s="333">
        <f t="shared" ref="CX48:CX57" si="93">IF((1-($DN$2-AE$2)/$C48)&gt;0,(1-($DN$2-AE$2)/$C48),0)</f>
        <v>0</v>
      </c>
      <c r="CY48" s="333">
        <f t="shared" ref="CY48:CY57" si="94">IF((1-($DN$2-AI$2)/$C48)&gt;0,(1-($DN$2-AI$2)/$C48),0)</f>
        <v>0</v>
      </c>
      <c r="CZ48" s="333">
        <f t="shared" ref="CZ48:CZ57" si="95">IF((1-($DN$2-AM$2)/$C48)&gt;0,(1-($DN$2-AM$2)/$C48),0)</f>
        <v>0</v>
      </c>
      <c r="DA48" s="333">
        <f t="shared" ref="DA48:DA57" si="96">IF((1-($DN$2-AQ$2)/$C48)&gt;0,(1-($DN$2-AQ$2)/$C48),0)</f>
        <v>0</v>
      </c>
      <c r="DB48" s="333">
        <f t="shared" ref="DB48:DB57" si="97">IF((1-($DN$2-AU$2)/$C48)&gt;0,(1-($DN$2-AU$2)/$C48),0)</f>
        <v>0</v>
      </c>
      <c r="DC48" s="333">
        <f t="shared" ref="DC48:DC57" si="98">IF((1-($DN$2-AY$2)/$C48)&gt;0,(1-($DN$2-AY$2)/$C48),0)</f>
        <v>0</v>
      </c>
      <c r="DD48" s="333">
        <f t="shared" ref="DD48:DD57" si="99">IF((1-($DN$2-BC$2)/$C48)&gt;0,(1-($DN$2-BC$2)/$C48),0)</f>
        <v>0</v>
      </c>
      <c r="DE48" s="333">
        <f t="shared" ref="DE48:DE57" si="100">IF(BG48=0,0,1-($DN$2-(2014.5-(BG48-BI48)*C48/BG48))/C48)</f>
        <v>0</v>
      </c>
      <c r="DF48" s="333">
        <f t="shared" ref="DF48:DF57" si="101">IF((1-($DN$2-BJ$2)/$C48)&gt;0,(1-($DN$2-BJ$2)/$C48),0)</f>
        <v>0</v>
      </c>
      <c r="DG48" s="333">
        <f t="shared" ref="DG48:DG57" si="102">IF((1-($DN$2-BN$2)/$C48)&gt;0,(1-($DN$2-BN$2)/$C48),0)</f>
        <v>0</v>
      </c>
      <c r="DH48" s="333">
        <f t="shared" ref="DH48:DH57" si="103">IF((1-($DN$2-BR$2)/$C48)&gt;0,(1-($DN$2-BR$2)/$C48),0)</f>
        <v>0</v>
      </c>
      <c r="DI48" s="333">
        <f t="shared" ref="DI48:DI57" si="104">IF((1-($DN$2-BV$2)/$C48)&gt;0,(1-($DN$2-BV$2)/$C48),0)</f>
        <v>0</v>
      </c>
      <c r="DJ48" s="333">
        <f t="shared" ref="DJ48:DJ57" si="105">IF((1-($DN$2-BZ$2)/$C48)&gt;0,(1-($DN$2-BZ$2)/$C48),0)</f>
        <v>0.25</v>
      </c>
      <c r="DK48" s="333">
        <f t="shared" ref="DK48:DK57" si="106">IF((1-($DN$2-CD$2)/$C48)&gt;0,(1-($DN$2-CD$2)/$C48),0)</f>
        <v>0.5</v>
      </c>
      <c r="DL48" s="333">
        <f t="shared" ref="DL48:DL57" si="107">IF((1-($DN$2-CH$2)/$C48)&gt;0,(1-($DN$2-CH$2)/$C48),0)</f>
        <v>0.75</v>
      </c>
      <c r="DM48" s="333">
        <f t="shared" ref="DM48:DM57" si="108">IF((1-($DN$2-CL$2)/$C48)&gt;0,(1-($DN$2-CL$2)/$C48),0)</f>
        <v>1</v>
      </c>
      <c r="DN48" s="334">
        <f t="shared" ref="DN48:DN57" si="109"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+(CD48-CE48-CF48)*$CD$63+(CH48-CI48-CJ48)*$CH$63+(CL48-CM48-CN48)*$CL$63</f>
        <v>0</v>
      </c>
      <c r="DO48" s="334">
        <f t="shared" ref="DO48:DO57" si="110">IF(CQ48=0,D48-E48,0)+IF(CR48=0,(G48-H48-I48)*G$63,0)+IF(CS48=0,(K48-L48-M48)*K$63,0)+IF(CT48=0,(O48-P48-Q48)*O$63,0)+IF(CU48=0,(S48-T48-U48)*S$63,0)+IF(CV48=0,(W48-X48-Y48)*W$63,0)+IF(CW48=0,(AA48-AB48-AC48)*AA$63,0)+IF(CX48=0,(AE48-AF48-AG48)*AE$63,0)+IF(CY48=0,(AI48-AJ48-AK48)*AI$63,0)+IF(CZ48=0,(AM48-AN48-AO48)*AM$63,0)+IF(DA48=0,(AQ48-AR48-AS48)*$AQ$63,0)+IF(DB48=0,(AU48-AV48-AW48)*$AU$63,0)+IF(DC48=0,(AY48-AZ48-BA48)*$AY$63,0)++IF(DD48=0,(BC48-BD48-BE48)*$BC$63,0)+IF(DE48=0,BG48,0)+IF(DF48=0,(BJ48-BK48-BL48)*$BJ$63,0)+IF(DG48=0,(BN48-BO48-BP48)*$BN$63,0)+IF(DH48=0,(BR48-BS48-BT48)*$BR$63,0)+IF(DI48=0,(BV48-BW48-BX48)*$BV$63,0)+IF(DJ48=0,(BZ48-CA48-CB48)*$BZ$63,0)+IF(DK48=0,(CD48-CE48-CF48)*$CD$63,0)+IF(DL48=0,(CH48-CI48-CJ48)*$CH$63,0)+IF(DM48=0,(CL48-CM48-CN48)*$CL$63,0)</f>
        <v>0</v>
      </c>
      <c r="DP48" s="334">
        <f>(D48-E48)*CQ48+((G48-H48-(I48-J48))*G$63)*CR48+((K48-L48-(M48-N48))*K$63)*CS48+((O48-P48-(Q48-R48))*O$63)*CT48+((S48-T48-(U48-V48))*S$63)*CU48+((W48-X48-(Y48-Z48))*W$63)*CV48+((AA48-AB48-(AC48-AD48))*AA$63)*CW48+((AE48-AF48-(AG48-AH48))*AE$63)*CX48+((AI48-AJ48-(AK48-AL48))*AI$63)*CY48+((AM48-AN48-(AO48-AP48))*$AM$63)*CZ48+((AQ48-AR48-(AS48-AT48))*$AQ$63)*DA48+((AU48-AV48-(AW48-AX48))*$AU$63)*DB48+((AY48-AZ48-(BA48-BB48))*$AY$63)*DC48+((BC48-BD48-(BE48-BF48))*$BC$63)*DD48+((BJ48-BK48-(BL48-BM48))*$BJ$63)*DF48+(BG48-BH48)*DE48+((BN48-BO48-(BP48-BQ48))*$BN$63)*DG48+((BR48-BS48-(BT48-BU48))*$BR$63)*DH48+((BV48-BW48-(BX48-BY48))*$BV$63)*DI48+((BZ48-CA48-(CB48-CC48))*$BZ$63)*DJ48+((CD48-CE48-(CF48-CG48))*$CD$63)*DK48+((CH48-CI48-(CJ48-CK48))*$CH$63*DL48)+((CL48-CM48-(CN48-CO48))*$CL$63*DM48)</f>
        <v>0</v>
      </c>
    </row>
    <row r="49" spans="1:120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290"/>
      <c r="CI49" s="290">
        <v>0</v>
      </c>
      <c r="CJ49" s="290"/>
      <c r="CK49" s="290"/>
      <c r="CL49" s="290"/>
      <c r="CM49" s="290"/>
      <c r="CN49" s="290"/>
      <c r="CO49" s="290"/>
      <c r="CP49" s="321">
        <f t="shared" si="85"/>
        <v>0</v>
      </c>
      <c r="CQ49" s="385">
        <f t="shared" si="86"/>
        <v>0</v>
      </c>
      <c r="CR49" s="333">
        <f t="shared" si="87"/>
        <v>0.98</v>
      </c>
      <c r="CS49" s="333">
        <f t="shared" si="88"/>
        <v>0.98099999999999998</v>
      </c>
      <c r="CT49" s="333">
        <f t="shared" si="89"/>
        <v>0.98199999999999998</v>
      </c>
      <c r="CU49" s="333">
        <f t="shared" si="90"/>
        <v>0.98299999999999998</v>
      </c>
      <c r="CV49" s="333">
        <f t="shared" si="91"/>
        <v>0.98399999999999999</v>
      </c>
      <c r="CW49" s="333">
        <f t="shared" si="92"/>
        <v>0.98499999999999999</v>
      </c>
      <c r="CX49" s="333">
        <f t="shared" si="93"/>
        <v>0.98599999999999999</v>
      </c>
      <c r="CY49" s="333">
        <f t="shared" si="94"/>
        <v>0.98699999999999999</v>
      </c>
      <c r="CZ49" s="333">
        <f t="shared" si="95"/>
        <v>0.98799999999999999</v>
      </c>
      <c r="DA49" s="333">
        <f t="shared" si="96"/>
        <v>0.98899999999999999</v>
      </c>
      <c r="DB49" s="333">
        <f t="shared" si="97"/>
        <v>0.99</v>
      </c>
      <c r="DC49" s="333">
        <f t="shared" si="98"/>
        <v>0.99099999999999999</v>
      </c>
      <c r="DD49" s="333">
        <f t="shared" si="99"/>
        <v>0.99199999999999999</v>
      </c>
      <c r="DE49" s="333">
        <f t="shared" si="100"/>
        <v>0</v>
      </c>
      <c r="DF49" s="333">
        <f t="shared" si="101"/>
        <v>0.99299999999999999</v>
      </c>
      <c r="DG49" s="333">
        <f t="shared" si="102"/>
        <v>0.99399999999999999</v>
      </c>
      <c r="DH49" s="333">
        <f t="shared" si="103"/>
        <v>0.995</v>
      </c>
      <c r="DI49" s="333">
        <f t="shared" si="104"/>
        <v>0.996</v>
      </c>
      <c r="DJ49" s="333">
        <f t="shared" si="105"/>
        <v>0.997</v>
      </c>
      <c r="DK49" s="333">
        <f t="shared" si="106"/>
        <v>0.998</v>
      </c>
      <c r="DL49" s="333">
        <f t="shared" si="107"/>
        <v>0.999</v>
      </c>
      <c r="DM49" s="333">
        <f t="shared" si="108"/>
        <v>1</v>
      </c>
      <c r="DN49" s="334">
        <f t="shared" si="109"/>
        <v>0</v>
      </c>
      <c r="DO49" s="334">
        <f t="shared" si="110"/>
        <v>0</v>
      </c>
      <c r="DP49" s="334">
        <f t="shared" ref="DP49:DP57" si="111">(D49-E49)*CQ49+((G49-H49-(I49-J49))*G$63)*CR49+((K49-L49-(M49-N49))*K$63)*CS49+((O49-P49-(Q49-R49))*O$63)*CT49+((S49-T49-(U49-V49))*S$63)*CU49+((W49-X49-(Y49-Z49))*W$63)*CV49+((AA49-AB49-(AC49-AD49))*AA$63)*CW49+((AE49-AF49-(AG49-AH49))*AE$63)*CX49+((AI49-AJ49-(AK49-AL49))*AI$63)*CY49+((AM49-AN49-(AO49-AP49))*$AM$63)*CZ49+((AQ49-AR49-(AS49-AT49))*$AQ$63)*DA49+((AU49-AV49-(AW49-AX49))*$AU$63)*DB49+((AY49-AZ49-(BA49-BB49))*$AY$63)*DC49+((BC49-BD49-(BE49-BF49))*$BC$63)*DD49+((BJ49-BK49-(BL49-BM49))*$BJ$63)*DF49+(BG49-BH49)*DE49+((BN49-BO49-(BP49-BQ49))*$BN$63)*DG49+((BR49-BS49-(BT49-BU49))*$BR$63)*DH49+((BV49-BW49-(BX49-BY49))*$BV$63)*DI49+((BZ49-CA49-(CB49-CC49))*$BZ$63)*DJ49+((CD49-CE49-(CF49-CG49))*$CD$63)*DK49+((CH49-CI49-(CJ49-CK49))*$CH$63*DL49)+((CL49-CM49-(CN49-CO49))*$CL$63*DM49)</f>
        <v>0</v>
      </c>
    </row>
    <row r="50" spans="1:120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>
        <v>0</v>
      </c>
      <c r="CJ50" s="290"/>
      <c r="CK50" s="290"/>
      <c r="CL50" s="290"/>
      <c r="CM50" s="290"/>
      <c r="CN50" s="290"/>
      <c r="CO50" s="290"/>
      <c r="CP50" s="321">
        <f t="shared" si="85"/>
        <v>1991.8040336868928</v>
      </c>
      <c r="CQ50" s="333">
        <f t="shared" si="86"/>
        <v>0.2451008421723202</v>
      </c>
      <c r="CR50" s="333">
        <f t="shared" si="87"/>
        <v>0.5</v>
      </c>
      <c r="CS50" s="333">
        <f t="shared" si="88"/>
        <v>0.52500000000000002</v>
      </c>
      <c r="CT50" s="333">
        <f t="shared" si="89"/>
        <v>0.55000000000000004</v>
      </c>
      <c r="CU50" s="333">
        <f t="shared" si="90"/>
        <v>0.57499999999999996</v>
      </c>
      <c r="CV50" s="333">
        <f t="shared" si="91"/>
        <v>0.6</v>
      </c>
      <c r="CW50" s="333">
        <f t="shared" si="92"/>
        <v>0.625</v>
      </c>
      <c r="CX50" s="333">
        <f t="shared" si="93"/>
        <v>0.65</v>
      </c>
      <c r="CY50" s="333">
        <f t="shared" si="94"/>
        <v>0.67500000000000004</v>
      </c>
      <c r="CZ50" s="333">
        <f t="shared" si="95"/>
        <v>0.7</v>
      </c>
      <c r="DA50" s="333">
        <f t="shared" si="96"/>
        <v>0.72499999999999998</v>
      </c>
      <c r="DB50" s="333">
        <f t="shared" si="97"/>
        <v>0.75</v>
      </c>
      <c r="DC50" s="333">
        <f t="shared" si="98"/>
        <v>0.77500000000000002</v>
      </c>
      <c r="DD50" s="333">
        <f t="shared" si="99"/>
        <v>0.8</v>
      </c>
      <c r="DE50" s="333">
        <f t="shared" si="100"/>
        <v>0</v>
      </c>
      <c r="DF50" s="333">
        <f t="shared" si="101"/>
        <v>0.82499999999999996</v>
      </c>
      <c r="DG50" s="333">
        <f t="shared" si="102"/>
        <v>0.85</v>
      </c>
      <c r="DH50" s="333">
        <f t="shared" si="103"/>
        <v>0.875</v>
      </c>
      <c r="DI50" s="333">
        <f t="shared" si="104"/>
        <v>0.9</v>
      </c>
      <c r="DJ50" s="333">
        <f t="shared" si="105"/>
        <v>0.92500000000000004</v>
      </c>
      <c r="DK50" s="333">
        <f t="shared" si="106"/>
        <v>0.95</v>
      </c>
      <c r="DL50" s="333">
        <f t="shared" si="107"/>
        <v>0.97499999999999998</v>
      </c>
      <c r="DM50" s="333">
        <f t="shared" si="108"/>
        <v>1</v>
      </c>
      <c r="DN50" s="334">
        <f t="shared" si="109"/>
        <v>1094161.605459783</v>
      </c>
      <c r="DO50" s="334">
        <f t="shared" si="110"/>
        <v>0</v>
      </c>
      <c r="DP50" s="334">
        <f t="shared" si="111"/>
        <v>275371.95414267533</v>
      </c>
    </row>
    <row r="51" spans="1:120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290">
        <v>1450242.81</v>
      </c>
      <c r="CI51" s="290">
        <v>0</v>
      </c>
      <c r="CJ51" s="290"/>
      <c r="CK51" s="290"/>
      <c r="CL51" s="290">
        <v>1594362.43</v>
      </c>
      <c r="CM51" s="290"/>
      <c r="CN51" s="290"/>
      <c r="CO51" s="290"/>
      <c r="CP51" s="321">
        <f t="shared" si="85"/>
        <v>1994.6431227317414</v>
      </c>
      <c r="CQ51" s="333">
        <f t="shared" si="86"/>
        <v>0</v>
      </c>
      <c r="CR51" s="333">
        <f t="shared" si="87"/>
        <v>9.0909090909090939E-2</v>
      </c>
      <c r="CS51" s="333">
        <f t="shared" si="88"/>
        <v>0.13636363636363635</v>
      </c>
      <c r="CT51" s="333">
        <f t="shared" si="89"/>
        <v>0.18181818181818177</v>
      </c>
      <c r="CU51" s="333">
        <f t="shared" si="90"/>
        <v>0.22727272727272729</v>
      </c>
      <c r="CV51" s="333">
        <f t="shared" si="91"/>
        <v>0.27272727272727271</v>
      </c>
      <c r="CW51" s="333">
        <f t="shared" si="92"/>
        <v>0.31818181818181823</v>
      </c>
      <c r="CX51" s="333">
        <f t="shared" si="93"/>
        <v>0.36363636363636365</v>
      </c>
      <c r="CY51" s="333">
        <f t="shared" si="94"/>
        <v>0.40909090909090906</v>
      </c>
      <c r="CZ51" s="333">
        <f t="shared" si="95"/>
        <v>0.45454545454545459</v>
      </c>
      <c r="DA51" s="333">
        <f t="shared" si="96"/>
        <v>0.5</v>
      </c>
      <c r="DB51" s="333">
        <f t="shared" si="97"/>
        <v>0.54545454545454541</v>
      </c>
      <c r="DC51" s="333">
        <f t="shared" si="98"/>
        <v>0.59090909090909083</v>
      </c>
      <c r="DD51" s="333">
        <f t="shared" si="99"/>
        <v>0.63636363636363635</v>
      </c>
      <c r="DE51" s="333">
        <f t="shared" si="100"/>
        <v>0.31186890235030451</v>
      </c>
      <c r="DF51" s="333">
        <f t="shared" si="101"/>
        <v>0.68181818181818188</v>
      </c>
      <c r="DG51" s="333">
        <f t="shared" si="102"/>
        <v>0.72727272727272729</v>
      </c>
      <c r="DH51" s="333">
        <f t="shared" si="103"/>
        <v>0.77272727272727271</v>
      </c>
      <c r="DI51" s="333">
        <f t="shared" si="104"/>
        <v>0.81818181818181812</v>
      </c>
      <c r="DJ51" s="333">
        <f t="shared" si="105"/>
        <v>0.86363636363636365</v>
      </c>
      <c r="DK51" s="333">
        <f t="shared" si="106"/>
        <v>0.90909090909090906</v>
      </c>
      <c r="DL51" s="333">
        <f t="shared" si="107"/>
        <v>0.95454545454545459</v>
      </c>
      <c r="DM51" s="333">
        <f t="shared" si="108"/>
        <v>1</v>
      </c>
      <c r="DN51" s="334">
        <f t="shared" si="109"/>
        <v>17285505.574811004</v>
      </c>
      <c r="DO51" s="334">
        <f t="shared" si="110"/>
        <v>4570414.9220673665</v>
      </c>
      <c r="DP51" s="334">
        <f t="shared" si="111"/>
        <v>8544943.1016103681</v>
      </c>
    </row>
    <row r="52" spans="1:120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290">
        <v>0</v>
      </c>
      <c r="CI52" s="290">
        <v>0</v>
      </c>
      <c r="CJ52" s="290"/>
      <c r="CK52" s="290"/>
      <c r="CL52" s="290">
        <v>0</v>
      </c>
      <c r="CM52" s="290"/>
      <c r="CN52" s="290"/>
      <c r="CO52" s="290"/>
      <c r="CP52" s="321">
        <f t="shared" si="85"/>
        <v>0</v>
      </c>
      <c r="CQ52" s="333">
        <f t="shared" si="86"/>
        <v>0</v>
      </c>
      <c r="CR52" s="333">
        <f t="shared" si="87"/>
        <v>9.0909090909090939E-2</v>
      </c>
      <c r="CS52" s="333">
        <f t="shared" si="88"/>
        <v>0.13636363636363635</v>
      </c>
      <c r="CT52" s="333">
        <f t="shared" si="89"/>
        <v>0.18181818181818177</v>
      </c>
      <c r="CU52" s="333">
        <f t="shared" si="90"/>
        <v>0.22727272727272729</v>
      </c>
      <c r="CV52" s="333">
        <f t="shared" si="91"/>
        <v>0.27272727272727271</v>
      </c>
      <c r="CW52" s="333">
        <f t="shared" si="92"/>
        <v>0.31818181818181823</v>
      </c>
      <c r="CX52" s="333">
        <f t="shared" si="93"/>
        <v>0.36363636363636365</v>
      </c>
      <c r="CY52" s="333">
        <f t="shared" si="94"/>
        <v>0.40909090909090906</v>
      </c>
      <c r="CZ52" s="333">
        <f t="shared" si="95"/>
        <v>0.45454545454545459</v>
      </c>
      <c r="DA52" s="333">
        <f t="shared" si="96"/>
        <v>0.5</v>
      </c>
      <c r="DB52" s="333">
        <f t="shared" si="97"/>
        <v>0.54545454545454541</v>
      </c>
      <c r="DC52" s="333">
        <f t="shared" si="98"/>
        <v>0.59090909090909083</v>
      </c>
      <c r="DD52" s="333">
        <f t="shared" si="99"/>
        <v>0.63636363636363635</v>
      </c>
      <c r="DE52" s="333">
        <f t="shared" si="100"/>
        <v>0</v>
      </c>
      <c r="DF52" s="333">
        <f t="shared" si="101"/>
        <v>0.68181818181818188</v>
      </c>
      <c r="DG52" s="333">
        <f t="shared" si="102"/>
        <v>0.72727272727272729</v>
      </c>
      <c r="DH52" s="333">
        <f t="shared" si="103"/>
        <v>0.77272727272727271</v>
      </c>
      <c r="DI52" s="333">
        <f t="shared" si="104"/>
        <v>0.81818181818181812</v>
      </c>
      <c r="DJ52" s="333">
        <f t="shared" si="105"/>
        <v>0.86363636363636365</v>
      </c>
      <c r="DK52" s="333">
        <f t="shared" si="106"/>
        <v>0.90909090909090906</v>
      </c>
      <c r="DL52" s="333">
        <f t="shared" si="107"/>
        <v>0.95454545454545459</v>
      </c>
      <c r="DM52" s="333">
        <f t="shared" si="108"/>
        <v>1</v>
      </c>
      <c r="DN52" s="334">
        <f t="shared" si="109"/>
        <v>0</v>
      </c>
      <c r="DO52" s="334">
        <f t="shared" si="110"/>
        <v>0</v>
      </c>
      <c r="DP52" s="334">
        <f t="shared" si="111"/>
        <v>0</v>
      </c>
    </row>
    <row r="53" spans="1:120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290"/>
      <c r="CI53" s="290">
        <v>0</v>
      </c>
      <c r="CJ53" s="290"/>
      <c r="CK53" s="290"/>
      <c r="CL53" s="290"/>
      <c r="CM53" s="290"/>
      <c r="CN53" s="290"/>
      <c r="CO53" s="290"/>
      <c r="CP53" s="321">
        <f t="shared" si="85"/>
        <v>2000.9353796694659</v>
      </c>
      <c r="CQ53" s="333">
        <f t="shared" si="86"/>
        <v>0</v>
      </c>
      <c r="CR53" s="333">
        <f t="shared" si="87"/>
        <v>0</v>
      </c>
      <c r="CS53" s="333">
        <f t="shared" si="88"/>
        <v>0</v>
      </c>
      <c r="CT53" s="333">
        <f t="shared" si="89"/>
        <v>0</v>
      </c>
      <c r="CU53" s="333">
        <f t="shared" si="90"/>
        <v>0</v>
      </c>
      <c r="CV53" s="333">
        <f t="shared" si="91"/>
        <v>0</v>
      </c>
      <c r="CW53" s="333">
        <f t="shared" si="92"/>
        <v>0</v>
      </c>
      <c r="CX53" s="333">
        <f t="shared" si="93"/>
        <v>0</v>
      </c>
      <c r="CY53" s="333">
        <f t="shared" si="94"/>
        <v>0</v>
      </c>
      <c r="CZ53" s="333">
        <f t="shared" si="95"/>
        <v>0</v>
      </c>
      <c r="DA53" s="333">
        <f t="shared" si="96"/>
        <v>0</v>
      </c>
      <c r="DB53" s="333">
        <f t="shared" si="97"/>
        <v>0</v>
      </c>
      <c r="DC53" s="333">
        <f t="shared" si="98"/>
        <v>0</v>
      </c>
      <c r="DD53" s="333">
        <f t="shared" si="99"/>
        <v>0</v>
      </c>
      <c r="DE53" s="333">
        <f t="shared" si="100"/>
        <v>0</v>
      </c>
      <c r="DF53" s="333">
        <f t="shared" si="101"/>
        <v>0</v>
      </c>
      <c r="DG53" s="333">
        <f t="shared" si="102"/>
        <v>0.1428571428571429</v>
      </c>
      <c r="DH53" s="333">
        <f t="shared" si="103"/>
        <v>0.2857142857142857</v>
      </c>
      <c r="DI53" s="333">
        <f t="shared" si="104"/>
        <v>0.4285714285714286</v>
      </c>
      <c r="DJ53" s="333">
        <f t="shared" si="105"/>
        <v>0.5714285714285714</v>
      </c>
      <c r="DK53" s="333">
        <f t="shared" si="106"/>
        <v>0.7142857142857143</v>
      </c>
      <c r="DL53" s="333">
        <f t="shared" si="107"/>
        <v>0.85714285714285721</v>
      </c>
      <c r="DM53" s="333">
        <f t="shared" si="108"/>
        <v>1</v>
      </c>
      <c r="DN53" s="334">
        <f t="shared" si="109"/>
        <v>14383.151123919413</v>
      </c>
      <c r="DO53" s="334">
        <f t="shared" si="110"/>
        <v>14383.151123919413</v>
      </c>
      <c r="DP53" s="334">
        <f t="shared" si="111"/>
        <v>0</v>
      </c>
    </row>
    <row r="54" spans="1:120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>
        <v>0</v>
      </c>
      <c r="CJ54" s="290"/>
      <c r="CK54" s="290"/>
      <c r="CL54" s="290"/>
      <c r="CM54" s="290"/>
      <c r="CN54" s="290"/>
      <c r="CO54" s="290"/>
      <c r="CP54" s="321">
        <f t="shared" si="85"/>
        <v>0</v>
      </c>
      <c r="CQ54" s="333">
        <f t="shared" si="86"/>
        <v>0</v>
      </c>
      <c r="CR54" s="333">
        <f t="shared" si="87"/>
        <v>0</v>
      </c>
      <c r="CS54" s="333">
        <f t="shared" si="88"/>
        <v>0</v>
      </c>
      <c r="CT54" s="333">
        <f t="shared" si="89"/>
        <v>0</v>
      </c>
      <c r="CU54" s="333">
        <f t="shared" si="90"/>
        <v>0</v>
      </c>
      <c r="CV54" s="333">
        <f t="shared" si="91"/>
        <v>0</v>
      </c>
      <c r="CW54" s="333">
        <f t="shared" si="92"/>
        <v>0</v>
      </c>
      <c r="CX54" s="333">
        <f t="shared" si="93"/>
        <v>0</v>
      </c>
      <c r="CY54" s="333">
        <f t="shared" si="94"/>
        <v>0</v>
      </c>
      <c r="CZ54" s="333">
        <f t="shared" si="95"/>
        <v>0</v>
      </c>
      <c r="DA54" s="333">
        <f t="shared" si="96"/>
        <v>0</v>
      </c>
      <c r="DB54" s="333">
        <f t="shared" si="97"/>
        <v>0</v>
      </c>
      <c r="DC54" s="333">
        <f t="shared" si="98"/>
        <v>0</v>
      </c>
      <c r="DD54" s="333">
        <f t="shared" si="99"/>
        <v>0</v>
      </c>
      <c r="DE54" s="333">
        <f t="shared" si="100"/>
        <v>0</v>
      </c>
      <c r="DF54" s="333">
        <f t="shared" si="101"/>
        <v>0</v>
      </c>
      <c r="DG54" s="333">
        <f t="shared" si="102"/>
        <v>0</v>
      </c>
      <c r="DH54" s="333">
        <f t="shared" si="103"/>
        <v>0</v>
      </c>
      <c r="DI54" s="333">
        <f t="shared" si="104"/>
        <v>0</v>
      </c>
      <c r="DJ54" s="333">
        <f t="shared" si="105"/>
        <v>0.25</v>
      </c>
      <c r="DK54" s="333">
        <f t="shared" si="106"/>
        <v>0.5</v>
      </c>
      <c r="DL54" s="333">
        <f t="shared" si="107"/>
        <v>0.75</v>
      </c>
      <c r="DM54" s="333">
        <f t="shared" si="108"/>
        <v>1</v>
      </c>
      <c r="DN54" s="334">
        <f t="shared" si="109"/>
        <v>0</v>
      </c>
      <c r="DO54" s="334">
        <f t="shared" si="110"/>
        <v>0</v>
      </c>
      <c r="DP54" s="334">
        <f t="shared" si="111"/>
        <v>0</v>
      </c>
    </row>
    <row r="55" spans="1:120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>
        <v>0</v>
      </c>
      <c r="CJ55" s="290"/>
      <c r="CK55" s="290"/>
      <c r="CL55" s="290"/>
      <c r="CM55" s="290"/>
      <c r="CN55" s="290"/>
      <c r="CO55" s="290"/>
      <c r="CP55" s="321">
        <f t="shared" si="85"/>
        <v>0</v>
      </c>
      <c r="CQ55" s="333">
        <f t="shared" si="86"/>
        <v>0</v>
      </c>
      <c r="CR55" s="333">
        <f t="shared" si="87"/>
        <v>0</v>
      </c>
      <c r="CS55" s="333">
        <f t="shared" si="88"/>
        <v>0</v>
      </c>
      <c r="CT55" s="333">
        <f t="shared" si="89"/>
        <v>0</v>
      </c>
      <c r="CU55" s="333">
        <f t="shared" si="90"/>
        <v>0</v>
      </c>
      <c r="CV55" s="333">
        <f t="shared" si="91"/>
        <v>0</v>
      </c>
      <c r="CW55" s="333">
        <f t="shared" si="92"/>
        <v>0</v>
      </c>
      <c r="CX55" s="333">
        <f t="shared" si="93"/>
        <v>0</v>
      </c>
      <c r="CY55" s="333">
        <f t="shared" si="94"/>
        <v>0</v>
      </c>
      <c r="CZ55" s="333">
        <f t="shared" si="95"/>
        <v>0</v>
      </c>
      <c r="DA55" s="333">
        <f t="shared" si="96"/>
        <v>0</v>
      </c>
      <c r="DB55" s="333">
        <f t="shared" si="97"/>
        <v>0</v>
      </c>
      <c r="DC55" s="333">
        <f t="shared" si="98"/>
        <v>0</v>
      </c>
      <c r="DD55" s="333">
        <f t="shared" si="99"/>
        <v>0</v>
      </c>
      <c r="DE55" s="333">
        <f t="shared" si="100"/>
        <v>0</v>
      </c>
      <c r="DF55" s="333">
        <f t="shared" si="101"/>
        <v>0</v>
      </c>
      <c r="DG55" s="333">
        <f t="shared" si="102"/>
        <v>0</v>
      </c>
      <c r="DH55" s="333">
        <f t="shared" si="103"/>
        <v>0</v>
      </c>
      <c r="DI55" s="333">
        <f t="shared" si="104"/>
        <v>0.19999999999999996</v>
      </c>
      <c r="DJ55" s="333">
        <f t="shared" si="105"/>
        <v>0.4</v>
      </c>
      <c r="DK55" s="333">
        <f t="shared" si="106"/>
        <v>0.6</v>
      </c>
      <c r="DL55" s="333">
        <f t="shared" si="107"/>
        <v>0.8</v>
      </c>
      <c r="DM55" s="333">
        <f t="shared" si="108"/>
        <v>1</v>
      </c>
      <c r="DN55" s="334">
        <f t="shared" si="109"/>
        <v>0</v>
      </c>
      <c r="DO55" s="334">
        <f t="shared" si="110"/>
        <v>0</v>
      </c>
      <c r="DP55" s="334">
        <f t="shared" si="111"/>
        <v>0</v>
      </c>
    </row>
    <row r="56" spans="1:120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290"/>
      <c r="CI56" s="290">
        <v>0</v>
      </c>
      <c r="CJ56" s="290"/>
      <c r="CK56" s="290"/>
      <c r="CL56" s="290"/>
      <c r="CM56" s="290"/>
      <c r="CN56" s="290"/>
      <c r="CO56" s="290"/>
      <c r="CP56" s="321">
        <f t="shared" si="85"/>
        <v>0</v>
      </c>
      <c r="CQ56" s="333">
        <f t="shared" si="86"/>
        <v>0</v>
      </c>
      <c r="CR56" s="333">
        <f t="shared" si="87"/>
        <v>0</v>
      </c>
      <c r="CS56" s="333">
        <f t="shared" si="88"/>
        <v>0</v>
      </c>
      <c r="CT56" s="333">
        <f t="shared" si="89"/>
        <v>0</v>
      </c>
      <c r="CU56" s="333">
        <f t="shared" si="90"/>
        <v>0</v>
      </c>
      <c r="CV56" s="333">
        <f t="shared" si="91"/>
        <v>0</v>
      </c>
      <c r="CW56" s="333">
        <f t="shared" si="92"/>
        <v>0</v>
      </c>
      <c r="CX56" s="333">
        <f t="shared" si="93"/>
        <v>0</v>
      </c>
      <c r="CY56" s="333">
        <f t="shared" si="94"/>
        <v>0</v>
      </c>
      <c r="CZ56" s="333">
        <f t="shared" si="95"/>
        <v>0</v>
      </c>
      <c r="DA56" s="333">
        <f t="shared" si="96"/>
        <v>0</v>
      </c>
      <c r="DB56" s="333">
        <f t="shared" si="97"/>
        <v>0</v>
      </c>
      <c r="DC56" s="333">
        <f t="shared" si="98"/>
        <v>0</v>
      </c>
      <c r="DD56" s="333">
        <f t="shared" si="99"/>
        <v>0</v>
      </c>
      <c r="DE56" s="333">
        <f t="shared" si="100"/>
        <v>0</v>
      </c>
      <c r="DF56" s="333">
        <f t="shared" si="101"/>
        <v>0.125</v>
      </c>
      <c r="DG56" s="333">
        <f t="shared" si="102"/>
        <v>0.25</v>
      </c>
      <c r="DH56" s="333">
        <f t="shared" si="103"/>
        <v>0.375</v>
      </c>
      <c r="DI56" s="333">
        <f t="shared" si="104"/>
        <v>0.5</v>
      </c>
      <c r="DJ56" s="333">
        <f t="shared" si="105"/>
        <v>0.625</v>
      </c>
      <c r="DK56" s="333">
        <f t="shared" si="106"/>
        <v>0.75</v>
      </c>
      <c r="DL56" s="333">
        <f t="shared" si="107"/>
        <v>0.875</v>
      </c>
      <c r="DM56" s="333">
        <f t="shared" si="108"/>
        <v>1</v>
      </c>
      <c r="DN56" s="334">
        <f t="shared" si="109"/>
        <v>0</v>
      </c>
      <c r="DO56" s="334">
        <f t="shared" si="110"/>
        <v>0</v>
      </c>
      <c r="DP56" s="334">
        <f t="shared" si="111"/>
        <v>0</v>
      </c>
    </row>
    <row r="57" spans="1:120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291">
        <v>106264</v>
      </c>
      <c r="CI57" s="290">
        <v>0</v>
      </c>
      <c r="CJ57" s="291"/>
      <c r="CK57" s="291"/>
      <c r="CL57" s="291">
        <v>9925.51</v>
      </c>
      <c r="CM57" s="290"/>
      <c r="CN57" s="291"/>
      <c r="CO57" s="291"/>
      <c r="CP57" s="321">
        <f t="shared" si="85"/>
        <v>0</v>
      </c>
      <c r="CQ57" s="348">
        <f t="shared" si="86"/>
        <v>0</v>
      </c>
      <c r="CR57" s="333">
        <f t="shared" si="87"/>
        <v>0</v>
      </c>
      <c r="CS57" s="333">
        <f t="shared" si="88"/>
        <v>0</v>
      </c>
      <c r="CT57" s="333">
        <f t="shared" si="89"/>
        <v>0</v>
      </c>
      <c r="CU57" s="333">
        <f t="shared" si="90"/>
        <v>0</v>
      </c>
      <c r="CV57" s="333">
        <f t="shared" si="91"/>
        <v>5.8823529411764719E-2</v>
      </c>
      <c r="CW57" s="333">
        <f t="shared" si="92"/>
        <v>0.11764705882352944</v>
      </c>
      <c r="CX57" s="333">
        <f t="shared" si="93"/>
        <v>0.17647058823529416</v>
      </c>
      <c r="CY57" s="333">
        <f t="shared" si="94"/>
        <v>0.23529411764705888</v>
      </c>
      <c r="CZ57" s="333">
        <f t="shared" si="95"/>
        <v>0.29411764705882348</v>
      </c>
      <c r="DA57" s="333">
        <f t="shared" si="96"/>
        <v>0.3529411764705882</v>
      </c>
      <c r="DB57" s="333">
        <f t="shared" si="97"/>
        <v>0.41176470588235292</v>
      </c>
      <c r="DC57" s="333">
        <f t="shared" si="98"/>
        <v>0.47058823529411764</v>
      </c>
      <c r="DD57" s="333">
        <f t="shared" si="99"/>
        <v>0.52941176470588236</v>
      </c>
      <c r="DE57" s="333">
        <f t="shared" si="100"/>
        <v>0</v>
      </c>
      <c r="DF57" s="333">
        <f t="shared" si="101"/>
        <v>0.58823529411764708</v>
      </c>
      <c r="DG57" s="333">
        <f t="shared" si="102"/>
        <v>0.64705882352941169</v>
      </c>
      <c r="DH57" s="333">
        <f t="shared" si="103"/>
        <v>0.70588235294117641</v>
      </c>
      <c r="DI57" s="333">
        <f t="shared" si="104"/>
        <v>0.76470588235294112</v>
      </c>
      <c r="DJ57" s="333">
        <f t="shared" si="105"/>
        <v>0.82352941176470584</v>
      </c>
      <c r="DK57" s="333">
        <f t="shared" si="106"/>
        <v>0.88235294117647056</v>
      </c>
      <c r="DL57" s="333">
        <f t="shared" si="107"/>
        <v>0.94117647058823528</v>
      </c>
      <c r="DM57" s="333">
        <f t="shared" si="108"/>
        <v>1</v>
      </c>
      <c r="DN57" s="334">
        <f t="shared" si="109"/>
        <v>104570.55899999999</v>
      </c>
      <c r="DO57" s="334">
        <f t="shared" si="110"/>
        <v>0</v>
      </c>
      <c r="DP57" s="334">
        <f t="shared" si="111"/>
        <v>98944.817823529404</v>
      </c>
    </row>
    <row r="58" spans="1:120" s="1" customFormat="1" ht="12.75" customHeight="1" thickBot="1" x14ac:dyDescent="0.35">
      <c r="A58" s="576"/>
      <c r="B58" s="304" t="s">
        <v>42</v>
      </c>
      <c r="C58" s="302"/>
      <c r="D58" s="305">
        <f t="shared" ref="D58:BO58" si="112">SUM(D48:D57)</f>
        <v>5660028.2779788757</v>
      </c>
      <c r="E58" s="305">
        <f t="shared" si="112"/>
        <v>0</v>
      </c>
      <c r="F58" s="305">
        <f t="shared" si="112"/>
        <v>4092084.3124159449</v>
      </c>
      <c r="G58" s="305">
        <f t="shared" si="112"/>
        <v>385845.48</v>
      </c>
      <c r="H58" s="305">
        <f t="shared" si="112"/>
        <v>0</v>
      </c>
      <c r="I58" s="305">
        <f t="shared" si="112"/>
        <v>0</v>
      </c>
      <c r="J58" s="305">
        <f t="shared" si="112"/>
        <v>0</v>
      </c>
      <c r="K58" s="305">
        <f t="shared" si="112"/>
        <v>452747.86</v>
      </c>
      <c r="L58" s="305">
        <f t="shared" si="112"/>
        <v>0</v>
      </c>
      <c r="M58" s="305">
        <f t="shared" si="112"/>
        <v>0</v>
      </c>
      <c r="N58" s="305">
        <f t="shared" si="112"/>
        <v>0</v>
      </c>
      <c r="O58" s="305">
        <f t="shared" si="112"/>
        <v>370817.32</v>
      </c>
      <c r="P58" s="305">
        <f t="shared" si="112"/>
        <v>0</v>
      </c>
      <c r="Q58" s="305">
        <f t="shared" si="112"/>
        <v>0</v>
      </c>
      <c r="R58" s="305">
        <f t="shared" si="112"/>
        <v>0</v>
      </c>
      <c r="S58" s="305">
        <f t="shared" si="112"/>
        <v>396757.73</v>
      </c>
      <c r="T58" s="305">
        <f t="shared" si="112"/>
        <v>0</v>
      </c>
      <c r="U58" s="305">
        <f t="shared" si="112"/>
        <v>0</v>
      </c>
      <c r="V58" s="305">
        <f t="shared" si="112"/>
        <v>0</v>
      </c>
      <c r="W58" s="305">
        <f t="shared" si="112"/>
        <v>291785.66999999993</v>
      </c>
      <c r="X58" s="305">
        <f t="shared" si="112"/>
        <v>0</v>
      </c>
      <c r="Y58" s="305">
        <f t="shared" si="112"/>
        <v>0</v>
      </c>
      <c r="Z58" s="305">
        <f t="shared" si="112"/>
        <v>0</v>
      </c>
      <c r="AA58" s="305">
        <f t="shared" si="112"/>
        <v>471133.24000000005</v>
      </c>
      <c r="AB58" s="305">
        <f t="shared" si="112"/>
        <v>0</v>
      </c>
      <c r="AC58" s="305">
        <f t="shared" si="112"/>
        <v>0</v>
      </c>
      <c r="AD58" s="305">
        <f t="shared" si="112"/>
        <v>0</v>
      </c>
      <c r="AE58" s="305">
        <f t="shared" si="112"/>
        <v>641039</v>
      </c>
      <c r="AF58" s="305">
        <f t="shared" si="112"/>
        <v>0</v>
      </c>
      <c r="AG58" s="305">
        <f t="shared" si="112"/>
        <v>0</v>
      </c>
      <c r="AH58" s="305">
        <f t="shared" si="112"/>
        <v>0</v>
      </c>
      <c r="AI58" s="305">
        <f t="shared" si="112"/>
        <v>528906.63000000012</v>
      </c>
      <c r="AJ58" s="305">
        <f t="shared" si="112"/>
        <v>0</v>
      </c>
      <c r="AK58" s="305">
        <f t="shared" si="112"/>
        <v>0</v>
      </c>
      <c r="AL58" s="305">
        <f t="shared" si="112"/>
        <v>0</v>
      </c>
      <c r="AM58" s="305">
        <f t="shared" si="112"/>
        <v>421950.02999999991</v>
      </c>
      <c r="AN58" s="305">
        <f t="shared" si="112"/>
        <v>0</v>
      </c>
      <c r="AO58" s="305">
        <f t="shared" si="112"/>
        <v>0</v>
      </c>
      <c r="AP58" s="305">
        <f t="shared" si="112"/>
        <v>0</v>
      </c>
      <c r="AQ58" s="305">
        <f t="shared" si="112"/>
        <v>401723.83</v>
      </c>
      <c r="AR58" s="305">
        <f t="shared" si="112"/>
        <v>0</v>
      </c>
      <c r="AS58" s="305">
        <f t="shared" si="112"/>
        <v>0</v>
      </c>
      <c r="AT58" s="305">
        <f t="shared" si="112"/>
        <v>0</v>
      </c>
      <c r="AU58" s="305">
        <f t="shared" si="112"/>
        <v>401731.13</v>
      </c>
      <c r="AV58" s="305">
        <f t="shared" si="112"/>
        <v>0</v>
      </c>
      <c r="AW58" s="305">
        <f t="shared" si="112"/>
        <v>0</v>
      </c>
      <c r="AX58" s="305">
        <f t="shared" si="112"/>
        <v>0</v>
      </c>
      <c r="AY58" s="305">
        <f t="shared" si="112"/>
        <v>555885.05319699994</v>
      </c>
      <c r="AZ58" s="305">
        <f t="shared" si="112"/>
        <v>0</v>
      </c>
      <c r="BA58" s="305">
        <f t="shared" si="112"/>
        <v>0</v>
      </c>
      <c r="BB58" s="305">
        <f t="shared" si="112"/>
        <v>0</v>
      </c>
      <c r="BC58" s="305">
        <f t="shared" si="112"/>
        <v>660890.24999999988</v>
      </c>
      <c r="BD58" s="305">
        <f t="shared" si="112"/>
        <v>0</v>
      </c>
      <c r="BE58" s="305">
        <f t="shared" si="112"/>
        <v>0</v>
      </c>
      <c r="BF58" s="305">
        <f t="shared" si="112"/>
        <v>0</v>
      </c>
      <c r="BG58" s="305">
        <f t="shared" si="112"/>
        <v>265555</v>
      </c>
      <c r="BH58" s="305">
        <f t="shared" si="112"/>
        <v>265555</v>
      </c>
      <c r="BI58" s="305">
        <f t="shared" si="112"/>
        <v>173348.46</v>
      </c>
      <c r="BJ58" s="305">
        <f t="shared" si="112"/>
        <v>682413</v>
      </c>
      <c r="BK58" s="305">
        <f t="shared" si="112"/>
        <v>0</v>
      </c>
      <c r="BL58" s="305">
        <f t="shared" si="112"/>
        <v>0</v>
      </c>
      <c r="BM58" s="305">
        <f t="shared" si="112"/>
        <v>0</v>
      </c>
      <c r="BN58" s="305">
        <f t="shared" si="112"/>
        <v>805417.89999999991</v>
      </c>
      <c r="BO58" s="305">
        <f t="shared" si="112"/>
        <v>0</v>
      </c>
      <c r="BP58" s="305">
        <f t="shared" ref="BP58:CK58" si="113">SUM(BP48:BP57)</f>
        <v>0</v>
      </c>
      <c r="BQ58" s="305">
        <f t="shared" si="113"/>
        <v>0</v>
      </c>
      <c r="BR58" s="305">
        <f t="shared" si="113"/>
        <v>811234.00000000012</v>
      </c>
      <c r="BS58" s="305">
        <f t="shared" si="113"/>
        <v>0</v>
      </c>
      <c r="BT58" s="305">
        <f t="shared" si="113"/>
        <v>0</v>
      </c>
      <c r="BU58" s="305">
        <f t="shared" si="113"/>
        <v>0</v>
      </c>
      <c r="BV58" s="305">
        <f t="shared" si="113"/>
        <v>994683.03999999969</v>
      </c>
      <c r="BW58" s="305">
        <f t="shared" si="113"/>
        <v>0</v>
      </c>
      <c r="BX58" s="305">
        <f t="shared" si="113"/>
        <v>0</v>
      </c>
      <c r="BY58" s="305">
        <f t="shared" si="113"/>
        <v>0</v>
      </c>
      <c r="BZ58" s="305">
        <f t="shared" si="113"/>
        <v>1009193.6200000001</v>
      </c>
      <c r="CA58" s="305">
        <f t="shared" si="113"/>
        <v>0</v>
      </c>
      <c r="CB58" s="305">
        <f t="shared" si="113"/>
        <v>0</v>
      </c>
      <c r="CC58" s="305">
        <f t="shared" si="113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5">
        <f t="shared" si="113"/>
        <v>1556506.81</v>
      </c>
      <c r="CI58" s="305">
        <f t="shared" si="113"/>
        <v>0</v>
      </c>
      <c r="CJ58" s="305">
        <f t="shared" si="113"/>
        <v>0</v>
      </c>
      <c r="CK58" s="305">
        <f t="shared" si="113"/>
        <v>0</v>
      </c>
      <c r="CL58" s="305">
        <f>SUM(CL48:CL57)</f>
        <v>1604287.94</v>
      </c>
      <c r="CM58" s="305">
        <f>SUM(CM48:CM57)</f>
        <v>0</v>
      </c>
      <c r="CN58" s="305">
        <f>SUM(CN48:CN57)</f>
        <v>0</v>
      </c>
      <c r="CO58" s="305">
        <f>SUM(CO48:CO57)</f>
        <v>0</v>
      </c>
      <c r="CP58" s="306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8">
        <f>SUM(DN48:DN57)</f>
        <v>18498620.890394706</v>
      </c>
      <c r="DO58" s="308">
        <f>SUM(DO48:DO57)</f>
        <v>4584798.0731912861</v>
      </c>
      <c r="DP58" s="308">
        <f>SUM(DP48:DP57)</f>
        <v>8919259.8735765722</v>
      </c>
    </row>
    <row r="59" spans="1:120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14">E58+E47+E13+E45</f>
        <v>0</v>
      </c>
      <c r="F59" s="311">
        <f t="shared" si="114"/>
        <v>45909466.481640995</v>
      </c>
      <c r="G59" s="311">
        <f t="shared" si="114"/>
        <v>2297920.7887920002</v>
      </c>
      <c r="H59" s="311">
        <f t="shared" si="114"/>
        <v>0</v>
      </c>
      <c r="I59" s="311">
        <f t="shared" si="114"/>
        <v>0</v>
      </c>
      <c r="J59" s="311">
        <f t="shared" si="114"/>
        <v>0</v>
      </c>
      <c r="K59" s="311">
        <f t="shared" si="114"/>
        <v>3705380.7350740554</v>
      </c>
      <c r="L59" s="311">
        <f t="shared" si="114"/>
        <v>315949</v>
      </c>
      <c r="M59" s="311">
        <f t="shared" si="114"/>
        <v>0</v>
      </c>
      <c r="N59" s="311">
        <f t="shared" si="114"/>
        <v>0</v>
      </c>
      <c r="O59" s="311">
        <f t="shared" si="114"/>
        <v>3354159.6110610003</v>
      </c>
      <c r="P59" s="311">
        <f t="shared" si="114"/>
        <v>0</v>
      </c>
      <c r="Q59" s="311">
        <f t="shared" si="114"/>
        <v>0</v>
      </c>
      <c r="R59" s="311">
        <f t="shared" si="114"/>
        <v>0</v>
      </c>
      <c r="S59" s="311">
        <f t="shared" si="114"/>
        <v>3518386.36</v>
      </c>
      <c r="T59" s="311">
        <f t="shared" si="114"/>
        <v>0</v>
      </c>
      <c r="U59" s="311">
        <f t="shared" si="114"/>
        <v>0</v>
      </c>
      <c r="V59" s="311">
        <f t="shared" si="114"/>
        <v>0</v>
      </c>
      <c r="W59" s="311">
        <f t="shared" si="114"/>
        <v>3815993.5700000003</v>
      </c>
      <c r="X59" s="311">
        <f t="shared" si="114"/>
        <v>0</v>
      </c>
      <c r="Y59" s="311">
        <f t="shared" si="114"/>
        <v>0</v>
      </c>
      <c r="Z59" s="311">
        <f t="shared" si="114"/>
        <v>0</v>
      </c>
      <c r="AA59" s="311">
        <f t="shared" si="114"/>
        <v>5590315.4300000006</v>
      </c>
      <c r="AB59" s="311">
        <f t="shared" si="114"/>
        <v>556386.07000000007</v>
      </c>
      <c r="AC59" s="311">
        <f t="shared" si="114"/>
        <v>0</v>
      </c>
      <c r="AD59" s="311">
        <f t="shared" si="114"/>
        <v>0</v>
      </c>
      <c r="AE59" s="311">
        <f t="shared" si="114"/>
        <v>6630069.3099999996</v>
      </c>
      <c r="AF59" s="311">
        <f t="shared" si="114"/>
        <v>0</v>
      </c>
      <c r="AG59" s="311">
        <f t="shared" si="114"/>
        <v>0</v>
      </c>
      <c r="AH59" s="311">
        <f t="shared" si="114"/>
        <v>0</v>
      </c>
      <c r="AI59" s="311">
        <f t="shared" si="114"/>
        <v>8798937.4638769962</v>
      </c>
      <c r="AJ59" s="311">
        <f t="shared" si="114"/>
        <v>0</v>
      </c>
      <c r="AK59" s="311">
        <f t="shared" si="114"/>
        <v>0</v>
      </c>
      <c r="AL59" s="311">
        <f t="shared" si="114"/>
        <v>0</v>
      </c>
      <c r="AM59" s="311">
        <f t="shared" si="114"/>
        <v>6243081.9319999982</v>
      </c>
      <c r="AN59" s="311">
        <f t="shared" si="114"/>
        <v>0</v>
      </c>
      <c r="AO59" s="311">
        <f t="shared" si="114"/>
        <v>0</v>
      </c>
      <c r="AP59" s="311">
        <f t="shared" si="114"/>
        <v>0</v>
      </c>
      <c r="AQ59" s="311">
        <f t="shared" si="114"/>
        <v>7546107.3088913755</v>
      </c>
      <c r="AR59" s="311">
        <f t="shared" si="114"/>
        <v>0</v>
      </c>
      <c r="AS59" s="311">
        <f t="shared" si="114"/>
        <v>0</v>
      </c>
      <c r="AT59" s="311">
        <f t="shared" si="114"/>
        <v>0</v>
      </c>
      <c r="AU59" s="311">
        <f t="shared" si="114"/>
        <v>5992535.4899999965</v>
      </c>
      <c r="AV59" s="311">
        <f t="shared" si="114"/>
        <v>0</v>
      </c>
      <c r="AW59" s="311">
        <f t="shared" si="114"/>
        <v>0</v>
      </c>
      <c r="AX59" s="311">
        <f t="shared" si="114"/>
        <v>0</v>
      </c>
      <c r="AY59" s="311">
        <f t="shared" si="114"/>
        <v>9964863.5911969952</v>
      </c>
      <c r="AZ59" s="311">
        <f t="shared" si="114"/>
        <v>0</v>
      </c>
      <c r="BA59" s="311">
        <f t="shared" si="114"/>
        <v>0</v>
      </c>
      <c r="BB59" s="311">
        <f t="shared" si="114"/>
        <v>0</v>
      </c>
      <c r="BC59" s="311">
        <f t="shared" si="114"/>
        <v>11143773.309999999</v>
      </c>
      <c r="BD59" s="311">
        <f t="shared" si="114"/>
        <v>0</v>
      </c>
      <c r="BE59" s="311">
        <f t="shared" si="114"/>
        <v>0</v>
      </c>
      <c r="BF59" s="311">
        <f t="shared" si="114"/>
        <v>0</v>
      </c>
      <c r="BG59" s="311">
        <f t="shared" si="114"/>
        <v>8136602.2479580687</v>
      </c>
      <c r="BH59" s="311">
        <f t="shared" si="114"/>
        <v>6029079.5579580693</v>
      </c>
      <c r="BI59" s="311">
        <f t="shared" si="114"/>
        <v>6021259.6799999988</v>
      </c>
      <c r="BJ59" s="311">
        <f t="shared" si="114"/>
        <v>12605720.150000002</v>
      </c>
      <c r="BK59" s="311">
        <f t="shared" si="114"/>
        <v>0</v>
      </c>
      <c r="BL59" s="311">
        <f t="shared" si="114"/>
        <v>0</v>
      </c>
      <c r="BM59" s="311">
        <f t="shared" si="114"/>
        <v>0</v>
      </c>
      <c r="BN59" s="311">
        <f t="shared" si="114"/>
        <v>25963295.499999996</v>
      </c>
      <c r="BO59" s="311">
        <f t="shared" si="114"/>
        <v>0</v>
      </c>
      <c r="BP59" s="311">
        <f t="shared" si="114"/>
        <v>0</v>
      </c>
      <c r="BQ59" s="311">
        <f t="shared" ref="BQ59:CK59" si="115">BQ58+BQ47+BQ13+BQ45</f>
        <v>0</v>
      </c>
      <c r="BR59" s="311">
        <f t="shared" si="115"/>
        <v>19553374.009999998</v>
      </c>
      <c r="BS59" s="311">
        <f t="shared" si="115"/>
        <v>65610.73</v>
      </c>
      <c r="BT59" s="311">
        <f t="shared" si="115"/>
        <v>0</v>
      </c>
      <c r="BU59" s="311">
        <f t="shared" si="115"/>
        <v>0</v>
      </c>
      <c r="BV59" s="311">
        <f t="shared" si="115"/>
        <v>20404493.799999997</v>
      </c>
      <c r="BW59" s="311">
        <f t="shared" si="115"/>
        <v>2126529.2643995676</v>
      </c>
      <c r="BX59" s="311">
        <f t="shared" si="115"/>
        <v>0</v>
      </c>
      <c r="BY59" s="311">
        <f t="shared" si="115"/>
        <v>0</v>
      </c>
      <c r="BZ59" s="311">
        <f t="shared" si="115"/>
        <v>22105252.660000004</v>
      </c>
      <c r="CA59" s="311">
        <f t="shared" si="115"/>
        <v>2659763.210547294</v>
      </c>
      <c r="CB59" s="311">
        <f t="shared" si="115"/>
        <v>0</v>
      </c>
      <c r="CC59" s="311">
        <f t="shared" si="115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1">
        <f t="shared" si="115"/>
        <v>17257121.709999993</v>
      </c>
      <c r="CI59" s="311">
        <f t="shared" si="115"/>
        <v>143425.125207</v>
      </c>
      <c r="CJ59" s="311">
        <f t="shared" si="115"/>
        <v>0</v>
      </c>
      <c r="CK59" s="311">
        <f t="shared" si="115"/>
        <v>0</v>
      </c>
      <c r="CL59" s="311">
        <f>CL58+CL47+CL13+CL45</f>
        <v>19425056.510000002</v>
      </c>
      <c r="CM59" s="311">
        <f>CM58+CM47+CM13+CM45</f>
        <v>0</v>
      </c>
      <c r="CN59" s="311">
        <f>CN58+CN47+CN13+CN45</f>
        <v>0</v>
      </c>
      <c r="CO59" s="311">
        <f>CO58+CO47+CO13+CO45</f>
        <v>0</v>
      </c>
      <c r="CP59" s="312"/>
      <c r="CQ59" s="312"/>
      <c r="CR59" s="312"/>
      <c r="CS59" s="312"/>
      <c r="CT59" s="312"/>
      <c r="CU59" s="312"/>
      <c r="CV59" s="312"/>
      <c r="CW59" s="312"/>
      <c r="CX59" s="312"/>
      <c r="CY59" s="312"/>
      <c r="CZ59" s="312"/>
      <c r="DA59" s="312"/>
      <c r="DB59" s="312"/>
      <c r="DC59" s="312"/>
      <c r="DD59" s="312"/>
      <c r="DE59" s="312"/>
      <c r="DF59" s="312"/>
      <c r="DG59" s="312"/>
      <c r="DH59" s="312"/>
      <c r="DI59" s="312"/>
      <c r="DJ59" s="312"/>
      <c r="DK59" s="312"/>
      <c r="DL59" s="312"/>
      <c r="DM59" s="312"/>
      <c r="DN59" s="313">
        <f>DN13+DN45+DN47+DN58</f>
        <v>277739343.97140694</v>
      </c>
      <c r="DO59" s="313">
        <f>DO13+DO45+DO47+DO58</f>
        <v>84200130.592703894</v>
      </c>
      <c r="DP59" s="314">
        <f>DP13+DP45+DP47+DP58</f>
        <v>138602817.58451506</v>
      </c>
    </row>
    <row r="60" spans="1:120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608">
        <v>0.89100093955357473</v>
      </c>
      <c r="CI60" s="609"/>
      <c r="CJ60" s="609"/>
      <c r="CK60" s="610"/>
      <c r="CL60" s="565">
        <v>0.9</v>
      </c>
      <c r="CM60" s="566"/>
      <c r="CN60" s="566"/>
      <c r="CO60" s="567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</row>
    <row r="61" spans="1:120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605">
        <v>0.87172983433540296</v>
      </c>
      <c r="CI61" s="606"/>
      <c r="CJ61" s="606"/>
      <c r="CK61" s="607"/>
      <c r="CL61" s="558">
        <v>0.57735006603666861</v>
      </c>
      <c r="CM61" s="559"/>
      <c r="CN61" s="559"/>
      <c r="CO61" s="560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</row>
    <row r="62" spans="1:120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605">
        <v>0.9</v>
      </c>
      <c r="CI62" s="606"/>
      <c r="CJ62" s="606"/>
      <c r="CK62" s="607"/>
      <c r="CL62" s="558">
        <v>0.9</v>
      </c>
      <c r="CM62" s="559"/>
      <c r="CN62" s="559"/>
      <c r="CO62" s="560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</row>
    <row r="63" spans="1:120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605">
        <v>0.89999999999999991</v>
      </c>
      <c r="CI63" s="606"/>
      <c r="CJ63" s="606"/>
      <c r="CK63" s="607"/>
      <c r="CL63" s="558">
        <v>0.90000000000000013</v>
      </c>
      <c r="CM63" s="559"/>
      <c r="CN63" s="559"/>
      <c r="CO63" s="560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</row>
    <row r="64" spans="1:120" ht="12.75" customHeight="1" x14ac:dyDescent="0.25"/>
    <row r="65" spans="4:93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  <c r="CH65" s="391">
        <v>0</v>
      </c>
      <c r="CI65" s="391">
        <v>0</v>
      </c>
      <c r="CL65" s="391">
        <v>0</v>
      </c>
      <c r="CM65" s="391">
        <v>0</v>
      </c>
    </row>
    <row r="66" spans="4:93" x14ac:dyDescent="0.25">
      <c r="D66" s="115"/>
      <c r="E66" s="115"/>
      <c r="F66" s="115"/>
      <c r="G66" s="115"/>
      <c r="H66" s="115">
        <v>2018</v>
      </c>
      <c r="I66" s="115">
        <v>2019</v>
      </c>
      <c r="J66" s="115">
        <v>2020</v>
      </c>
      <c r="K66" s="115">
        <v>2021</v>
      </c>
      <c r="L66" s="115">
        <v>2022</v>
      </c>
      <c r="M66" s="115"/>
      <c r="N66" s="115"/>
      <c r="O66" s="115"/>
      <c r="P66" s="115"/>
      <c r="Q66" s="115"/>
      <c r="R66" s="115"/>
      <c r="S66" s="115"/>
      <c r="T66" s="115"/>
      <c r="U66" s="115"/>
      <c r="BV66" s="391">
        <v>0</v>
      </c>
      <c r="BW66" s="391">
        <v>0</v>
      </c>
      <c r="BX66" s="391">
        <v>0</v>
      </c>
      <c r="BY66" s="391">
        <v>0</v>
      </c>
      <c r="BZ66" s="391">
        <v>0</v>
      </c>
      <c r="CA66" s="391">
        <v>0</v>
      </c>
      <c r="CB66" s="391">
        <v>0</v>
      </c>
      <c r="CC66" s="391">
        <v>0</v>
      </c>
      <c r="CD66" s="391">
        <v>0</v>
      </c>
      <c r="CE66" s="391">
        <v>0</v>
      </c>
      <c r="CF66" s="391">
        <v>0</v>
      </c>
      <c r="CG66" s="391">
        <v>0</v>
      </c>
      <c r="CH66" s="391">
        <v>0</v>
      </c>
      <c r="CI66" s="391">
        <v>0</v>
      </c>
      <c r="CJ66" s="391">
        <v>0</v>
      </c>
      <c r="CK66" s="391">
        <v>0</v>
      </c>
      <c r="CL66" s="391">
        <v>11236172.530000001</v>
      </c>
      <c r="CM66" s="391">
        <v>0</v>
      </c>
      <c r="CN66" s="391">
        <v>0</v>
      </c>
      <c r="CO66" s="391">
        <v>0</v>
      </c>
    </row>
    <row r="67" spans="4:93" x14ac:dyDescent="0.25">
      <c r="F67" s="222" t="s">
        <v>125</v>
      </c>
    </row>
    <row r="68" spans="4:93" ht="13.25" customHeight="1" x14ac:dyDescent="0.25">
      <c r="F68" s="222" t="s">
        <v>126</v>
      </c>
      <c r="H68" s="426">
        <f>BV45*BV61</f>
        <v>15561813.087000003</v>
      </c>
      <c r="I68" s="426">
        <f>BZ45*BZ61</f>
        <v>14890762.251</v>
      </c>
      <c r="J68" s="426">
        <f>CD45*CD61</f>
        <v>13794016.868999999</v>
      </c>
      <c r="K68" s="426">
        <f>CH45*CH61</f>
        <v>12269556.908985389</v>
      </c>
      <c r="L68" s="426">
        <f>CL45*CL61</f>
        <v>9247238.3340000007</v>
      </c>
    </row>
    <row r="69" spans="4:93" x14ac:dyDescent="0.25">
      <c r="F69" s="222" t="s">
        <v>38</v>
      </c>
      <c r="H69" s="426">
        <f>BV58*BV63</f>
        <v>895214.73600000003</v>
      </c>
      <c r="I69" s="426">
        <f>BZ58*BZ63</f>
        <v>908274.25800000003</v>
      </c>
      <c r="J69" s="426">
        <f>CD58*CD63</f>
        <v>1192522.149</v>
      </c>
      <c r="K69" s="426">
        <f>CH58*CH63</f>
        <v>1400856.129</v>
      </c>
      <c r="L69" s="426">
        <f>CL58*CL63</f>
        <v>1443859.1460000002</v>
      </c>
    </row>
    <row r="70" spans="4:93" ht="13.25" customHeight="1" x14ac:dyDescent="0.25">
      <c r="F70" s="222" t="s">
        <v>35</v>
      </c>
      <c r="H70" s="426">
        <f>BV47*BV62</f>
        <v>643860.3060000001</v>
      </c>
      <c r="I70" s="426">
        <f>BZ47*BZ62</f>
        <v>274950.81900000008</v>
      </c>
      <c r="J70" s="426">
        <f>CD47*CD62</f>
        <v>239642.08199999999</v>
      </c>
      <c r="K70" s="426">
        <f>CH47*CH62</f>
        <v>669574.47600000002</v>
      </c>
      <c r="L70" s="426">
        <f>CL47*CL62</f>
        <v>495369.4499999999</v>
      </c>
    </row>
    <row r="71" spans="4:93" x14ac:dyDescent="0.25">
      <c r="F71" s="222" t="s">
        <v>127</v>
      </c>
      <c r="H71" s="426">
        <f>BV13*BV60</f>
        <v>1008065.9070000004</v>
      </c>
      <c r="I71" s="426">
        <f>BZ13*BZ60</f>
        <v>3227907.276000001</v>
      </c>
      <c r="J71" s="426">
        <f>CD13*CD60</f>
        <v>620899.29</v>
      </c>
      <c r="K71" s="426">
        <f>CH13*CH60</f>
        <v>785586.37782473746</v>
      </c>
      <c r="L71" s="426">
        <f>CL13*CL60</f>
        <v>1128299.2290000001</v>
      </c>
    </row>
    <row r="72" spans="4:93" x14ac:dyDescent="0.25">
      <c r="F72" s="222" t="s">
        <v>128</v>
      </c>
      <c r="H72" s="426">
        <f>SUM(H68:H71)</f>
        <v>18108954.036000006</v>
      </c>
      <c r="I72" s="426">
        <f>SUM(I68:I71)</f>
        <v>19301894.604000002</v>
      </c>
      <c r="J72" s="426">
        <f>SUM(J68:J71)</f>
        <v>15847080.390000001</v>
      </c>
      <c r="K72" s="426">
        <f>SUM(K68:K71)</f>
        <v>15125573.891810127</v>
      </c>
      <c r="L72" s="426">
        <f>SUM(L68:L71)</f>
        <v>12314766.159</v>
      </c>
      <c r="O72" s="427"/>
    </row>
    <row r="73" spans="4:93" x14ac:dyDescent="0.25">
      <c r="H73" s="427"/>
      <c r="I73" s="427"/>
      <c r="J73" s="427"/>
      <c r="K73" s="427"/>
      <c r="L73" s="427"/>
      <c r="O73" s="427"/>
    </row>
    <row r="74" spans="4:93" x14ac:dyDescent="0.25">
      <c r="F74" s="222" t="s">
        <v>125</v>
      </c>
      <c r="H74" s="115">
        <v>2018</v>
      </c>
      <c r="I74" s="115">
        <v>2019</v>
      </c>
      <c r="J74" s="115">
        <v>2020</v>
      </c>
      <c r="K74" s="115">
        <v>2021</v>
      </c>
      <c r="L74" s="115">
        <v>2022</v>
      </c>
      <c r="AU74" s="220"/>
      <c r="AV74" s="220"/>
      <c r="AW74" s="221"/>
      <c r="AX74" s="221"/>
      <c r="AY74" s="221"/>
      <c r="AZ74" s="221"/>
      <c r="BA74" s="221"/>
      <c r="BB74" s="221"/>
    </row>
    <row r="75" spans="4:93" x14ac:dyDescent="0.25">
      <c r="F75" s="222" t="s">
        <v>126</v>
      </c>
      <c r="H75" s="426">
        <f>H68+H$71*H68/(H$68+H$69)</f>
        <v>16515043.122996347</v>
      </c>
      <c r="I75" s="426">
        <f t="shared" ref="I75:L76" si="116">I68+I$71*I68/(I$68+I$69)</f>
        <v>17933099.661120422</v>
      </c>
      <c r="J75" s="426">
        <f t="shared" si="116"/>
        <v>14365509.411068803</v>
      </c>
      <c r="K75" s="426">
        <f t="shared" si="116"/>
        <v>12974641.440291166</v>
      </c>
      <c r="L75" s="426">
        <f t="shared" si="116"/>
        <v>10223157.962658316</v>
      </c>
      <c r="AU75" s="221"/>
      <c r="AV75" s="221"/>
      <c r="AW75" s="221"/>
      <c r="AX75" s="221"/>
      <c r="AY75" s="221"/>
      <c r="AZ75" s="221"/>
      <c r="BA75" s="221"/>
      <c r="BB75" s="221"/>
    </row>
    <row r="76" spans="4:93" x14ac:dyDescent="0.25">
      <c r="F76" s="222" t="s">
        <v>38</v>
      </c>
      <c r="H76" s="426">
        <f>H69+H$71*H69/(H$68+H$69)</f>
        <v>950050.60700365598</v>
      </c>
      <c r="I76" s="426">
        <f t="shared" si="116"/>
        <v>1093844.1238795791</v>
      </c>
      <c r="J76" s="426">
        <f t="shared" si="116"/>
        <v>1241928.896931197</v>
      </c>
      <c r="K76" s="426">
        <f t="shared" si="116"/>
        <v>1481357.9755189603</v>
      </c>
      <c r="L76" s="426">
        <f t="shared" si="116"/>
        <v>1596238.7463416855</v>
      </c>
    </row>
    <row r="77" spans="4:93" x14ac:dyDescent="0.25">
      <c r="F77" s="222" t="s">
        <v>35</v>
      </c>
      <c r="H77" s="426">
        <f>H70</f>
        <v>643860.3060000001</v>
      </c>
      <c r="I77" s="426">
        <f>I70</f>
        <v>274950.81900000008</v>
      </c>
      <c r="J77" s="426">
        <f>J70</f>
        <v>239642.08199999999</v>
      </c>
      <c r="K77" s="426">
        <f>K70</f>
        <v>669574.47600000002</v>
      </c>
      <c r="L77" s="426">
        <f>L70</f>
        <v>495369.4499999999</v>
      </c>
    </row>
    <row r="78" spans="4:93" x14ac:dyDescent="0.25">
      <c r="F78" s="222" t="s">
        <v>128</v>
      </c>
      <c r="H78" s="426">
        <f>SUM(H75:H77)</f>
        <v>18108954.036000006</v>
      </c>
      <c r="I78" s="426">
        <f>SUM(I75:I77)</f>
        <v>19301894.603999998</v>
      </c>
      <c r="J78" s="426">
        <f>SUM(J75:J77)</f>
        <v>15847080.390000001</v>
      </c>
      <c r="K78" s="426">
        <f>SUM(K75:K77)</f>
        <v>15125573.891810127</v>
      </c>
      <c r="L78" s="426">
        <f>SUM(L75:L77)</f>
        <v>12314766.159</v>
      </c>
    </row>
    <row r="79" spans="4:93" ht="13" x14ac:dyDescent="0.3">
      <c r="F79" s="1" t="s">
        <v>133</v>
      </c>
      <c r="H79" s="427">
        <f>H72-H78</f>
        <v>0</v>
      </c>
      <c r="I79" s="427">
        <f>I72-I78</f>
        <v>0</v>
      </c>
      <c r="J79" s="427">
        <f>J72-J78</f>
        <v>0</v>
      </c>
      <c r="K79" s="427">
        <f>K72-K78</f>
        <v>0</v>
      </c>
      <c r="L79" s="427">
        <f>L72-L78</f>
        <v>0</v>
      </c>
    </row>
    <row r="80" spans="4:93" ht="13" x14ac:dyDescent="0.3">
      <c r="F80" s="428" t="s">
        <v>125</v>
      </c>
      <c r="G80" s="428"/>
      <c r="H80" s="429" t="s">
        <v>129</v>
      </c>
      <c r="I80" s="429" t="s">
        <v>130</v>
      </c>
      <c r="J80" s="429" t="s">
        <v>131</v>
      </c>
      <c r="K80" s="429" t="s">
        <v>132</v>
      </c>
    </row>
    <row r="81" spans="6:45" ht="13.25" customHeight="1" x14ac:dyDescent="0.25">
      <c r="F81" s="222" t="s">
        <v>126</v>
      </c>
      <c r="H81" s="426">
        <f>H75/2+I75/2</f>
        <v>17224071.392058384</v>
      </c>
      <c r="I81" s="426">
        <f>I75/2+J75/2</f>
        <v>16149304.536094613</v>
      </c>
      <c r="J81" s="426">
        <f>J75/2+K75/2</f>
        <v>13670075.425679985</v>
      </c>
      <c r="K81" s="426">
        <f>K75/2+L75</f>
        <v>16710478.682803899</v>
      </c>
      <c r="L81" s="426"/>
      <c r="AO81"/>
      <c r="AS81"/>
    </row>
    <row r="82" spans="6:45" x14ac:dyDescent="0.25">
      <c r="F82" s="222" t="s">
        <v>38</v>
      </c>
      <c r="H82" s="426">
        <f t="shared" ref="H82:J83" si="117">H76/2+I76/2</f>
        <v>1021947.3654416176</v>
      </c>
      <c r="I82" s="426">
        <f t="shared" si="117"/>
        <v>1167886.5104053882</v>
      </c>
      <c r="J82" s="426">
        <f t="shared" si="117"/>
        <v>1361643.4362250785</v>
      </c>
      <c r="K82" s="426">
        <f>K76/2+L76</f>
        <v>2336917.7341011656</v>
      </c>
      <c r="L82" s="426"/>
      <c r="AO82"/>
      <c r="AS82"/>
    </row>
    <row r="83" spans="6:45" x14ac:dyDescent="0.25">
      <c r="F83" s="222" t="s">
        <v>35</v>
      </c>
      <c r="H83" s="426">
        <f t="shared" si="117"/>
        <v>459405.56250000012</v>
      </c>
      <c r="I83" s="426">
        <f t="shared" si="117"/>
        <v>257296.45050000004</v>
      </c>
      <c r="J83" s="426">
        <f t="shared" si="117"/>
        <v>454608.27899999998</v>
      </c>
      <c r="K83" s="426">
        <f>K77/2+L77</f>
        <v>830156.68799999985</v>
      </c>
      <c r="L83" s="426"/>
      <c r="AO83"/>
      <c r="AS83"/>
    </row>
    <row r="84" spans="6:45" x14ac:dyDescent="0.25">
      <c r="F84" s="222" t="s">
        <v>128</v>
      </c>
      <c r="H84" s="426">
        <f>SUM(H81:H83)</f>
        <v>18705424.32</v>
      </c>
      <c r="I84" s="426">
        <f>SUM(I81:I83)</f>
        <v>17574487.497000001</v>
      </c>
      <c r="J84" s="426">
        <f>SUM(J81:J83)</f>
        <v>15486327.140905064</v>
      </c>
      <c r="K84" s="426">
        <f>SUM(K81:K83)</f>
        <v>19877553.104905065</v>
      </c>
      <c r="L84" s="426"/>
      <c r="AO84"/>
      <c r="AS84"/>
    </row>
    <row r="85" spans="6:45" x14ac:dyDescent="0.25">
      <c r="H85" s="427">
        <v>0</v>
      </c>
      <c r="I85" s="427">
        <v>0</v>
      </c>
      <c r="J85" s="427">
        <v>-1566.6794709302485</v>
      </c>
      <c r="K85" s="427">
        <v>5008120.70852907</v>
      </c>
      <c r="AO85"/>
      <c r="AS85"/>
    </row>
    <row r="86" spans="6:45" x14ac:dyDescent="0.25">
      <c r="AO86"/>
      <c r="AS86"/>
    </row>
    <row r="87" spans="6:45" x14ac:dyDescent="0.25">
      <c r="AO87"/>
      <c r="AS87"/>
    </row>
    <row r="88" spans="6:45" x14ac:dyDescent="0.25">
      <c r="AO88"/>
      <c r="AS88"/>
    </row>
    <row r="89" spans="6:45" x14ac:dyDescent="0.25">
      <c r="AO89"/>
      <c r="AS89"/>
    </row>
    <row r="90" spans="6:45" x14ac:dyDescent="0.25">
      <c r="AO90"/>
      <c r="AS90"/>
    </row>
    <row r="91" spans="6:45" x14ac:dyDescent="0.25">
      <c r="AO91"/>
      <c r="AS91"/>
    </row>
    <row r="92" spans="6:45" x14ac:dyDescent="0.25">
      <c r="AO92"/>
      <c r="AS92"/>
    </row>
    <row r="93" spans="6:45" x14ac:dyDescent="0.25">
      <c r="AO93"/>
      <c r="AS93"/>
    </row>
    <row r="94" spans="6:45" x14ac:dyDescent="0.25">
      <c r="AO94"/>
      <c r="AS94"/>
    </row>
    <row r="95" spans="6:45" x14ac:dyDescent="0.25">
      <c r="AO95"/>
      <c r="AS95"/>
    </row>
    <row r="96" spans="6:45" x14ac:dyDescent="0.25">
      <c r="AO96"/>
      <c r="AS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38"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N3:N4"/>
    <mergeCell ref="BV2:BY2"/>
    <mergeCell ref="BZ2:CC2"/>
    <mergeCell ref="CD2:CG2"/>
    <mergeCell ref="U3:U4"/>
    <mergeCell ref="V3:V4"/>
    <mergeCell ref="W3:W4"/>
    <mergeCell ref="X3:X4"/>
    <mergeCell ref="Y3:Y4"/>
    <mergeCell ref="Z3:Z4"/>
    <mergeCell ref="O3:O4"/>
    <mergeCell ref="P3:P4"/>
    <mergeCell ref="Q3:Q4"/>
    <mergeCell ref="R3:R4"/>
    <mergeCell ref="CH2:CK2"/>
    <mergeCell ref="DN2:DP2"/>
    <mergeCell ref="D3:D4"/>
    <mergeCell ref="E3:E4"/>
    <mergeCell ref="F3:F4"/>
    <mergeCell ref="G3:G4"/>
    <mergeCell ref="H3:H4"/>
    <mergeCell ref="AY2:BB2"/>
    <mergeCell ref="BC2:BF2"/>
    <mergeCell ref="BG2:BI2"/>
    <mergeCell ref="BJ2:BM2"/>
    <mergeCell ref="BN2:BQ2"/>
    <mergeCell ref="BR2:BU2"/>
    <mergeCell ref="AA2:AD2"/>
    <mergeCell ref="AE2:AH2"/>
    <mergeCell ref="AI2:AL2"/>
    <mergeCell ref="AM2:AP2"/>
    <mergeCell ref="AQ2:AT2"/>
    <mergeCell ref="AU2:AX2"/>
    <mergeCell ref="I3:I4"/>
    <mergeCell ref="J3:J4"/>
    <mergeCell ref="K3:K4"/>
    <mergeCell ref="L3:L4"/>
    <mergeCell ref="M3:M4"/>
    <mergeCell ref="S3:S4"/>
    <mergeCell ref="T3:T4"/>
    <mergeCell ref="AG3:AG4"/>
    <mergeCell ref="AH3:AH4"/>
    <mergeCell ref="AI3:AI4"/>
    <mergeCell ref="AJ3:AJ4"/>
    <mergeCell ref="AK3:AK4"/>
    <mergeCell ref="AL3:AL4"/>
    <mergeCell ref="AA3:AA4"/>
    <mergeCell ref="AB3:AB4"/>
    <mergeCell ref="AC3:AC4"/>
    <mergeCell ref="AD3:AD4"/>
    <mergeCell ref="AE3:AE4"/>
    <mergeCell ref="AF3:AF4"/>
    <mergeCell ref="AS3:AS4"/>
    <mergeCell ref="AT3:AT4"/>
    <mergeCell ref="AU3:AU4"/>
    <mergeCell ref="AV3:AV4"/>
    <mergeCell ref="AW3:AW4"/>
    <mergeCell ref="AX3:AX4"/>
    <mergeCell ref="AM3:AM4"/>
    <mergeCell ref="AN3:AN4"/>
    <mergeCell ref="AO3:AO4"/>
    <mergeCell ref="AP3:AP4"/>
    <mergeCell ref="AQ3:AQ4"/>
    <mergeCell ref="AR3:AR4"/>
    <mergeCell ref="BH3:BH4"/>
    <mergeCell ref="BI3:BI4"/>
    <mergeCell ref="BJ3:BJ4"/>
    <mergeCell ref="BK3:BK4"/>
    <mergeCell ref="BL3:BL4"/>
    <mergeCell ref="BM3:BM4"/>
    <mergeCell ref="AY3:AY4"/>
    <mergeCell ref="AZ3:AZ4"/>
    <mergeCell ref="BA3:BA4"/>
    <mergeCell ref="BB3:BB4"/>
    <mergeCell ref="BC3:BC4"/>
    <mergeCell ref="BG3:BG4"/>
    <mergeCell ref="BT3:BT4"/>
    <mergeCell ref="BU3:BU4"/>
    <mergeCell ref="BV3:BV4"/>
    <mergeCell ref="BW3:BW4"/>
    <mergeCell ref="BX3:BX4"/>
    <mergeCell ref="BY3:BY4"/>
    <mergeCell ref="BN3:BN4"/>
    <mergeCell ref="BO3:BO4"/>
    <mergeCell ref="BP3:BP4"/>
    <mergeCell ref="BQ3:BQ4"/>
    <mergeCell ref="BR3:BR4"/>
    <mergeCell ref="BS3:BS4"/>
    <mergeCell ref="CG3:CG4"/>
    <mergeCell ref="CH3:CH4"/>
    <mergeCell ref="CI3:CI4"/>
    <mergeCell ref="CJ3:CJ4"/>
    <mergeCell ref="CK3:CK4"/>
    <mergeCell ref="BZ3:BZ4"/>
    <mergeCell ref="CA3:CA4"/>
    <mergeCell ref="CB3:CB4"/>
    <mergeCell ref="CC3:CC4"/>
    <mergeCell ref="CD3:CD4"/>
    <mergeCell ref="CE3:CE4"/>
    <mergeCell ref="DO3:DO4"/>
    <mergeCell ref="DP3:DP4"/>
    <mergeCell ref="A5:A13"/>
    <mergeCell ref="A46:A47"/>
    <mergeCell ref="A48:A58"/>
    <mergeCell ref="A60:A63"/>
    <mergeCell ref="B60:C60"/>
    <mergeCell ref="D60:F60"/>
    <mergeCell ref="G60:J60"/>
    <mergeCell ref="K60:N60"/>
    <mergeCell ref="DH3:DH4"/>
    <mergeCell ref="DI3:DI4"/>
    <mergeCell ref="DJ3:DJ4"/>
    <mergeCell ref="DK3:DK4"/>
    <mergeCell ref="DL3:DL4"/>
    <mergeCell ref="DN3:DN4"/>
    <mergeCell ref="DB3:DB4"/>
    <mergeCell ref="DC3:DC4"/>
    <mergeCell ref="DD3:DD4"/>
    <mergeCell ref="DE3:DE4"/>
    <mergeCell ref="DF3:DF4"/>
    <mergeCell ref="DG3:DG4"/>
    <mergeCell ref="CV3:CV4"/>
    <mergeCell ref="CW3:CW4"/>
    <mergeCell ref="AM60:AP60"/>
    <mergeCell ref="AQ60:AT60"/>
    <mergeCell ref="AU60:AX60"/>
    <mergeCell ref="AY60:BB60"/>
    <mergeCell ref="BC60:BF60"/>
    <mergeCell ref="BJ60:BM60"/>
    <mergeCell ref="O60:R60"/>
    <mergeCell ref="S60:V60"/>
    <mergeCell ref="W60:Z60"/>
    <mergeCell ref="AA60:AD60"/>
    <mergeCell ref="AE60:AH60"/>
    <mergeCell ref="AI60:AL60"/>
    <mergeCell ref="W61:Z61"/>
    <mergeCell ref="AA61:AD61"/>
    <mergeCell ref="AE61:AH61"/>
    <mergeCell ref="AI61:AL61"/>
    <mergeCell ref="AM61:AP61"/>
    <mergeCell ref="AQ61:AT61"/>
    <mergeCell ref="B61:C61"/>
    <mergeCell ref="D61:F61"/>
    <mergeCell ref="G61:J61"/>
    <mergeCell ref="K61:N61"/>
    <mergeCell ref="O61:R61"/>
    <mergeCell ref="S61:V61"/>
    <mergeCell ref="B63:C63"/>
    <mergeCell ref="D63:F63"/>
    <mergeCell ref="G63:J63"/>
    <mergeCell ref="K63:N63"/>
    <mergeCell ref="O63:R63"/>
    <mergeCell ref="S63:V63"/>
    <mergeCell ref="AU62:AX62"/>
    <mergeCell ref="BR62:BU62"/>
    <mergeCell ref="W62:Z62"/>
    <mergeCell ref="AA62:AD62"/>
    <mergeCell ref="AE62:AH62"/>
    <mergeCell ref="AI62:AL62"/>
    <mergeCell ref="AM62:AP62"/>
    <mergeCell ref="B62:C62"/>
    <mergeCell ref="D62:F62"/>
    <mergeCell ref="G62:J62"/>
    <mergeCell ref="K62:N62"/>
    <mergeCell ref="O62:R62"/>
    <mergeCell ref="AY62:BB62"/>
    <mergeCell ref="S62:V62"/>
    <mergeCell ref="AQ62:AT62"/>
    <mergeCell ref="BC62:BF62"/>
    <mergeCell ref="BJ62:BM62"/>
    <mergeCell ref="BN62:BQ62"/>
    <mergeCell ref="W63:Z63"/>
    <mergeCell ref="AA63:AD63"/>
    <mergeCell ref="AE63:AH63"/>
    <mergeCell ref="AI63:AL63"/>
    <mergeCell ref="AM63:AP63"/>
    <mergeCell ref="AQ63:AT63"/>
    <mergeCell ref="BZ62:CC62"/>
    <mergeCell ref="CD62:CG62"/>
    <mergeCell ref="CH62:CK62"/>
    <mergeCell ref="CL2:CO2"/>
    <mergeCell ref="CL3:CL4"/>
    <mergeCell ref="CM3:CM4"/>
    <mergeCell ref="CN3:CN4"/>
    <mergeCell ref="CO3:CO4"/>
    <mergeCell ref="AU63:AX63"/>
    <mergeCell ref="AY63:BB63"/>
    <mergeCell ref="BC63:BF63"/>
    <mergeCell ref="BJ63:BM63"/>
    <mergeCell ref="BN63:BQ63"/>
    <mergeCell ref="BR63:BU63"/>
    <mergeCell ref="BV61:BY61"/>
    <mergeCell ref="BZ61:CC61"/>
    <mergeCell ref="CD61:CG61"/>
    <mergeCell ref="CH61:CK61"/>
    <mergeCell ref="AU61:AX61"/>
    <mergeCell ref="AY61:BB61"/>
    <mergeCell ref="BC61:BF61"/>
    <mergeCell ref="BJ61:BM61"/>
    <mergeCell ref="BN61:BQ61"/>
    <mergeCell ref="BR61:BU61"/>
    <mergeCell ref="BN60:BQ60"/>
    <mergeCell ref="BR60:BU60"/>
    <mergeCell ref="BV60:BY60"/>
    <mergeCell ref="CL60:CO60"/>
    <mergeCell ref="CL61:CO61"/>
    <mergeCell ref="CL62:CO62"/>
    <mergeCell ref="CL63:CO63"/>
    <mergeCell ref="DM3:DM4"/>
    <mergeCell ref="BV63:BY63"/>
    <mergeCell ref="BZ63:CC63"/>
    <mergeCell ref="CD63:CG63"/>
    <mergeCell ref="CH63:CK63"/>
    <mergeCell ref="BV62:BY62"/>
    <mergeCell ref="BZ60:CC60"/>
    <mergeCell ref="CD60:CG60"/>
    <mergeCell ref="CH60:CK60"/>
    <mergeCell ref="CX3:CX4"/>
    <mergeCell ref="CY3:CY4"/>
    <mergeCell ref="CZ3:CZ4"/>
    <mergeCell ref="DA3:DA4"/>
    <mergeCell ref="CP3:CP4"/>
    <mergeCell ref="CQ3:CQ4"/>
    <mergeCell ref="CR3:CR4"/>
    <mergeCell ref="CS3:CS4"/>
    <mergeCell ref="CT3:CT4"/>
    <mergeCell ref="CU3:CU4"/>
    <mergeCell ref="CF3:CF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B0015-FE3B-4E17-A6EC-2A11C3FE9FE7}">
  <sheetPr>
    <tabColor rgb="FFFFFF00"/>
  </sheetPr>
  <dimension ref="A1:DU426"/>
  <sheetViews>
    <sheetView workbookViewId="0">
      <pane xSplit="3" ySplit="4" topLeftCell="DN43" activePane="bottomRight" state="frozen"/>
      <selection pane="topRight" activeCell="D1" sqref="D1"/>
      <selection pane="bottomLeft" activeCell="A5" sqref="A5"/>
      <selection pane="bottomRight" activeCell="CL60" sqref="CL60:CO63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13.1796875" bestFit="1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11" width="17.08984375" bestFit="1" customWidth="1"/>
    <col min="12" max="12" width="16.0898437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5.36328125" customWidth="1"/>
    <col min="75" max="75" width="13.6328125" bestFit="1" customWidth="1"/>
    <col min="76" max="77" width="8.81640625" bestFit="1" customWidth="1"/>
    <col min="78" max="78" width="14.6328125" bestFit="1" customWidth="1"/>
    <col min="79" max="79" width="13.6328125" bestFit="1" customWidth="1"/>
    <col min="80" max="81" width="8.81640625" bestFit="1" customWidth="1"/>
    <col min="82" max="82" width="14.6328125" bestFit="1" customWidth="1"/>
    <col min="83" max="83" width="12.08984375" bestFit="1" customWidth="1"/>
    <col min="84" max="85" width="8.81640625" bestFit="1" customWidth="1"/>
    <col min="86" max="86" width="14.6328125" bestFit="1" customWidth="1"/>
    <col min="87" max="87" width="12.08984375" bestFit="1" customWidth="1"/>
    <col min="88" max="89" width="8.81640625" bestFit="1" customWidth="1"/>
    <col min="90" max="90" width="14.6328125" bestFit="1" customWidth="1"/>
    <col min="91" max="91" width="12.08984375" bestFit="1" customWidth="1"/>
    <col min="92" max="93" width="8.81640625" bestFit="1" customWidth="1"/>
    <col min="94" max="94" width="14.6328125" bestFit="1" customWidth="1"/>
    <col min="95" max="95" width="12.08984375" bestFit="1" customWidth="1"/>
    <col min="96" max="97" width="8.81640625" bestFit="1" customWidth="1"/>
    <col min="98" max="105" width="11.1796875" customWidth="1"/>
    <col min="106" max="106" width="11.1796875" bestFit="1" customWidth="1"/>
    <col min="107" max="107" width="13" customWidth="1"/>
    <col min="108" max="108" width="15.453125" customWidth="1"/>
    <col min="111" max="111" width="10.1796875" customWidth="1"/>
  </cols>
  <sheetData>
    <row r="1" spans="1:125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25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587">
        <v>2021</v>
      </c>
      <c r="CI2" s="588"/>
      <c r="CJ2" s="588"/>
      <c r="CK2" s="588"/>
      <c r="CL2" s="587">
        <v>2022</v>
      </c>
      <c r="CM2" s="588"/>
      <c r="CN2" s="588"/>
      <c r="CO2" s="588"/>
      <c r="CP2" s="587">
        <v>2023</v>
      </c>
      <c r="CQ2" s="588"/>
      <c r="CR2" s="588"/>
      <c r="CS2" s="588"/>
      <c r="CT2" s="392"/>
      <c r="CU2" s="392"/>
      <c r="CV2" s="392"/>
      <c r="CW2" s="392"/>
      <c r="CX2" s="392"/>
      <c r="CY2" s="392"/>
      <c r="CZ2" s="392"/>
      <c r="DA2" s="392"/>
      <c r="DB2" s="392"/>
      <c r="DC2" s="392"/>
      <c r="DD2" s="392"/>
      <c r="DE2" s="392"/>
      <c r="DF2" s="392"/>
      <c r="DG2" s="392"/>
      <c r="DH2" s="392"/>
      <c r="DI2" s="392"/>
      <c r="DJ2" s="392"/>
      <c r="DK2" s="392"/>
      <c r="DL2" s="392"/>
      <c r="DM2" s="392"/>
      <c r="DN2" s="392"/>
      <c r="DO2" s="392"/>
      <c r="DP2" s="392"/>
      <c r="DQ2" s="392"/>
      <c r="DR2" s="392"/>
      <c r="DS2" s="611">
        <f>CP2</f>
        <v>2023</v>
      </c>
      <c r="DT2" s="612"/>
      <c r="DU2" s="613"/>
    </row>
    <row r="3" spans="1:125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490" t="s">
        <v>5</v>
      </c>
      <c r="CI3" s="490" t="s">
        <v>124</v>
      </c>
      <c r="CJ3" s="490" t="s">
        <v>3</v>
      </c>
      <c r="CK3" s="490" t="s">
        <v>93</v>
      </c>
      <c r="CL3" s="490" t="s">
        <v>5</v>
      </c>
      <c r="CM3" s="490" t="s">
        <v>4</v>
      </c>
      <c r="CN3" s="490" t="s">
        <v>3</v>
      </c>
      <c r="CO3" s="490" t="s">
        <v>93</v>
      </c>
      <c r="CP3" s="490" t="s">
        <v>5</v>
      </c>
      <c r="CQ3" s="490" t="s">
        <v>4</v>
      </c>
      <c r="CR3" s="490" t="s">
        <v>3</v>
      </c>
      <c r="CS3" s="490" t="s">
        <v>93</v>
      </c>
      <c r="CT3" s="571" t="s">
        <v>63</v>
      </c>
      <c r="CU3" s="571" t="s">
        <v>71</v>
      </c>
      <c r="CV3" s="571" t="s">
        <v>72</v>
      </c>
      <c r="CW3" s="571" t="s">
        <v>73</v>
      </c>
      <c r="CX3" s="571" t="s">
        <v>74</v>
      </c>
      <c r="CY3" s="571" t="s">
        <v>75</v>
      </c>
      <c r="CZ3" s="571" t="s">
        <v>62</v>
      </c>
      <c r="DA3" s="571" t="s">
        <v>64</v>
      </c>
      <c r="DB3" s="571" t="s">
        <v>65</v>
      </c>
      <c r="DC3" s="571" t="s">
        <v>66</v>
      </c>
      <c r="DD3" s="571" t="s">
        <v>67</v>
      </c>
      <c r="DE3" s="571" t="s">
        <v>76</v>
      </c>
      <c r="DF3" s="571" t="s">
        <v>77</v>
      </c>
      <c r="DG3" s="571" t="s">
        <v>78</v>
      </c>
      <c r="DH3" s="571" t="s">
        <v>79</v>
      </c>
      <c r="DI3" s="571" t="s">
        <v>108</v>
      </c>
      <c r="DJ3" s="571" t="s">
        <v>98</v>
      </c>
      <c r="DK3" s="571" t="s">
        <v>99</v>
      </c>
      <c r="DL3" s="571" t="s">
        <v>100</v>
      </c>
      <c r="DM3" s="571" t="s">
        <v>101</v>
      </c>
      <c r="DN3" s="571" t="s">
        <v>117</v>
      </c>
      <c r="DO3" s="571" t="s">
        <v>118</v>
      </c>
      <c r="DP3" s="571" t="s">
        <v>119</v>
      </c>
      <c r="DQ3" s="571" t="s">
        <v>134</v>
      </c>
      <c r="DR3" s="571" t="s">
        <v>135</v>
      </c>
      <c r="DS3" s="490" t="s">
        <v>56</v>
      </c>
      <c r="DT3" s="490" t="s">
        <v>57</v>
      </c>
      <c r="DU3" s="490" t="s">
        <v>58</v>
      </c>
    </row>
    <row r="4" spans="1:125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491"/>
      <c r="CM4" s="491"/>
      <c r="CN4" s="491"/>
      <c r="CO4" s="491"/>
      <c r="CP4" s="491"/>
      <c r="CQ4" s="491"/>
      <c r="CR4" s="491"/>
      <c r="CS4" s="491"/>
      <c r="CT4" s="572"/>
      <c r="CU4" s="572"/>
      <c r="CV4" s="572"/>
      <c r="CW4" s="572"/>
      <c r="CX4" s="572"/>
      <c r="CY4" s="572"/>
      <c r="CZ4" s="572"/>
      <c r="DA4" s="572"/>
      <c r="DB4" s="572"/>
      <c r="DC4" s="572"/>
      <c r="DD4" s="572"/>
      <c r="DE4" s="572"/>
      <c r="DF4" s="572"/>
      <c r="DG4" s="572"/>
      <c r="DH4" s="572"/>
      <c r="DI4" s="572"/>
      <c r="DJ4" s="572"/>
      <c r="DK4" s="572"/>
      <c r="DL4" s="572"/>
      <c r="DM4" s="572"/>
      <c r="DN4" s="572"/>
      <c r="DO4" s="572"/>
      <c r="DP4" s="572"/>
      <c r="DQ4" s="572"/>
      <c r="DR4" s="572"/>
      <c r="DS4" s="491"/>
      <c r="DT4" s="491"/>
      <c r="DU4" s="491"/>
    </row>
    <row r="5" spans="1:125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290">
        <v>461340.9599999999</v>
      </c>
      <c r="CI5" s="290">
        <v>0</v>
      </c>
      <c r="CJ5" s="290"/>
      <c r="CK5" s="290"/>
      <c r="CL5" s="290">
        <v>954542.1</v>
      </c>
      <c r="CM5" s="290"/>
      <c r="CN5" s="290"/>
      <c r="CO5" s="290"/>
      <c r="CP5" s="290">
        <v>323521.71000000002</v>
      </c>
      <c r="CQ5" s="290"/>
      <c r="CR5" s="290"/>
      <c r="CS5" s="290"/>
      <c r="CT5" s="321">
        <f t="shared" ref="CT5:CT12" si="0">IF(D5=0,0,2001-(D5-F5)*C5/D5)</f>
        <v>1999.6451111805941</v>
      </c>
      <c r="CU5" s="333">
        <f t="shared" ref="CU5:CU12" si="1">IF((1-($DS$2-$CT5)/$C5)&gt;0,(1-($DS$2-$CT5)/$C5),0)</f>
        <v>0</v>
      </c>
      <c r="CV5" s="333">
        <f t="shared" ref="CV5:CV12" si="2">IF((1-($DS$2-G$2)/$C5)&gt;0,(1-($DS$2-G$2)/$C5),0)</f>
        <v>0</v>
      </c>
      <c r="CW5" s="333">
        <f t="shared" ref="CW5:CW12" si="3">IF((1-($DS$2-K$2)/$C5)&gt;0,(1-($DS$2-K$2)/$C5),0)</f>
        <v>0</v>
      </c>
      <c r="CX5" s="333">
        <f t="shared" ref="CX5:CX12" si="4">IF((1-($DS$2-O$2)/$C5)&gt;0,(1-($DS$2-O$2)/$C5),0)</f>
        <v>0</v>
      </c>
      <c r="CY5" s="333">
        <f t="shared" ref="CY5:CY12" si="5">IF((1-($DS$2-S$2)/$C5)&gt;0,(1-($DS$2-S$2)/$C5),0)</f>
        <v>0</v>
      </c>
      <c r="CZ5" s="333">
        <f t="shared" ref="CZ5:CZ12" si="6">IF((1-($DS$2-W$2)/$C5)&gt;0,(1-($DS$2-W$2)/$C5),0)</f>
        <v>0</v>
      </c>
      <c r="DA5" s="333">
        <f t="shared" ref="DA5:DA12" si="7">IF((1-($DS$2-AA$2)/$C5)&gt;0,(1-($DS$2-AA$2)/$C5),0)</f>
        <v>0</v>
      </c>
      <c r="DB5" s="333">
        <f t="shared" ref="DB5:DB12" si="8">IF((1-($DS$2-AE$2)/$C5)&gt;0,(1-($DS$2-AE$2)/$C5),0)</f>
        <v>0</v>
      </c>
      <c r="DC5" s="333">
        <f t="shared" ref="DC5:DC12" si="9">IF((1-($DS$2-AI$2)/$C5)&gt;0,(1-($DS$2-AI$2)/$C5),0)</f>
        <v>0</v>
      </c>
      <c r="DD5" s="333">
        <f t="shared" ref="DD5:DD12" si="10">IF((1-($DS$2-AM$2)/$C5)&gt;0,(1-($DS$2-AM$2)/$C5),0)</f>
        <v>0</v>
      </c>
      <c r="DE5" s="333">
        <f t="shared" ref="DE5:DE12" si="11">IF((1-($DS$2-AQ$2)/$C5)&gt;0,(1-($DS$2-AQ$2)/$C5),0)</f>
        <v>0</v>
      </c>
      <c r="DF5" s="333">
        <f t="shared" ref="DF5:DF12" si="12">IF((1-($DS$2-AU$2)/$C5)&gt;0,(1-($DS$2-AU$2)/$C5),0)</f>
        <v>0</v>
      </c>
      <c r="DG5" s="333">
        <f t="shared" ref="DG5:DG12" si="13">IF((1-($DS$2-AY$2)/$C5)&gt;0,(1-($DS$2-AY$2)/$C5),0)</f>
        <v>0</v>
      </c>
      <c r="DH5" s="333">
        <f t="shared" ref="DH5:DH12" si="14">IF((1-($DS$2-BC$2)/$C5)&gt;0,(1-($DS$2-BC$2)/$C5),0)</f>
        <v>0</v>
      </c>
      <c r="DI5" s="333">
        <f t="shared" ref="DI5:DI12" si="15">IF(BG5=0,0,1-($DS$2-(2014.5-(BG5-BI5)*C5/BG5))/C5)</f>
        <v>0</v>
      </c>
      <c r="DJ5" s="333">
        <f t="shared" ref="DJ5:DJ12" si="16">IF((1-($DS$2-BJ$2)/$C5)&gt;0,(1-($DS$2-BJ$2)/$C5),0)</f>
        <v>0</v>
      </c>
      <c r="DK5" s="333">
        <f t="shared" ref="DK5:DK12" si="17">IF((1-($DS$2-BN$2)/$C5)&gt;0,(1-($DS$2-BN$2)/$C5),0)</f>
        <v>0</v>
      </c>
      <c r="DL5" s="333">
        <f t="shared" ref="DL5:DL12" si="18">IF((1-($DS$2-BR$2)/$C5)&gt;0,(1-($DS$2-BR$2)/$C5),0)</f>
        <v>0</v>
      </c>
      <c r="DM5" s="333">
        <f t="shared" ref="DM5:DM12" si="19">IF((1-($DS$2-BV$2)/$C5)&gt;0,(1-($DS$2-BV$2)/$C5),0)</f>
        <v>0</v>
      </c>
      <c r="DN5" s="333">
        <f t="shared" ref="DN5:DN12" si="20">IF((1-($DS$2-BZ$2)/$C5)&gt;0,(1-($DS$2-BZ$2)/$C5),0)</f>
        <v>0</v>
      </c>
      <c r="DO5" s="333">
        <f t="shared" ref="DO5:DO12" si="21">IF((1-($DS$2-CD$2)/$C5)&gt;0,(1-($DS$2-CD$2)/$C5),0)</f>
        <v>0.25</v>
      </c>
      <c r="DP5" s="333">
        <f t="shared" ref="DP5:DP12" si="22">IF((1-($DS$2-CH$2)/$C5)&gt;0,(1-($DS$2-CH$2)/$C5),0)</f>
        <v>0.5</v>
      </c>
      <c r="DQ5" s="333">
        <f>IF((1-($DS$2-CL$2)/$C5)&gt;0,(1-($DS$2-CL$2)/$C5),0)</f>
        <v>0.75</v>
      </c>
      <c r="DR5" s="333">
        <f>IF((1-($DS$2-CP$2)/$C5)&gt;0,(1-($DS$2-CP$2)/$C5),0)</f>
        <v>1</v>
      </c>
      <c r="DS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+(CH5-CI5-CJ5)*$CH$60+(CL5-CM5-CN5)*$CL$60+(CP5-CQ5-CR5)*$CP$60</f>
        <v>10901081.489541091</v>
      </c>
      <c r="DT5" s="334">
        <f>IF(CU5=0,D5-E5,0)+IF(CV5=0,(G5-H5-I5)*G$60,0)+IF(CW5=0,(K5-L5-M5)*K$60,0)+IF(CX5=0,(O5-P5-Q5)*O$60,0)+IF(CY5=0,(S5-T5-U5)*S$60,0)+IF(CZ5=0,(W5-X5-Y5)*W$60,0)+IF(DA5=0,(AA5-AB5-AC5)*AA$60,0)+IF(DB5=0,(AE5-AF5-AG5)*AE$60,0)+IF(DC5=0,(AI5-AJ5-AK5)*AI$60,0)+IF(DD5=0,(AM5-AN5-AO5)*AM$60,0)+IF(DE5=0,(AQ5-AR5-AS5)*$AQ$60,0)+IF(DF5=0,(AU5-AV5-AW5)*$AU$60,0)+IF(DG5=0,(AY5-AZ5-BA5)*$AY$60,0)++IF(DH5=0,(BC5-BD5-BE5)*$BC$60,0)+IF(DI5=0,BG5,0)+IF(DJ5=0,(BJ5-BK5-BL5)*$BJ$60,0)+IF(DK5=0,(BN5-BO5-BP5)*$BN$60,0)+IF(DL5=0,(BR5-BS5-BT5)*$BR$60,0)+IF(DM5=0,(BV5-BW5-BX5)*$BV$60,0)+IF(DN5=0,(BZ5-CA5-CB5)*$BZ$60,0)+IF(DO5=0,(CD5-CE5-CF5)*$CD$60,0)+IF(DP5=0,(CH5-CI5-CJ5)*$CH$60,0)+IF(DQ5=0,(CL5-CM5-CN5)*$CL$60,0)+IF(DR5=0,(CP5-CQ5-CR5)*$CP$60,0)</f>
        <v>8936421.4117265418</v>
      </c>
      <c r="DU5" s="334">
        <f>(D5-E5)*CU5+((G5-H5-(I5-J5))*G$60)*CV5+((K5-L5-(M5-N5))*K$60)*CW5+((O5-P5-(Q5-R5))*O$60)*CX5+((S5-T5-(U5-V5))*S$60)*CY5+((W5-X5-(Y5-Z5))*W$60)*CZ5+((AA5-AB5-(AC5-AD5))*AA$60)*DA5+((AE5-AF5-(AG5-AH5))*AE$60)*DB5+((AI5-AJ5-(AK5-AL5))*AI$60)*DC5+((AM5-AN5-(AO5-AP5))*$AM$60)*DD5+((AQ5-AR5-(AS5-AT5))*$AQ$60)*DE5+((AU5-AV5-(AW5-AX5))*$AU$60)*DF5+((AY5-AZ5-(BA5-BB5))*$AY$60)*DG5+((BC5-BD5-(BE5-BF5))*$BC$60)*DH5+((BJ5-BK5-(BL5-BM5))*$BJ$60)*DJ5+(BG5-BH5)*DI5+((BN5-BO5-(BP5-BQ5))*$BN$60)*DK5+((BR5-BS5-(BT5-BU5))*$BR$60)*DL5+((BV5-BW5-(BX5-BY5))*$BV$60)*DM5+((BZ5-CA5-(CB5-CC5))*$BZ$60)*DN5+((CD5-CE5-(CF5-CG5))*$CD$60)*DO5+((CH5-CI5-(CJ5-CK5))*$CH$60*DP5)+((CL5-CM5-(CN5-CO5))*$CL$60*DQ5)+((CP5-CQ5-(CR5-CS5))*$CP$60*DR5)</f>
        <v>1241849.925907274</v>
      </c>
    </row>
    <row r="6" spans="1:125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290">
        <v>0</v>
      </c>
      <c r="CI6" s="290">
        <v>0</v>
      </c>
      <c r="CJ6" s="290"/>
      <c r="CK6" s="290"/>
      <c r="CL6" s="290">
        <v>0</v>
      </c>
      <c r="CM6" s="290"/>
      <c r="CN6" s="290"/>
      <c r="CO6" s="290"/>
      <c r="CP6" s="290">
        <v>0</v>
      </c>
      <c r="CQ6" s="290"/>
      <c r="CR6" s="290"/>
      <c r="CS6" s="290"/>
      <c r="CT6" s="321">
        <f t="shared" si="0"/>
        <v>2001</v>
      </c>
      <c r="CU6" s="333">
        <f t="shared" si="1"/>
        <v>0.97799999999999998</v>
      </c>
      <c r="CV6" s="333">
        <f t="shared" si="2"/>
        <v>0.97899999999999998</v>
      </c>
      <c r="CW6" s="333">
        <f t="shared" si="3"/>
        <v>0.98</v>
      </c>
      <c r="CX6" s="333">
        <f t="shared" si="4"/>
        <v>0.98099999999999998</v>
      </c>
      <c r="CY6" s="333">
        <f t="shared" si="5"/>
        <v>0.98199999999999998</v>
      </c>
      <c r="CZ6" s="333">
        <f t="shared" si="6"/>
        <v>0.98299999999999998</v>
      </c>
      <c r="DA6" s="333">
        <f t="shared" si="7"/>
        <v>0.98399999999999999</v>
      </c>
      <c r="DB6" s="333">
        <f t="shared" si="8"/>
        <v>0.98499999999999999</v>
      </c>
      <c r="DC6" s="333">
        <f t="shared" si="9"/>
        <v>0.98599999999999999</v>
      </c>
      <c r="DD6" s="333">
        <f t="shared" si="10"/>
        <v>0.98699999999999999</v>
      </c>
      <c r="DE6" s="333">
        <f t="shared" si="11"/>
        <v>0.98799999999999999</v>
      </c>
      <c r="DF6" s="333">
        <f t="shared" si="12"/>
        <v>0.98899999999999999</v>
      </c>
      <c r="DG6" s="333">
        <f t="shared" si="13"/>
        <v>0.99</v>
      </c>
      <c r="DH6" s="333">
        <f t="shared" si="14"/>
        <v>0.99099999999999999</v>
      </c>
      <c r="DI6" s="333">
        <f t="shared" si="15"/>
        <v>0.99150000000000005</v>
      </c>
      <c r="DJ6" s="333">
        <f t="shared" si="16"/>
        <v>0.99199999999999999</v>
      </c>
      <c r="DK6" s="333">
        <f t="shared" si="17"/>
        <v>0.99299999999999999</v>
      </c>
      <c r="DL6" s="333">
        <f t="shared" si="18"/>
        <v>0.99399999999999999</v>
      </c>
      <c r="DM6" s="333">
        <f t="shared" si="19"/>
        <v>0.995</v>
      </c>
      <c r="DN6" s="333">
        <f t="shared" si="20"/>
        <v>0.996</v>
      </c>
      <c r="DO6" s="333">
        <f t="shared" si="21"/>
        <v>0.997</v>
      </c>
      <c r="DP6" s="333">
        <f t="shared" si="22"/>
        <v>0.998</v>
      </c>
      <c r="DQ6" s="333">
        <f t="shared" ref="DQ6:DQ12" si="23">IF((1-($DS$2-CL$2)/$C6)&gt;0,(1-($DS$2-CL$2)/$C6),0)</f>
        <v>0.999</v>
      </c>
      <c r="DR6" s="333">
        <f t="shared" ref="DR6:DR12" si="24">IF((1-($DS$2-CP$2)/$C6)&gt;0,(1-($DS$2-CP$2)/$C6),0)</f>
        <v>1</v>
      </c>
      <c r="DS6" s="334">
        <f t="shared" ref="DS6:DS12" si="25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+(CH6-CI6-CJ6)*$CH$60+(CL6-CM6-CN6)*$CL$60+(CP6-CQ6-CR6)*$CP$60</f>
        <v>1314125.0854951243</v>
      </c>
      <c r="DT6" s="334">
        <f t="shared" ref="DT6:DT12" si="26">IF(CU6=0,D6-E6,0)+IF(CV6=0,(G6-H6-I6)*G$60,0)+IF(CW6=0,(K6-L6-M6)*K$60,0)+IF(CX6=0,(O6-P6-Q6)*O$60,0)+IF(CY6=0,(S6-T6-U6)*S$60,0)+IF(CZ6=0,(W6-X6-Y6)*W$60,0)+IF(DA6=0,(AA6-AB6-AC6)*AA$60,0)+IF(DB6=0,(AE6-AF6-AG6)*AE$60,0)+IF(DC6=0,(AI6-AJ6-AK6)*AI$60,0)+IF(DD6=0,(AM6-AN6-AO6)*AM$60,0)+IF(DE6=0,(AQ6-AR6-AS6)*$AQ$60,0)+IF(DF6=0,(AU6-AV6-AW6)*$AU$60,0)+IF(DG6=0,(AY6-AZ6-BA6)*$AY$60,0)++IF(DH6=0,(BC6-BD6-BE6)*$BC$60,0)+IF(DI6=0,BG6,0)+IF(DJ6=0,(BJ6-BK6-BL6)*$BJ$60,0)+IF(DK6=0,(BN6-BO6-BP6)*$BN$60,0)+IF(DL6=0,(BR6-BS6-BT6)*$BR$60,0)+IF(DM6=0,(BV6-BW6-BX6)*$BV$60,0)+IF(DN6=0,(BZ6-CA6-CB6)*$BZ$60,0)+IF(DO6=0,(CD6-CE6-CF6)*$CD$60,0)+IF(DP6=0,(CH6-CI6-CJ6)*$CH$60,0)+IF(DQ6=0,(CL6-CM6-CN6)*$CL$60,0)+IF(DR6=0,(CP6-CQ6-CR6)*$CP$60,0)</f>
        <v>0</v>
      </c>
      <c r="DU6" s="334">
        <f t="shared" ref="DU6:DU12" si="27">(D6-E6)*CU6+((G6-H6-(I6-J6))*G$60)*CV6+((K6-L6-(M6-N6))*K$60)*CW6+((O6-P6-(Q6-R6))*O$60)*CX6+((S6-T6-(U6-V6))*S$60)*CY6+((W6-X6-(Y6-Z6))*W$60)*CZ6+((AA6-AB6-(AC6-AD6))*AA$60)*DA6+((AE6-AF6-(AG6-AH6))*AE$60)*DB6+((AI6-AJ6-(AK6-AL6))*AI$60)*DC6+((AM6-AN6-(AO6-AP6))*$AM$60)*DD6+((AQ6-AR6-(AS6-AT6))*$AQ$60)*DE6+((AU6-AV6-(AW6-AX6))*$AU$60)*DF6+((AY6-AZ6-(BA6-BB6))*$AY$60)*DG6+((BC6-BD6-(BE6-BF6))*$BC$60)*DH6+((BJ6-BK6-(BL6-BM6))*$BJ$60)*DJ6+(BG6-BH6)*DI6+((BN6-BO6-(BP6-BQ6))*$BN$60)*DK6+((BR6-BS6-(BT6-BU6))*$BR$60)*DL6+((BV6-BW6-(BX6-BY6))*$BV$60)*DM6+((BZ6-CA6-(CB6-CC6))*$BZ$60)*DN6+((CD6-CE6-(CF6-CG6))*$CD$60)*DO6+((CH6-CI6-(CJ6-CK6))*$CH$60*DP6)+((CL6-CM6-(CN6-CO6))*$CL$60*DQ6)+((CP6-CQ6-(CR6-CS6))*$CP$60*DR6)</f>
        <v>1302242.1879285877</v>
      </c>
    </row>
    <row r="7" spans="1:125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290">
        <v>224894.88999999998</v>
      </c>
      <c r="CI7" s="290">
        <v>0</v>
      </c>
      <c r="CJ7" s="290"/>
      <c r="CK7" s="290"/>
      <c r="CL7" s="290">
        <v>102170.87</v>
      </c>
      <c r="CM7" s="290"/>
      <c r="CN7" s="290"/>
      <c r="CO7" s="290"/>
      <c r="CP7" s="290">
        <v>24833</v>
      </c>
      <c r="CQ7" s="290"/>
      <c r="CR7" s="290"/>
      <c r="CS7" s="290"/>
      <c r="CT7" s="321">
        <f t="shared" si="0"/>
        <v>1985.8657049273502</v>
      </c>
      <c r="CU7" s="333">
        <f t="shared" si="1"/>
        <v>7.1642623183754472E-2</v>
      </c>
      <c r="CV7" s="333">
        <f t="shared" si="2"/>
        <v>0.47499999999999998</v>
      </c>
      <c r="CW7" s="333">
        <f t="shared" si="3"/>
        <v>0.5</v>
      </c>
      <c r="CX7" s="333">
        <f t="shared" si="4"/>
        <v>0.52500000000000002</v>
      </c>
      <c r="CY7" s="333">
        <f t="shared" si="5"/>
        <v>0.55000000000000004</v>
      </c>
      <c r="CZ7" s="333">
        <f t="shared" si="6"/>
        <v>0.57499999999999996</v>
      </c>
      <c r="DA7" s="333">
        <f t="shared" si="7"/>
        <v>0.6</v>
      </c>
      <c r="DB7" s="333">
        <f t="shared" si="8"/>
        <v>0.625</v>
      </c>
      <c r="DC7" s="333">
        <f t="shared" si="9"/>
        <v>0.65</v>
      </c>
      <c r="DD7" s="333">
        <f t="shared" si="10"/>
        <v>0.67500000000000004</v>
      </c>
      <c r="DE7" s="333">
        <f t="shared" si="11"/>
        <v>0.7</v>
      </c>
      <c r="DF7" s="333">
        <f t="shared" si="12"/>
        <v>0.72499999999999998</v>
      </c>
      <c r="DG7" s="333">
        <f t="shared" si="13"/>
        <v>0.75</v>
      </c>
      <c r="DH7" s="333">
        <f t="shared" si="14"/>
        <v>0.77500000000000002</v>
      </c>
      <c r="DI7" s="333">
        <f t="shared" si="15"/>
        <v>0.78749999999999998</v>
      </c>
      <c r="DJ7" s="333">
        <f t="shared" si="16"/>
        <v>0.8</v>
      </c>
      <c r="DK7" s="333">
        <f t="shared" si="17"/>
        <v>0.82499999999999996</v>
      </c>
      <c r="DL7" s="333">
        <f t="shared" si="18"/>
        <v>0.85</v>
      </c>
      <c r="DM7" s="333">
        <f t="shared" si="19"/>
        <v>0.875</v>
      </c>
      <c r="DN7" s="333">
        <f t="shared" si="20"/>
        <v>0.9</v>
      </c>
      <c r="DO7" s="333">
        <f t="shared" si="21"/>
        <v>0.92500000000000004</v>
      </c>
      <c r="DP7" s="333">
        <f t="shared" si="22"/>
        <v>0.95</v>
      </c>
      <c r="DQ7" s="333">
        <f t="shared" si="23"/>
        <v>0.97499999999999998</v>
      </c>
      <c r="DR7" s="333">
        <f t="shared" si="24"/>
        <v>1</v>
      </c>
      <c r="DS7" s="334">
        <f t="shared" si="25"/>
        <v>1975569.9829245096</v>
      </c>
      <c r="DT7" s="334">
        <f t="shared" si="26"/>
        <v>0</v>
      </c>
      <c r="DU7" s="334">
        <f t="shared" si="27"/>
        <v>773658.29910847778</v>
      </c>
    </row>
    <row r="8" spans="1:125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290">
        <v>3954.7</v>
      </c>
      <c r="CI8" s="290">
        <v>0</v>
      </c>
      <c r="CJ8" s="290"/>
      <c r="CK8" s="290"/>
      <c r="CL8" s="290">
        <v>0</v>
      </c>
      <c r="CM8" s="290"/>
      <c r="CN8" s="290"/>
      <c r="CO8" s="290"/>
      <c r="CP8" s="290">
        <v>0</v>
      </c>
      <c r="CQ8" s="290"/>
      <c r="CR8" s="290"/>
      <c r="CS8" s="290"/>
      <c r="CT8" s="321">
        <f t="shared" si="0"/>
        <v>1994.501126969511</v>
      </c>
      <c r="CU8" s="333">
        <f t="shared" si="1"/>
        <v>0</v>
      </c>
      <c r="CV8" s="333">
        <f t="shared" si="2"/>
        <v>0</v>
      </c>
      <c r="CW8" s="333">
        <f t="shared" si="3"/>
        <v>0</v>
      </c>
      <c r="CX8" s="333">
        <f t="shared" si="4"/>
        <v>0</v>
      </c>
      <c r="CY8" s="333">
        <f t="shared" si="5"/>
        <v>0</v>
      </c>
      <c r="CZ8" s="333">
        <f t="shared" si="6"/>
        <v>0</v>
      </c>
      <c r="DA8" s="333">
        <f t="shared" si="7"/>
        <v>0</v>
      </c>
      <c r="DB8" s="333">
        <f t="shared" si="8"/>
        <v>0</v>
      </c>
      <c r="DC8" s="333">
        <f t="shared" si="9"/>
        <v>0</v>
      </c>
      <c r="DD8" s="333">
        <f t="shared" si="10"/>
        <v>0</v>
      </c>
      <c r="DE8" s="333">
        <f t="shared" si="11"/>
        <v>0</v>
      </c>
      <c r="DF8" s="333">
        <f t="shared" si="12"/>
        <v>0</v>
      </c>
      <c r="DG8" s="333">
        <f t="shared" si="13"/>
        <v>0</v>
      </c>
      <c r="DH8" s="333">
        <f t="shared" si="14"/>
        <v>0</v>
      </c>
      <c r="DI8" s="333">
        <f t="shared" si="15"/>
        <v>0</v>
      </c>
      <c r="DJ8" s="333">
        <f t="shared" si="16"/>
        <v>0</v>
      </c>
      <c r="DK8" s="333">
        <f t="shared" si="17"/>
        <v>0</v>
      </c>
      <c r="DL8" s="333">
        <f t="shared" si="18"/>
        <v>0.1428571428571429</v>
      </c>
      <c r="DM8" s="333">
        <f t="shared" si="19"/>
        <v>0.2857142857142857</v>
      </c>
      <c r="DN8" s="333">
        <f t="shared" si="20"/>
        <v>0.4285714285714286</v>
      </c>
      <c r="DO8" s="333">
        <f t="shared" si="21"/>
        <v>0.5714285714285714</v>
      </c>
      <c r="DP8" s="333">
        <f t="shared" si="22"/>
        <v>0.7142857142857143</v>
      </c>
      <c r="DQ8" s="333">
        <f t="shared" si="23"/>
        <v>0.85714285714285721</v>
      </c>
      <c r="DR8" s="333">
        <f t="shared" si="24"/>
        <v>1</v>
      </c>
      <c r="DS8" s="334">
        <f t="shared" si="25"/>
        <v>1056082.4702948339</v>
      </c>
      <c r="DT8" s="334">
        <f t="shared" si="26"/>
        <v>1034143.6239721309</v>
      </c>
      <c r="DU8" s="334">
        <f t="shared" si="27"/>
        <v>7509.6185693304396</v>
      </c>
    </row>
    <row r="9" spans="1:125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290">
        <v>150207.26999999999</v>
      </c>
      <c r="CI9" s="290">
        <v>0</v>
      </c>
      <c r="CJ9" s="290"/>
      <c r="CK9" s="290"/>
      <c r="CL9" s="290">
        <v>196952.84</v>
      </c>
      <c r="CM9" s="290"/>
      <c r="CN9" s="290"/>
      <c r="CO9" s="290"/>
      <c r="CP9" s="290">
        <v>695929</v>
      </c>
      <c r="CQ9" s="290"/>
      <c r="CR9" s="290"/>
      <c r="CS9" s="290"/>
      <c r="CT9" s="321">
        <f t="shared" si="0"/>
        <v>1997.9397485452369</v>
      </c>
      <c r="CU9" s="333">
        <f t="shared" si="1"/>
        <v>0</v>
      </c>
      <c r="CV9" s="333">
        <f t="shared" si="2"/>
        <v>0</v>
      </c>
      <c r="CW9" s="333">
        <f t="shared" si="3"/>
        <v>0</v>
      </c>
      <c r="CX9" s="333">
        <f t="shared" si="4"/>
        <v>0</v>
      </c>
      <c r="CY9" s="333">
        <f t="shared" si="5"/>
        <v>0</v>
      </c>
      <c r="CZ9" s="333">
        <f t="shared" si="6"/>
        <v>0</v>
      </c>
      <c r="DA9" s="333">
        <f t="shared" si="7"/>
        <v>0</v>
      </c>
      <c r="DB9" s="333">
        <f t="shared" si="8"/>
        <v>0</v>
      </c>
      <c r="DC9" s="333">
        <f t="shared" si="9"/>
        <v>0</v>
      </c>
      <c r="DD9" s="333">
        <f t="shared" si="10"/>
        <v>0</v>
      </c>
      <c r="DE9" s="333">
        <f t="shared" si="11"/>
        <v>0</v>
      </c>
      <c r="DF9" s="333">
        <f t="shared" si="12"/>
        <v>0</v>
      </c>
      <c r="DG9" s="333">
        <f t="shared" si="13"/>
        <v>0</v>
      </c>
      <c r="DH9" s="333">
        <f t="shared" si="14"/>
        <v>0</v>
      </c>
      <c r="DI9" s="333">
        <f t="shared" si="15"/>
        <v>0</v>
      </c>
      <c r="DJ9" s="333">
        <f t="shared" si="16"/>
        <v>0</v>
      </c>
      <c r="DK9" s="333">
        <f t="shared" si="17"/>
        <v>0</v>
      </c>
      <c r="DL9" s="333">
        <f t="shared" si="18"/>
        <v>0</v>
      </c>
      <c r="DM9" s="333">
        <f t="shared" si="19"/>
        <v>0</v>
      </c>
      <c r="DN9" s="333">
        <f t="shared" si="20"/>
        <v>0</v>
      </c>
      <c r="DO9" s="333">
        <f t="shared" si="21"/>
        <v>0.25</v>
      </c>
      <c r="DP9" s="333">
        <f t="shared" si="22"/>
        <v>0.5</v>
      </c>
      <c r="DQ9" s="333">
        <f t="shared" si="23"/>
        <v>0.75</v>
      </c>
      <c r="DR9" s="333">
        <f t="shared" si="24"/>
        <v>1</v>
      </c>
      <c r="DS9" s="334">
        <f t="shared" si="25"/>
        <v>3124177.9993069661</v>
      </c>
      <c r="DT9" s="334">
        <f t="shared" si="26"/>
        <v>2067275.1546091887</v>
      </c>
      <c r="DU9" s="334">
        <f t="shared" si="27"/>
        <v>856065.26884888869</v>
      </c>
    </row>
    <row r="10" spans="1:125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290">
        <v>0</v>
      </c>
      <c r="CI10" s="290">
        <v>0</v>
      </c>
      <c r="CJ10" s="290"/>
      <c r="CK10" s="290"/>
      <c r="CL10" s="290">
        <v>0</v>
      </c>
      <c r="CM10" s="290"/>
      <c r="CN10" s="290"/>
      <c r="CO10" s="290"/>
      <c r="CP10" s="290">
        <v>0</v>
      </c>
      <c r="CQ10" s="290"/>
      <c r="CR10" s="290"/>
      <c r="CS10" s="290"/>
      <c r="CT10" s="321">
        <f t="shared" si="0"/>
        <v>1996.8815287911268</v>
      </c>
      <c r="CU10" s="333">
        <f t="shared" si="1"/>
        <v>0</v>
      </c>
      <c r="CV10" s="333">
        <f t="shared" si="2"/>
        <v>0</v>
      </c>
      <c r="CW10" s="333">
        <f t="shared" si="3"/>
        <v>0</v>
      </c>
      <c r="CX10" s="333">
        <f t="shared" si="4"/>
        <v>0</v>
      </c>
      <c r="CY10" s="333">
        <f t="shared" si="5"/>
        <v>0</v>
      </c>
      <c r="CZ10" s="333">
        <f t="shared" si="6"/>
        <v>0</v>
      </c>
      <c r="DA10" s="333">
        <f t="shared" si="7"/>
        <v>0</v>
      </c>
      <c r="DB10" s="333">
        <f t="shared" si="8"/>
        <v>0</v>
      </c>
      <c r="DC10" s="333">
        <f t="shared" si="9"/>
        <v>0</v>
      </c>
      <c r="DD10" s="333">
        <f t="shared" si="10"/>
        <v>0</v>
      </c>
      <c r="DE10" s="333">
        <f t="shared" si="11"/>
        <v>0</v>
      </c>
      <c r="DF10" s="333">
        <f t="shared" si="12"/>
        <v>0</v>
      </c>
      <c r="DG10" s="333">
        <f t="shared" si="13"/>
        <v>0</v>
      </c>
      <c r="DH10" s="333">
        <f t="shared" si="14"/>
        <v>0</v>
      </c>
      <c r="DI10" s="333">
        <f t="shared" si="15"/>
        <v>0</v>
      </c>
      <c r="DJ10" s="333">
        <f t="shared" si="16"/>
        <v>0</v>
      </c>
      <c r="DK10" s="333">
        <f t="shared" si="17"/>
        <v>0</v>
      </c>
      <c r="DL10" s="333">
        <f t="shared" si="18"/>
        <v>0</v>
      </c>
      <c r="DM10" s="333">
        <f t="shared" si="19"/>
        <v>0</v>
      </c>
      <c r="DN10" s="333">
        <f t="shared" si="20"/>
        <v>0.19999999999999996</v>
      </c>
      <c r="DO10" s="333">
        <f t="shared" si="21"/>
        <v>0.4</v>
      </c>
      <c r="DP10" s="333">
        <f t="shared" si="22"/>
        <v>0.6</v>
      </c>
      <c r="DQ10" s="333">
        <f t="shared" si="23"/>
        <v>0.8</v>
      </c>
      <c r="DR10" s="333">
        <f t="shared" si="24"/>
        <v>1</v>
      </c>
      <c r="DS10" s="334">
        <f t="shared" si="25"/>
        <v>2106488.1793448166</v>
      </c>
      <c r="DT10" s="334">
        <f t="shared" si="26"/>
        <v>1965930.6793448166</v>
      </c>
      <c r="DU10" s="334">
        <f t="shared" si="27"/>
        <v>47727.000000000007</v>
      </c>
    </row>
    <row r="11" spans="1:125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290">
        <v>0</v>
      </c>
      <c r="CI11" s="290">
        <v>0</v>
      </c>
      <c r="CJ11" s="290"/>
      <c r="CK11" s="290"/>
      <c r="CL11" s="290">
        <v>0</v>
      </c>
      <c r="CM11" s="290"/>
      <c r="CN11" s="290"/>
      <c r="CO11" s="290"/>
      <c r="CP11" s="290">
        <v>0</v>
      </c>
      <c r="CQ11" s="290"/>
      <c r="CR11" s="290"/>
      <c r="CS11" s="290"/>
      <c r="CT11" s="321">
        <f t="shared" si="0"/>
        <v>0</v>
      </c>
      <c r="CU11" s="333">
        <f t="shared" si="1"/>
        <v>0</v>
      </c>
      <c r="CV11" s="333">
        <f t="shared" si="2"/>
        <v>0</v>
      </c>
      <c r="CW11" s="333">
        <f t="shared" si="3"/>
        <v>0</v>
      </c>
      <c r="CX11" s="333">
        <f t="shared" si="4"/>
        <v>0</v>
      </c>
      <c r="CY11" s="333">
        <f t="shared" si="5"/>
        <v>0</v>
      </c>
      <c r="CZ11" s="333">
        <f t="shared" si="6"/>
        <v>0</v>
      </c>
      <c r="DA11" s="333">
        <f t="shared" si="7"/>
        <v>0</v>
      </c>
      <c r="DB11" s="333">
        <f t="shared" si="8"/>
        <v>0</v>
      </c>
      <c r="DC11" s="333">
        <f t="shared" si="9"/>
        <v>0</v>
      </c>
      <c r="DD11" s="333">
        <f t="shared" si="10"/>
        <v>0</v>
      </c>
      <c r="DE11" s="333">
        <f t="shared" si="11"/>
        <v>0</v>
      </c>
      <c r="DF11" s="333">
        <f t="shared" si="12"/>
        <v>0</v>
      </c>
      <c r="DG11" s="333">
        <f t="shared" si="13"/>
        <v>0</v>
      </c>
      <c r="DH11" s="333">
        <f t="shared" si="14"/>
        <v>0</v>
      </c>
      <c r="DI11" s="333">
        <f t="shared" si="15"/>
        <v>0</v>
      </c>
      <c r="DJ11" s="333">
        <f t="shared" si="16"/>
        <v>0</v>
      </c>
      <c r="DK11" s="333">
        <f t="shared" si="17"/>
        <v>0.125</v>
      </c>
      <c r="DL11" s="333">
        <f t="shared" si="18"/>
        <v>0.25</v>
      </c>
      <c r="DM11" s="333">
        <f t="shared" si="19"/>
        <v>0.375</v>
      </c>
      <c r="DN11" s="333">
        <f t="shared" si="20"/>
        <v>0.5</v>
      </c>
      <c r="DO11" s="333">
        <f t="shared" si="21"/>
        <v>0.625</v>
      </c>
      <c r="DP11" s="333">
        <f t="shared" si="22"/>
        <v>0.75</v>
      </c>
      <c r="DQ11" s="333">
        <f t="shared" si="23"/>
        <v>0.875</v>
      </c>
      <c r="DR11" s="333">
        <f t="shared" si="24"/>
        <v>1</v>
      </c>
      <c r="DS11" s="334">
        <f t="shared" si="25"/>
        <v>160060.38764167234</v>
      </c>
      <c r="DT11" s="334">
        <f t="shared" si="26"/>
        <v>160060.38764167234</v>
      </c>
      <c r="DU11" s="334">
        <f t="shared" si="27"/>
        <v>0</v>
      </c>
    </row>
    <row r="12" spans="1:125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291">
        <v>41291.910000000003</v>
      </c>
      <c r="CI12" s="290">
        <v>0</v>
      </c>
      <c r="CJ12" s="291"/>
      <c r="CK12" s="291"/>
      <c r="CL12" s="290">
        <v>0</v>
      </c>
      <c r="CM12" s="290"/>
      <c r="CN12" s="291"/>
      <c r="CO12" s="291"/>
      <c r="CP12" s="290">
        <v>27275.83</v>
      </c>
      <c r="CQ12" s="290"/>
      <c r="CR12" s="291"/>
      <c r="CS12" s="291"/>
      <c r="CT12" s="321">
        <f t="shared" si="0"/>
        <v>1992.645817714536</v>
      </c>
      <c r="CU12" s="333">
        <f t="shared" si="1"/>
        <v>0</v>
      </c>
      <c r="CV12" s="333">
        <f t="shared" si="2"/>
        <v>0</v>
      </c>
      <c r="CW12" s="333">
        <f t="shared" si="3"/>
        <v>0</v>
      </c>
      <c r="CX12" s="333">
        <f t="shared" si="4"/>
        <v>0</v>
      </c>
      <c r="CY12" s="333">
        <f t="shared" si="5"/>
        <v>0</v>
      </c>
      <c r="CZ12" s="348">
        <f t="shared" si="6"/>
        <v>0</v>
      </c>
      <c r="DA12" s="333">
        <f t="shared" si="7"/>
        <v>5.8823529411764719E-2</v>
      </c>
      <c r="DB12" s="333">
        <f t="shared" si="8"/>
        <v>0.11764705882352944</v>
      </c>
      <c r="DC12" s="333">
        <f t="shared" si="9"/>
        <v>0.17647058823529416</v>
      </c>
      <c r="DD12" s="333">
        <f t="shared" si="10"/>
        <v>0.23529411764705888</v>
      </c>
      <c r="DE12" s="333">
        <f t="shared" si="11"/>
        <v>0.29411764705882348</v>
      </c>
      <c r="DF12" s="333">
        <f t="shared" si="12"/>
        <v>0.3529411764705882</v>
      </c>
      <c r="DG12" s="333">
        <f t="shared" si="13"/>
        <v>0.41176470588235292</v>
      </c>
      <c r="DH12" s="333">
        <f t="shared" si="14"/>
        <v>0.47058823529411764</v>
      </c>
      <c r="DI12" s="333">
        <f t="shared" si="15"/>
        <v>0</v>
      </c>
      <c r="DJ12" s="333">
        <f t="shared" si="16"/>
        <v>0.52941176470588236</v>
      </c>
      <c r="DK12" s="333">
        <f t="shared" si="17"/>
        <v>0.58823529411764708</v>
      </c>
      <c r="DL12" s="333">
        <f t="shared" si="18"/>
        <v>0.64705882352941169</v>
      </c>
      <c r="DM12" s="333">
        <f t="shared" si="19"/>
        <v>0.70588235294117641</v>
      </c>
      <c r="DN12" s="333">
        <f t="shared" si="20"/>
        <v>0.76470588235294112</v>
      </c>
      <c r="DO12" s="333">
        <f t="shared" si="21"/>
        <v>0.82352941176470584</v>
      </c>
      <c r="DP12" s="333">
        <f t="shared" si="22"/>
        <v>0.88235294117647056</v>
      </c>
      <c r="DQ12" s="333">
        <f t="shared" si="23"/>
        <v>0.94117647058823528</v>
      </c>
      <c r="DR12" s="333">
        <f t="shared" si="24"/>
        <v>1</v>
      </c>
      <c r="DS12" s="334">
        <f t="shared" si="25"/>
        <v>1028634.9347361333</v>
      </c>
      <c r="DT12" s="334">
        <f t="shared" si="26"/>
        <v>885635.10159707337</v>
      </c>
      <c r="DU12" s="334">
        <f t="shared" si="27"/>
        <v>77218.923190576374</v>
      </c>
    </row>
    <row r="13" spans="1:125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8">SUM(E5:E12)</f>
        <v>0</v>
      </c>
      <c r="F13" s="296">
        <f t="shared" si="28"/>
        <v>3156823.1414713804</v>
      </c>
      <c r="G13" s="296">
        <f t="shared" si="28"/>
        <v>266106.52899199998</v>
      </c>
      <c r="H13" s="296">
        <f t="shared" si="28"/>
        <v>0</v>
      </c>
      <c r="I13" s="296">
        <f t="shared" si="28"/>
        <v>0</v>
      </c>
      <c r="J13" s="296">
        <f t="shared" si="28"/>
        <v>0</v>
      </c>
      <c r="K13" s="296">
        <f t="shared" si="28"/>
        <v>107260.34</v>
      </c>
      <c r="L13" s="296">
        <f t="shared" si="28"/>
        <v>0</v>
      </c>
      <c r="M13" s="296">
        <f t="shared" si="28"/>
        <v>0</v>
      </c>
      <c r="N13" s="296">
        <f t="shared" si="28"/>
        <v>0</v>
      </c>
      <c r="O13" s="296">
        <f t="shared" si="28"/>
        <v>170017.04106100003</v>
      </c>
      <c r="P13" s="296">
        <f t="shared" si="28"/>
        <v>0</v>
      </c>
      <c r="Q13" s="296">
        <f t="shared" si="28"/>
        <v>0</v>
      </c>
      <c r="R13" s="296">
        <f t="shared" si="28"/>
        <v>0</v>
      </c>
      <c r="S13" s="296">
        <f t="shared" si="28"/>
        <v>141552.63</v>
      </c>
      <c r="T13" s="296">
        <f t="shared" si="28"/>
        <v>0</v>
      </c>
      <c r="U13" s="296">
        <f t="shared" si="28"/>
        <v>0</v>
      </c>
      <c r="V13" s="296">
        <f t="shared" si="28"/>
        <v>0</v>
      </c>
      <c r="W13" s="296">
        <f t="shared" si="28"/>
        <v>334246.14000000007</v>
      </c>
      <c r="X13" s="296">
        <f t="shared" si="28"/>
        <v>0</v>
      </c>
      <c r="Y13" s="296">
        <f t="shared" si="28"/>
        <v>0</v>
      </c>
      <c r="Z13" s="296">
        <f t="shared" si="28"/>
        <v>0</v>
      </c>
      <c r="AA13" s="296">
        <f t="shared" si="28"/>
        <v>167868.13</v>
      </c>
      <c r="AB13" s="296">
        <f t="shared" si="28"/>
        <v>0</v>
      </c>
      <c r="AC13" s="296">
        <f t="shared" si="28"/>
        <v>0</v>
      </c>
      <c r="AD13" s="296">
        <f t="shared" si="28"/>
        <v>0</v>
      </c>
      <c r="AE13" s="296">
        <f t="shared" si="28"/>
        <v>132511.28</v>
      </c>
      <c r="AF13" s="296">
        <f t="shared" si="28"/>
        <v>0</v>
      </c>
      <c r="AG13" s="296">
        <f t="shared" si="28"/>
        <v>0</v>
      </c>
      <c r="AH13" s="296">
        <f t="shared" si="28"/>
        <v>0</v>
      </c>
      <c r="AI13" s="296">
        <f t="shared" si="28"/>
        <v>323314.10387699993</v>
      </c>
      <c r="AJ13" s="296">
        <f t="shared" si="28"/>
        <v>0</v>
      </c>
      <c r="AK13" s="296">
        <f t="shared" si="28"/>
        <v>0</v>
      </c>
      <c r="AL13" s="296">
        <f t="shared" si="28"/>
        <v>0</v>
      </c>
      <c r="AM13" s="296">
        <f t="shared" si="28"/>
        <v>91335.93</v>
      </c>
      <c r="AN13" s="296">
        <f t="shared" si="28"/>
        <v>0</v>
      </c>
      <c r="AO13" s="296">
        <f t="shared" si="28"/>
        <v>0</v>
      </c>
      <c r="AP13" s="296">
        <f t="shared" si="28"/>
        <v>0</v>
      </c>
      <c r="AQ13" s="296">
        <f t="shared" si="28"/>
        <v>243514.73</v>
      </c>
      <c r="AR13" s="296">
        <f t="shared" si="28"/>
        <v>0</v>
      </c>
      <c r="AS13" s="296">
        <f t="shared" si="28"/>
        <v>0</v>
      </c>
      <c r="AT13" s="296">
        <f t="shared" si="28"/>
        <v>0</v>
      </c>
      <c r="AU13" s="296">
        <f t="shared" si="28"/>
        <v>0</v>
      </c>
      <c r="AV13" s="296">
        <f t="shared" si="28"/>
        <v>0</v>
      </c>
      <c r="AW13" s="296">
        <f t="shared" si="28"/>
        <v>0</v>
      </c>
      <c r="AX13" s="296">
        <f t="shared" si="28"/>
        <v>0</v>
      </c>
      <c r="AY13" s="296">
        <f t="shared" si="28"/>
        <v>56420.78</v>
      </c>
      <c r="AZ13" s="296">
        <f t="shared" si="28"/>
        <v>0</v>
      </c>
      <c r="BA13" s="296">
        <f t="shared" si="28"/>
        <v>0</v>
      </c>
      <c r="BB13" s="296">
        <f t="shared" si="28"/>
        <v>0</v>
      </c>
      <c r="BC13" s="296">
        <f t="shared" si="28"/>
        <v>1275811.54</v>
      </c>
      <c r="BD13" s="296">
        <f t="shared" si="28"/>
        <v>0</v>
      </c>
      <c r="BE13" s="296">
        <f t="shared" si="28"/>
        <v>0</v>
      </c>
      <c r="BF13" s="296">
        <f t="shared" si="28"/>
        <v>0</v>
      </c>
      <c r="BG13" s="296">
        <f t="shared" si="28"/>
        <v>940000</v>
      </c>
      <c r="BH13" s="296">
        <f t="shared" si="28"/>
        <v>0</v>
      </c>
      <c r="BI13" s="296">
        <f t="shared" si="28"/>
        <v>940000</v>
      </c>
      <c r="BJ13" s="296">
        <f t="shared" si="28"/>
        <v>917175.86</v>
      </c>
      <c r="BK13" s="296">
        <f t="shared" si="28"/>
        <v>0</v>
      </c>
      <c r="BL13" s="296">
        <f t="shared" si="28"/>
        <v>0</v>
      </c>
      <c r="BM13" s="296">
        <f t="shared" si="28"/>
        <v>0</v>
      </c>
      <c r="BN13" s="296">
        <f t="shared" si="28"/>
        <v>1105575.6700000002</v>
      </c>
      <c r="BO13" s="296">
        <f t="shared" si="28"/>
        <v>0</v>
      </c>
      <c r="BP13" s="296">
        <f t="shared" si="28"/>
        <v>0</v>
      </c>
      <c r="BQ13" s="296">
        <f t="shared" ref="BQ13:CK13" si="29">SUM(BQ5:BQ12)</f>
        <v>0</v>
      </c>
      <c r="BR13" s="296">
        <f t="shared" si="29"/>
        <v>1102455.8699999996</v>
      </c>
      <c r="BS13" s="296">
        <f t="shared" si="29"/>
        <v>0</v>
      </c>
      <c r="BT13" s="296">
        <f t="shared" si="29"/>
        <v>0</v>
      </c>
      <c r="BU13" s="296">
        <f t="shared" si="29"/>
        <v>0</v>
      </c>
      <c r="BV13" s="296">
        <f t="shared" si="29"/>
        <v>1120073.2300000004</v>
      </c>
      <c r="BW13" s="296">
        <f t="shared" si="29"/>
        <v>0</v>
      </c>
      <c r="BX13" s="296">
        <f t="shared" si="29"/>
        <v>0</v>
      </c>
      <c r="BY13" s="296">
        <f t="shared" si="29"/>
        <v>0</v>
      </c>
      <c r="BZ13" s="296">
        <f t="shared" si="29"/>
        <v>3586563.6400000011</v>
      </c>
      <c r="CA13" s="296">
        <f t="shared" si="29"/>
        <v>0</v>
      </c>
      <c r="CB13" s="296">
        <f t="shared" si="29"/>
        <v>0</v>
      </c>
      <c r="CC13" s="296">
        <f t="shared" si="29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6">
        <f t="shared" si="29"/>
        <v>881689.72999999986</v>
      </c>
      <c r="CI13" s="296">
        <f t="shared" si="29"/>
        <v>0</v>
      </c>
      <c r="CJ13" s="296">
        <f t="shared" si="29"/>
        <v>0</v>
      </c>
      <c r="CK13" s="296">
        <f t="shared" si="29"/>
        <v>0</v>
      </c>
      <c r="CL13" s="296">
        <f t="shared" ref="CL13:CS13" si="30">SUM(CL5:CL12)</f>
        <v>1253665.81</v>
      </c>
      <c r="CM13" s="296">
        <f t="shared" si="30"/>
        <v>0</v>
      </c>
      <c r="CN13" s="296">
        <f t="shared" si="30"/>
        <v>0</v>
      </c>
      <c r="CO13" s="296">
        <f t="shared" si="30"/>
        <v>0</v>
      </c>
      <c r="CP13" s="296">
        <f t="shared" si="30"/>
        <v>1071559.54</v>
      </c>
      <c r="CQ13" s="296">
        <f t="shared" si="30"/>
        <v>0</v>
      </c>
      <c r="CR13" s="296">
        <f t="shared" si="30"/>
        <v>0</v>
      </c>
      <c r="CS13" s="296">
        <f t="shared" si="30"/>
        <v>0</v>
      </c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7"/>
      <c r="DO13" s="297"/>
      <c r="DP13" s="297"/>
      <c r="DQ13" s="297"/>
      <c r="DR13" s="297"/>
      <c r="DS13" s="298">
        <f>SUM(DS5:DS12)</f>
        <v>21666220.529285148</v>
      </c>
      <c r="DT13" s="298">
        <f>SUM(DT5:DT12)</f>
        <v>15049466.358891422</v>
      </c>
      <c r="DU13" s="298">
        <f>SUM(DU5:DU12)</f>
        <v>4306271.2235531351</v>
      </c>
    </row>
    <row r="14" spans="1:125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4"/>
      <c r="DT14" s="334"/>
      <c r="DU14" s="334"/>
    </row>
    <row r="15" spans="1:125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290">
        <v>0</v>
      </c>
      <c r="CI15" s="290">
        <v>0</v>
      </c>
      <c r="CJ15" s="290"/>
      <c r="CK15" s="290"/>
      <c r="CL15" s="290">
        <v>0</v>
      </c>
      <c r="CM15" s="290"/>
      <c r="CN15" s="290"/>
      <c r="CO15" s="290"/>
      <c r="CP15" s="290">
        <v>0</v>
      </c>
      <c r="CQ15" s="290"/>
      <c r="CR15" s="290"/>
      <c r="CS15" s="290"/>
      <c r="CT15" s="321">
        <f>IF(D15=0,0,2001-(D15-F15)*C15/D15)</f>
        <v>0</v>
      </c>
      <c r="CU15" s="333">
        <f>IF((1-($DS$2-$CT15)/$C15)&gt;0,(1-($DS$2-$CT15)/$C15),0)</f>
        <v>0</v>
      </c>
      <c r="CV15" s="333">
        <f>IF((1-($DS$2-G$2)/$C15)&gt;0,(1-($DS$2-G$2)/$C15),0)</f>
        <v>0.30000000000000004</v>
      </c>
      <c r="CW15" s="333">
        <f>IF((1-($DS$2-K$2)/$C15)&gt;0,(1-($DS$2-K$2)/$C15),0)</f>
        <v>0.33333333333333337</v>
      </c>
      <c r="CX15" s="333">
        <f>IF((1-($DS$2-O$2)/$C15)&gt;0,(1-($DS$2-O$2)/$C15),0)</f>
        <v>0.3666666666666667</v>
      </c>
      <c r="CY15" s="333">
        <f>IF((1-($DS$2-S$2)/$C15)&gt;0,(1-($DS$2-S$2)/$C15),0)</f>
        <v>0.4</v>
      </c>
      <c r="CZ15" s="333">
        <f>IF((1-($DS$2-W$2)/$C15)&gt;0,(1-($DS$2-W$2)/$C15),0)</f>
        <v>0.43333333333333335</v>
      </c>
      <c r="DA15" s="333">
        <f>IF((1-($DS$2-AA$2)/$C15)&gt;0,(1-($DS$2-AA$2)/$C15),0)</f>
        <v>0.46666666666666667</v>
      </c>
      <c r="DB15" s="333">
        <f>IF((1-($DS$2-AE$2)/$C15)&gt;0,(1-($DS$2-AE$2)/$C15),0)</f>
        <v>0.5</v>
      </c>
      <c r="DC15" s="333">
        <f>IF((1-($DS$2-AI$2)/$C15)&gt;0,(1-($DS$2-AI$2)/$C15),0)</f>
        <v>0.53333333333333333</v>
      </c>
      <c r="DD15" s="333">
        <f>IF((1-($DS$2-AM$2)/$C15)&gt;0,(1-($DS$2-AM$2)/$C15),0)</f>
        <v>0.56666666666666665</v>
      </c>
      <c r="DE15" s="333">
        <f>IF((1-($DS$2-AQ$2)/$C15)&gt;0,(1-($DS$2-AQ$2)/$C15),0)</f>
        <v>0.6</v>
      </c>
      <c r="DF15" s="333">
        <f>IF((1-($DS$2-AU$2)/$C15)&gt;0,(1-($DS$2-AU$2)/$C15),0)</f>
        <v>0.6333333333333333</v>
      </c>
      <c r="DG15" s="333">
        <f>IF((1-($DS$2-AY$2)/$C15)&gt;0,(1-($DS$2-AY$2)/$C15),0)</f>
        <v>0.66666666666666674</v>
      </c>
      <c r="DH15" s="333">
        <f>IF((1-($DS$2-BC$2)/$C15)&gt;0,(1-($DS$2-BC$2)/$C15),0)</f>
        <v>0.7</v>
      </c>
      <c r="DI15" s="333">
        <f>IF(BG15=0,0,1-($DS$2-(2014.5-(BG15-BI15)*C15/BG15))/C15)</f>
        <v>0</v>
      </c>
      <c r="DJ15" s="333">
        <f>IF((1-($DS$2-BJ$2)/$C15)&gt;0,(1-($DS$2-BJ$2)/$C15),0)</f>
        <v>0.73333333333333339</v>
      </c>
      <c r="DK15" s="333">
        <f>IF((1-($DS$2-BN$2)/$C15)&gt;0,(1-($DS$2-BN$2)/$C15),0)</f>
        <v>0.76666666666666661</v>
      </c>
      <c r="DL15" s="333">
        <f>IF((1-($DS$2-BR$2)/$C15)&gt;0,(1-($DS$2-BR$2)/$C15),0)</f>
        <v>0.8</v>
      </c>
      <c r="DM15" s="333">
        <f>IF((1-($DS$2-BV$2)/$C15)&gt;0,(1-($DS$2-BV$2)/$C15),0)</f>
        <v>0.83333333333333337</v>
      </c>
      <c r="DN15" s="333">
        <f>IF((1-($DS$2-BZ$2)/$C15)&gt;0,(1-($DS$2-BZ$2)/$C15),0)</f>
        <v>0.8666666666666667</v>
      </c>
      <c r="DO15" s="333">
        <f>IF((1-($DS$2-CD$2)/$C15)&gt;0,(1-($DS$2-CD$2)/$C15),0)</f>
        <v>0.9</v>
      </c>
      <c r="DP15" s="333">
        <f>IF((1-($DS$2-CH$2)/$C15)&gt;0,(1-($DS$2-CH$2)/$C15),0)</f>
        <v>0.93333333333333335</v>
      </c>
      <c r="DQ15" s="333">
        <f>IF((1-($DS$2-CL$2)/$C15)&gt;0,(1-($DS$2-CL$2)/$C15),0)</f>
        <v>0.96666666666666667</v>
      </c>
      <c r="DR15" s="333">
        <f t="shared" ref="DR15:DR17" si="31">IF((1-($DS$2-CP$2)/$C15)&gt;0,(1-($DS$2-CP$2)/$C15),0)</f>
        <v>1</v>
      </c>
      <c r="DS15" s="334">
        <f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+(CD15-CE15-CF15)*$CD$61+(CH15-CI15-CJ15)*$CH$61+(CL15-CM15-CN15)*$CL$61+(CP15-CQ15-CR15)*$CP$61</f>
        <v>2170367.98068809</v>
      </c>
      <c r="DT15" s="334">
        <f>IF(CU15=0,D15-E15,0)+IF(CV15=0,(G15-H15-I15)*G$61,0)+IF(CW15=0,(K15-L15-M15)*K$61,0)+IF(CX15=0,(O15-P15-Q15)*O$61,0)+IF(CY15=0,(S15-T15-U15)*S$61,0)+IF(CZ15=0,(W15-X15-Y15)*W$61,0)+IF(DA15=0,(AA15-AB15-AC15)*AA$61,0)+IF(DB15=0,(AE15-AF15-AG15)*AE$61,0)+IF(DC15=0,(AI15-AJ15-AK15)*AI$61,0)+IF(DD15=0,(AM15-AN15-AO15)*AM$61,0)+IF(DE15=0,(AQ15-AR15-AS15)*$AQ$61,0)+IF(DF15=0,(AU15-AV15-AW15)*$AU$61,0)+IF(DG15=0,(AY15-AZ15-BA15)*$AY$61,0)++IF(DH15=0,(BC15-BD15-BE15)*$BC$61,0)+IF(DI15=0,BG15,0)+IF(DJ15=0,(BJ15-BK15-BL15)*$BJ$61,0)+IF(DK15=0,(BN15-BO15-BP15)*$BN$61,0)+IF(DL15=0,(BR15-BS15-BT15)*$BR$61,0)+IF(DM15=0,(BV15-BW15-BX15)*$BV$61,0)+IF(DN15=0,(BZ15-CA15-CB15)*$BZ$61,0)+IF(DO15=0,(CD15-CE15-CF15)*$CD$61,0)+IF(DP15=0,(CH15-CI15-CJ15)*$CH$61,0)+IF(DQ15=0,(CL15-CM15-CN15)*$CL$61,0)+IF(DR15=0,(CP15-CQ15-CR15)*$CP$61,0)</f>
        <v>0</v>
      </c>
      <c r="DU15" s="334">
        <f>(D15-E15)*CU15+((G15-H15-(I15-J15))*G$61)*CV15+((K15-L15-(M15-N15))*K$61)*CW15+((O15-P15-(Q15-R15))*O$61)*CX15+((S15-T15-(U15-V15))*S$61)*CY15+((W15-X15-(Y15-Z15))*W$61)*CZ15+((AA15-AB15-(AC15-AD15))*AA$61)*DA15+((AE15-AF15-(AG15-AH15))*AE$61)*DB15+((AI15-AJ15-(AK15-AL15))*AI$61)*DC15+((AM15-AN15-(AO15-AP15))*$AM$61)*DD15+((AQ15-AR15-(AS15-AT15))*$AQ$61)*DE15+((AU15-AV15-(AW15-AX15))*$AU$61)*DF15+((AY15-AZ15-(BA15-BB15))*$AY$61)*DG15+((BC15-BD15-(BE15-BF15))*$BC$61)*DH15+((BJ15-BK15-(BL15-BM15))*$BJ$61)*DJ15+(BG15-BH15)*DI15+((BN15-BO15-(BP15-BQ15))*$BN$61)*DK15+((BR15-BS15-(BT15-BU15))*$BR$61)*DL15+((BV15-BW15-(BX15-BY15))*$BV$61)*DM15+((BZ15-CA15-(CB15-CC15))*$BZ$61)*DN15+((CD15-CE15-(CF15-CG15))*$CD$61)*DO15+((CH15-CI15-(CJ15-CK15))*$CH$61*DP15)+((CL15-CM15-(CN15-CO15))*$CL$61*DQ15)+((CP15-CQ15-(CR15-CS15))*$CP$61*DR15)</f>
        <v>1663948.7851942021</v>
      </c>
    </row>
    <row r="16" spans="1:125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290">
        <v>0</v>
      </c>
      <c r="CI16" s="290">
        <v>0</v>
      </c>
      <c r="CJ16" s="290"/>
      <c r="CK16" s="290"/>
      <c r="CL16" s="290">
        <v>0</v>
      </c>
      <c r="CM16" s="290"/>
      <c r="CN16" s="290"/>
      <c r="CO16" s="290"/>
      <c r="CP16" s="290">
        <v>0</v>
      </c>
      <c r="CQ16" s="290"/>
      <c r="CR16" s="290"/>
      <c r="CS16" s="290"/>
      <c r="CT16" s="321">
        <f>IF(D16=0,0,2001-(D16-F16)*C16/D16)</f>
        <v>0</v>
      </c>
      <c r="CU16" s="333">
        <f>IF((1-($DS$2-$CT16)/$C16)&gt;0,(1-($DS$2-$CT16)/$C16),0)</f>
        <v>0</v>
      </c>
      <c r="CV16" s="333">
        <f>IF((1-($DS$2-G$2)/$C16)&gt;0,(1-($DS$2-G$2)/$C16),0)</f>
        <v>0.30000000000000004</v>
      </c>
      <c r="CW16" s="333">
        <f>IF((1-($DS$2-K$2)/$C16)&gt;0,(1-($DS$2-K$2)/$C16),0)</f>
        <v>0.33333333333333337</v>
      </c>
      <c r="CX16" s="333">
        <f>IF((1-($DS$2-O$2)/$C16)&gt;0,(1-($DS$2-O$2)/$C16),0)</f>
        <v>0.3666666666666667</v>
      </c>
      <c r="CY16" s="333">
        <f>IF((1-($DS$2-S$2)/$C16)&gt;0,(1-($DS$2-S$2)/$C16),0)</f>
        <v>0.4</v>
      </c>
      <c r="CZ16" s="333">
        <f>IF((1-($DS$2-W$2)/$C16)&gt;0,(1-($DS$2-W$2)/$C16),0)</f>
        <v>0.43333333333333335</v>
      </c>
      <c r="DA16" s="333">
        <f>IF((1-($DS$2-AA$2)/$C16)&gt;0,(1-($DS$2-AA$2)/$C16),0)</f>
        <v>0.46666666666666667</v>
      </c>
      <c r="DB16" s="333">
        <f>IF((1-($DS$2-AE$2)/$C16)&gt;0,(1-($DS$2-AE$2)/$C16),0)</f>
        <v>0.5</v>
      </c>
      <c r="DC16" s="333">
        <f>IF((1-($DS$2-AI$2)/$C16)&gt;0,(1-($DS$2-AI$2)/$C16),0)</f>
        <v>0.53333333333333333</v>
      </c>
      <c r="DD16" s="333">
        <f>IF((1-($DS$2-AM$2)/$C16)&gt;0,(1-($DS$2-AM$2)/$C16),0)</f>
        <v>0.56666666666666665</v>
      </c>
      <c r="DE16" s="333">
        <f>IF((1-($DS$2-AQ$2)/$C16)&gt;0,(1-($DS$2-AQ$2)/$C16),0)</f>
        <v>0.6</v>
      </c>
      <c r="DF16" s="333">
        <f>IF((1-($DS$2-AU$2)/$C16)&gt;0,(1-($DS$2-AU$2)/$C16),0)</f>
        <v>0.6333333333333333</v>
      </c>
      <c r="DG16" s="333">
        <f>IF((1-($DS$2-AY$2)/$C16)&gt;0,(1-($DS$2-AY$2)/$C16),0)</f>
        <v>0.66666666666666674</v>
      </c>
      <c r="DH16" s="333">
        <f>IF((1-($DS$2-BC$2)/$C16)&gt;0,(1-($DS$2-BC$2)/$C16),0)</f>
        <v>0.7</v>
      </c>
      <c r="DI16" s="333">
        <f>IF(BG16=0,0,1-($DS$2-(2014.5-(BG16-BI16)*C16/BG16))/C16)</f>
        <v>0</v>
      </c>
      <c r="DJ16" s="333">
        <f>IF((1-($DS$2-BJ$2)/$C16)&gt;0,(1-($DS$2-BJ$2)/$C16),0)</f>
        <v>0.73333333333333339</v>
      </c>
      <c r="DK16" s="333">
        <f>IF((1-($DS$2-BN$2)/$C16)&gt;0,(1-($DS$2-BN$2)/$C16),0)</f>
        <v>0.76666666666666661</v>
      </c>
      <c r="DL16" s="333">
        <f>IF((1-($DS$2-BR$2)/$C16)&gt;0,(1-($DS$2-BR$2)/$C16),0)</f>
        <v>0.8</v>
      </c>
      <c r="DM16" s="333">
        <f>IF((1-($DS$2-BV$2)/$C16)&gt;0,(1-($DS$2-BV$2)/$C16),0)</f>
        <v>0.83333333333333337</v>
      </c>
      <c r="DN16" s="333">
        <f>IF((1-($DS$2-BZ$2)/$C16)&gt;0,(1-($DS$2-BZ$2)/$C16),0)</f>
        <v>0.8666666666666667</v>
      </c>
      <c r="DO16" s="333">
        <f>IF((1-($DS$2-CD$2)/$C16)&gt;0,(1-($DS$2-CD$2)/$C16),0)</f>
        <v>0.9</v>
      </c>
      <c r="DP16" s="333">
        <f>IF((1-($DS$2-CH$2)/$C16)&gt;0,(1-($DS$2-CH$2)/$C16),0)</f>
        <v>0.93333333333333335</v>
      </c>
      <c r="DQ16" s="333">
        <f>IF((1-($DS$2-CL$2)/$C16)&gt;0,(1-($DS$2-CL$2)/$C16),0)</f>
        <v>0.96666666666666667</v>
      </c>
      <c r="DR16" s="333">
        <f t="shared" si="31"/>
        <v>1</v>
      </c>
      <c r="DS16" s="334">
        <f t="shared" ref="DS16:DS44" si="32">D16-E16+(G16-H16-I16)*G$61+(K16-L16-M16)*K$61+(O16-P16-Q16)*O$61+(S16-T16-U16)*S$61+(W16-X16-Y16)*W$61+(AA16-AB16-AC16)*AA$61+(AE16-AF16-AG16)*AE$61+(AI16-AJ16-AK16)*AI$61+(AM16-AN16-AO16)*AM$61+(AQ16-AR16-AS16)*$AQ$61+(AU16-AV16-AW16)*$AU$61+(AY16-AZ16-BA16)*$AY$61+(BC16-BD16-BE16)*$BC$61+BG16+(BJ16-BK16-BL16)*$BJ$61+(BN16-BO16-BP16)*$BN$61+(BR16-BS16-BT16)*$BR$61+(BV16-BW16-BX16)*$BV$61+(BZ16-CA16-CB16)*$BZ$61+(CD16-CE16-CF16)*$CD$61+(CH16-CI16-CJ16)*$CH$61+(CL16-CM16-CN16)*$CL$61+(CP16-CQ16-CR16)*$CP$61</f>
        <v>2088630.1130731143</v>
      </c>
      <c r="DT16" s="334">
        <f t="shared" ref="DT16:DT44" si="33">IF(CU16=0,D16-E16,0)+IF(CV16=0,(G16-H16-I16)*G$61,0)+IF(CW16=0,(K16-L16-M16)*K$61,0)+IF(CX16=0,(O16-P16-Q16)*O$61,0)+IF(CY16=0,(S16-T16-U16)*S$61,0)+IF(CZ16=0,(W16-X16-Y16)*W$61,0)+IF(DA16=0,(AA16-AB16-AC16)*AA$61,0)+IF(DB16=0,(AE16-AF16-AG16)*AE$61,0)+IF(DC16=0,(AI16-AJ16-AK16)*AI$61,0)+IF(DD16=0,(AM16-AN16-AO16)*AM$61,0)+IF(DE16=0,(AQ16-AR16-AS16)*$AQ$61,0)+IF(DF16=0,(AU16-AV16-AW16)*$AU$61,0)+IF(DG16=0,(AY16-AZ16-BA16)*$AY$61,0)++IF(DH16=0,(BC16-BD16-BE16)*$BC$61,0)+IF(DI16=0,BG16,0)+IF(DJ16=0,(BJ16-BK16-BL16)*$BJ$61,0)+IF(DK16=0,(BN16-BO16-BP16)*$BN$61,0)+IF(DL16=0,(BR16-BS16-BT16)*$BR$61,0)+IF(DM16=0,(BV16-BW16-BX16)*$BV$61,0)+IF(DN16=0,(BZ16-CA16-CB16)*$BZ$61,0)+IF(DO16=0,(CD16-CE16-CF16)*$CD$61,0)+IF(DP16=0,(CH16-CI16-CJ16)*$CH$61,0)+IF(DQ16=0,(CL16-CM16-CN16)*$CL$61,0)+IF(DR16=0,(CP16-CQ16-CR16)*$CP$61,0)</f>
        <v>0</v>
      </c>
      <c r="DU16" s="334">
        <f t="shared" ref="DU16:DU44" si="34">(D16-E16)*CU16+((G16-H16-(I16-J16))*G$61)*CV16+((K16-L16-(M16-N16))*K$61)*CW16+((O16-P16-(Q16-R16))*O$61)*CX16+((S16-T16-(U16-V16))*S$61)*CY16+((W16-X16-(Y16-Z16))*W$61)*CZ16+((AA16-AB16-(AC16-AD16))*AA$61)*DA16+((AE16-AF16-(AG16-AH16))*AE$61)*DB16+((AI16-AJ16-(AK16-AL16))*AI$61)*DC16+((AM16-AN16-(AO16-AP16))*$AM$61)*DD16+((AQ16-AR16-(AS16-AT16))*$AQ$61)*DE16+((AU16-AV16-(AW16-AX16))*$AU$61)*DF16+((AY16-AZ16-(BA16-BB16))*$AY$61)*DG16+((BC16-BD16-(BE16-BF16))*$BC$61)*DH16+((BJ16-BK16-(BL16-BM16))*$BJ$61)*DJ16+(BG16-BH16)*DI16+((BN16-BO16-(BP16-BQ16))*$BN$61)*DK16+((BR16-BS16-(BT16-BU16))*$BR$61)*DL16+((BV16-BW16-(BX16-BY16))*$BV$61)*DM16+((BZ16-CA16-(CB16-CC16))*$BZ$61)*DN16+((CD16-CE16-(CF16-CG16))*$CD$61)*DO16+((CH16-CI16-(CJ16-CK16))*$CH$61*DP16)+((CL16-CM16-(CN16-CO16))*$CL$61*DQ16)+((CP16-CQ16-(CR16-CS16))*$CP$61*DR16)</f>
        <v>1601283.0866893874</v>
      </c>
    </row>
    <row r="17" spans="1:125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290">
        <v>0</v>
      </c>
      <c r="CI17" s="290">
        <v>0</v>
      </c>
      <c r="CJ17" s="290"/>
      <c r="CK17" s="290"/>
      <c r="CL17" s="290">
        <v>0</v>
      </c>
      <c r="CM17" s="290"/>
      <c r="CN17" s="290"/>
      <c r="CO17" s="290"/>
      <c r="CP17" s="290">
        <v>0</v>
      </c>
      <c r="CQ17" s="290"/>
      <c r="CR17" s="290"/>
      <c r="CS17" s="290"/>
      <c r="CT17" s="321">
        <f>IF(D17=0,0,2001-(D17-F17)*C17/D17)</f>
        <v>0</v>
      </c>
      <c r="CU17" s="333">
        <f>IF((1-($DS$2-$CT17)/$C17)&gt;0,(1-($DS$2-$CT17)/$C17),0)</f>
        <v>0</v>
      </c>
      <c r="CV17" s="333">
        <f>IF((1-($DS$2-G$2)/$C17)&gt;0,(1-($DS$2-G$2)/$C17),0)</f>
        <v>0.30000000000000004</v>
      </c>
      <c r="CW17" s="333">
        <f>IF((1-($DS$2-K$2)/$C17)&gt;0,(1-($DS$2-K$2)/$C17),0)</f>
        <v>0.33333333333333337</v>
      </c>
      <c r="CX17" s="333">
        <f>IF((1-($DS$2-O$2)/$C17)&gt;0,(1-($DS$2-O$2)/$C17),0)</f>
        <v>0.3666666666666667</v>
      </c>
      <c r="CY17" s="333">
        <f>IF((1-($DS$2-S$2)/$C17)&gt;0,(1-($DS$2-S$2)/$C17),0)</f>
        <v>0.4</v>
      </c>
      <c r="CZ17" s="333">
        <f>IF((1-($DS$2-W$2)/$C17)&gt;0,(1-($DS$2-W$2)/$C17),0)</f>
        <v>0.43333333333333335</v>
      </c>
      <c r="DA17" s="333">
        <f>IF((1-($DS$2-AA$2)/$C17)&gt;0,(1-($DS$2-AA$2)/$C17),0)</f>
        <v>0.46666666666666667</v>
      </c>
      <c r="DB17" s="333">
        <f>IF((1-($DS$2-AE$2)/$C17)&gt;0,(1-($DS$2-AE$2)/$C17),0)</f>
        <v>0.5</v>
      </c>
      <c r="DC17" s="333">
        <f>IF((1-($DS$2-AI$2)/$C17)&gt;0,(1-($DS$2-AI$2)/$C17),0)</f>
        <v>0.53333333333333333</v>
      </c>
      <c r="DD17" s="333">
        <f>IF((1-($DS$2-AM$2)/$C17)&gt;0,(1-($DS$2-AM$2)/$C17),0)</f>
        <v>0.56666666666666665</v>
      </c>
      <c r="DE17" s="333">
        <f>IF((1-($DS$2-AQ$2)/$C17)&gt;0,(1-($DS$2-AQ$2)/$C17),0)</f>
        <v>0.6</v>
      </c>
      <c r="DF17" s="333">
        <f>IF((1-($DS$2-AU$2)/$C17)&gt;0,(1-($DS$2-AU$2)/$C17),0)</f>
        <v>0.6333333333333333</v>
      </c>
      <c r="DG17" s="333">
        <f>IF((1-($DS$2-AY$2)/$C17)&gt;0,(1-($DS$2-AY$2)/$C17),0)</f>
        <v>0.66666666666666674</v>
      </c>
      <c r="DH17" s="333">
        <f>IF((1-($DS$2-BC$2)/$C17)&gt;0,(1-($DS$2-BC$2)/$C17),0)</f>
        <v>0.7</v>
      </c>
      <c r="DI17" s="333">
        <f>IF(BG17=0,0,1-($DS$2-(2014.5-(BG17-BI17)*C17/BG17))/C17)</f>
        <v>0</v>
      </c>
      <c r="DJ17" s="333">
        <f>IF((1-($DS$2-BJ$2)/$C17)&gt;0,(1-($DS$2-BJ$2)/$C17),0)</f>
        <v>0.73333333333333339</v>
      </c>
      <c r="DK17" s="333">
        <f>IF((1-($DS$2-BN$2)/$C17)&gt;0,(1-($DS$2-BN$2)/$C17),0)</f>
        <v>0.76666666666666661</v>
      </c>
      <c r="DL17" s="333">
        <f>IF((1-($DS$2-BR$2)/$C17)&gt;0,(1-($DS$2-BR$2)/$C17),0)</f>
        <v>0.8</v>
      </c>
      <c r="DM17" s="333">
        <f>IF((1-($DS$2-BV$2)/$C17)&gt;0,(1-($DS$2-BV$2)/$C17),0)</f>
        <v>0.83333333333333337</v>
      </c>
      <c r="DN17" s="333">
        <f>IF((1-($DS$2-BZ$2)/$C17)&gt;0,(1-($DS$2-BZ$2)/$C17),0)</f>
        <v>0.8666666666666667</v>
      </c>
      <c r="DO17" s="333">
        <f>IF((1-($DS$2-CD$2)/$C17)&gt;0,(1-($DS$2-CD$2)/$C17),0)</f>
        <v>0.9</v>
      </c>
      <c r="DP17" s="333">
        <f>IF((1-($DS$2-CH$2)/$C17)&gt;0,(1-($DS$2-CH$2)/$C17),0)</f>
        <v>0.93333333333333335</v>
      </c>
      <c r="DQ17" s="333">
        <f>IF((1-($DS$2-CL$2)/$C17)&gt;0,(1-($DS$2-CL$2)/$C17),0)</f>
        <v>0.96666666666666667</v>
      </c>
      <c r="DR17" s="333">
        <f t="shared" si="31"/>
        <v>1</v>
      </c>
      <c r="DS17" s="334">
        <f t="shared" si="32"/>
        <v>7229414.3872795496</v>
      </c>
      <c r="DT17" s="334">
        <f t="shared" si="33"/>
        <v>0</v>
      </c>
      <c r="DU17" s="334">
        <f t="shared" si="34"/>
        <v>5547808.6354192439</v>
      </c>
    </row>
    <row r="18" spans="1:125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290"/>
      <c r="CI18" s="290">
        <v>0</v>
      </c>
      <c r="CJ18" s="290"/>
      <c r="CK18" s="290"/>
      <c r="CL18" s="290">
        <v>0</v>
      </c>
      <c r="CM18" s="290"/>
      <c r="CN18" s="290"/>
      <c r="CO18" s="290"/>
      <c r="CP18" s="290">
        <v>0</v>
      </c>
      <c r="CQ18" s="290"/>
      <c r="CR18" s="290"/>
      <c r="CS18" s="290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4">
        <f t="shared" si="32"/>
        <v>0</v>
      </c>
      <c r="DT18" s="334">
        <f t="shared" si="33"/>
        <v>0</v>
      </c>
      <c r="DU18" s="334">
        <f t="shared" si="34"/>
        <v>0</v>
      </c>
    </row>
    <row r="19" spans="1:125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290">
        <v>1243715.8800000001</v>
      </c>
      <c r="CI19" s="290">
        <v>34705.049949699998</v>
      </c>
      <c r="CJ19" s="290"/>
      <c r="CK19" s="290"/>
      <c r="CL19" s="290">
        <v>3004303.8000000007</v>
      </c>
      <c r="CM19" s="290"/>
      <c r="CN19" s="290"/>
      <c r="CO19" s="290"/>
      <c r="CP19" s="290">
        <v>7357711.6000000034</v>
      </c>
      <c r="CQ19" s="290">
        <v>97723.59</v>
      </c>
      <c r="CR19" s="290"/>
      <c r="CS19" s="290"/>
      <c r="CT19" s="321">
        <f t="shared" ref="CT19:CT31" si="35">IF(D19=0,0,2001-(D19-F19)*C19/D19)</f>
        <v>1987.6168208038905</v>
      </c>
      <c r="CU19" s="333">
        <f t="shared" ref="CU19:CU31" si="36">IF((1-($DS$2-$CT19)/$C19)&gt;0,(1-($DS$2-$CT19)/$C19),0)</f>
        <v>0</v>
      </c>
      <c r="CV19" s="333">
        <f t="shared" ref="CV19:CV31" si="37">IF((1-($DS$2-G$2)/$C19)&gt;0,(1-($DS$2-G$2)/$C19),0)</f>
        <v>0.30000000000000004</v>
      </c>
      <c r="CW19" s="333">
        <f t="shared" ref="CW19:CW31" si="38">IF((1-($DS$2-K$2)/$C19)&gt;0,(1-($DS$2-K$2)/$C19),0)</f>
        <v>0.33333333333333337</v>
      </c>
      <c r="CX19" s="333">
        <f t="shared" ref="CX19:CX31" si="39">IF((1-($DS$2-O$2)/$C19)&gt;0,(1-($DS$2-O$2)/$C19),0)</f>
        <v>0.3666666666666667</v>
      </c>
      <c r="CY19" s="333">
        <f t="shared" ref="CY19:CY31" si="40">IF((1-($DS$2-S$2)/$C19)&gt;0,(1-($DS$2-S$2)/$C19),0)</f>
        <v>0.4</v>
      </c>
      <c r="CZ19" s="333">
        <f t="shared" ref="CZ19:CZ31" si="41">IF((1-($DS$2-W$2)/$C19)&gt;0,(1-($DS$2-W$2)/$C19),0)</f>
        <v>0.43333333333333335</v>
      </c>
      <c r="DA19" s="333">
        <f t="shared" ref="DA19:DA31" si="42">IF((1-($DS$2-AA$2)/$C19)&gt;0,(1-($DS$2-AA$2)/$C19),0)</f>
        <v>0.46666666666666667</v>
      </c>
      <c r="DB19" s="333">
        <f t="shared" ref="DB19:DB31" si="43">IF((1-($DS$2-AE$2)/$C19)&gt;0,(1-($DS$2-AE$2)/$C19),0)</f>
        <v>0.5</v>
      </c>
      <c r="DC19" s="333">
        <f t="shared" ref="DC19:DC31" si="44">IF((1-($DS$2-AI$2)/$C19)&gt;0,(1-($DS$2-AI$2)/$C19),0)</f>
        <v>0.53333333333333333</v>
      </c>
      <c r="DD19" s="333">
        <f t="shared" ref="DD19:DD31" si="45">IF((1-($DS$2-AM$2)/$C19)&gt;0,(1-($DS$2-AM$2)/$C19),0)</f>
        <v>0.56666666666666665</v>
      </c>
      <c r="DE19" s="333">
        <f t="shared" ref="DE19:DE31" si="46">IF((1-($DS$2-AQ$2)/$C19)&gt;0,(1-($DS$2-AQ$2)/$C19),0)</f>
        <v>0.6</v>
      </c>
      <c r="DF19" s="333">
        <f t="shared" ref="DF19:DF31" si="47">IF((1-($DS$2-AU$2)/$C19)&gt;0,(1-($DS$2-AU$2)/$C19),0)</f>
        <v>0.6333333333333333</v>
      </c>
      <c r="DG19" s="333">
        <f t="shared" ref="DG19:DG31" si="48">IF((1-($DS$2-AY$2)/$C19)&gt;0,(1-($DS$2-AY$2)/$C19),0)</f>
        <v>0.66666666666666674</v>
      </c>
      <c r="DH19" s="333">
        <f t="shared" ref="DH19:DH31" si="49">IF((1-($DS$2-BC$2)/$C19)&gt;0,(1-($DS$2-BC$2)/$C19),0)</f>
        <v>0.7</v>
      </c>
      <c r="DI19" s="333">
        <f t="shared" ref="DI19:DI31" si="50">IF(BG19=0,0,1-($DS$2-(2014.5-(BG19-BI19)*C19/BG19))/C19)</f>
        <v>0.38840331069290335</v>
      </c>
      <c r="DJ19" s="333">
        <f t="shared" ref="DJ19:DJ31" si="51">IF((1-($DS$2-BJ$2)/$C19)&gt;0,(1-($DS$2-BJ$2)/$C19),0)</f>
        <v>0.73333333333333339</v>
      </c>
      <c r="DK19" s="333">
        <f t="shared" ref="DK19:DK31" si="52">IF((1-($DS$2-BN$2)/$C19)&gt;0,(1-($DS$2-BN$2)/$C19),0)</f>
        <v>0.76666666666666661</v>
      </c>
      <c r="DL19" s="333">
        <f t="shared" ref="DL19:DL31" si="53">IF((1-($DS$2-BR$2)/$C19)&gt;0,(1-($DS$2-BR$2)/$C19),0)</f>
        <v>0.8</v>
      </c>
      <c r="DM19" s="333">
        <f t="shared" ref="DM19:DM31" si="54">IF((1-($DS$2-BV$2)/$C19)&gt;0,(1-($DS$2-BV$2)/$C19),0)</f>
        <v>0.83333333333333337</v>
      </c>
      <c r="DN19" s="333">
        <f t="shared" ref="DN19:DN31" si="55">IF((1-($DS$2-BZ$2)/$C19)&gt;0,(1-($DS$2-BZ$2)/$C19),0)</f>
        <v>0.8666666666666667</v>
      </c>
      <c r="DO19" s="333">
        <f t="shared" ref="DO19:DO31" si="56">IF((1-($DS$2-CD$2)/$C19)&gt;0,(1-($DS$2-CD$2)/$C19),0)</f>
        <v>0.9</v>
      </c>
      <c r="DP19" s="333">
        <f t="shared" ref="DP19:DP31" si="57">IF((1-($DS$2-CH$2)/$C19)&gt;0,(1-($DS$2-CH$2)/$C19),0)</f>
        <v>0.93333333333333335</v>
      </c>
      <c r="DQ19" s="333">
        <f t="shared" ref="DQ19:DQ31" si="58">IF((1-($DS$2-CL$2)/$C19)&gt;0,(1-($DS$2-CL$2)/$C19),0)</f>
        <v>0.96666666666666667</v>
      </c>
      <c r="DR19" s="333">
        <f t="shared" ref="DR19:DR31" si="59">IF((1-($DS$2-CP$2)/$C19)&gt;0,(1-($DS$2-CP$2)/$C19),0)</f>
        <v>1</v>
      </c>
      <c r="DS19" s="334">
        <f t="shared" si="32"/>
        <v>56679645.005771801</v>
      </c>
      <c r="DT19" s="334">
        <f t="shared" si="33"/>
        <v>20631115.423739497</v>
      </c>
      <c r="DU19" s="334">
        <f t="shared" si="34"/>
        <v>24935880.183567099</v>
      </c>
    </row>
    <row r="20" spans="1:125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290">
        <v>1453339.2800000005</v>
      </c>
      <c r="CI20" s="290">
        <v>27821.311839000002</v>
      </c>
      <c r="CJ20" s="290"/>
      <c r="CK20" s="290"/>
      <c r="CL20" s="290">
        <v>1233452.23</v>
      </c>
      <c r="CM20" s="290"/>
      <c r="CN20" s="290"/>
      <c r="CO20" s="290"/>
      <c r="CP20" s="290">
        <v>1726610.3399999994</v>
      </c>
      <c r="CQ20" s="290"/>
      <c r="CR20" s="290"/>
      <c r="CS20" s="290"/>
      <c r="CT20" s="321">
        <f t="shared" si="35"/>
        <v>1987.6165577130359</v>
      </c>
      <c r="CU20" s="333">
        <f t="shared" si="36"/>
        <v>0</v>
      </c>
      <c r="CV20" s="333">
        <f t="shared" si="37"/>
        <v>0.30000000000000004</v>
      </c>
      <c r="CW20" s="333">
        <f t="shared" si="38"/>
        <v>0.33333333333333337</v>
      </c>
      <c r="CX20" s="333">
        <f t="shared" si="39"/>
        <v>0.3666666666666667</v>
      </c>
      <c r="CY20" s="333">
        <f t="shared" si="40"/>
        <v>0.4</v>
      </c>
      <c r="CZ20" s="333">
        <f t="shared" si="41"/>
        <v>0.43333333333333335</v>
      </c>
      <c r="DA20" s="333">
        <f t="shared" si="42"/>
        <v>0.46666666666666667</v>
      </c>
      <c r="DB20" s="333">
        <f t="shared" si="43"/>
        <v>0.5</v>
      </c>
      <c r="DC20" s="333">
        <f t="shared" si="44"/>
        <v>0.53333333333333333</v>
      </c>
      <c r="DD20" s="333">
        <f t="shared" si="45"/>
        <v>0.56666666666666665</v>
      </c>
      <c r="DE20" s="333">
        <f t="shared" si="46"/>
        <v>0.6</v>
      </c>
      <c r="DF20" s="333">
        <f t="shared" si="47"/>
        <v>0.6333333333333333</v>
      </c>
      <c r="DG20" s="333">
        <f t="shared" si="48"/>
        <v>0.66666666666666674</v>
      </c>
      <c r="DH20" s="333">
        <f t="shared" si="49"/>
        <v>0.7</v>
      </c>
      <c r="DI20" s="333">
        <f t="shared" si="50"/>
        <v>0</v>
      </c>
      <c r="DJ20" s="333">
        <f t="shared" si="51"/>
        <v>0.73333333333333339</v>
      </c>
      <c r="DK20" s="333">
        <f t="shared" si="52"/>
        <v>0.76666666666666661</v>
      </c>
      <c r="DL20" s="333">
        <f t="shared" si="53"/>
        <v>0.8</v>
      </c>
      <c r="DM20" s="333">
        <f t="shared" si="54"/>
        <v>0.83333333333333337</v>
      </c>
      <c r="DN20" s="333">
        <f t="shared" si="55"/>
        <v>0.8666666666666667</v>
      </c>
      <c r="DO20" s="333">
        <f t="shared" si="56"/>
        <v>0.9</v>
      </c>
      <c r="DP20" s="333">
        <f t="shared" si="57"/>
        <v>0.93333333333333335</v>
      </c>
      <c r="DQ20" s="333">
        <f t="shared" si="58"/>
        <v>0.96666666666666667</v>
      </c>
      <c r="DR20" s="333">
        <f t="shared" si="59"/>
        <v>1</v>
      </c>
      <c r="DS20" s="334">
        <f t="shared" si="32"/>
        <v>34956824.254129566</v>
      </c>
      <c r="DT20" s="334">
        <f t="shared" si="33"/>
        <v>20319163.888809633</v>
      </c>
      <c r="DU20" s="334">
        <f t="shared" si="34"/>
        <v>11255499.080810117</v>
      </c>
    </row>
    <row r="21" spans="1:125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290">
        <v>0</v>
      </c>
      <c r="CI21" s="290">
        <v>0</v>
      </c>
      <c r="CJ21" s="290"/>
      <c r="CK21" s="290"/>
      <c r="CL21" s="290">
        <v>0</v>
      </c>
      <c r="CM21" s="290"/>
      <c r="CN21" s="290"/>
      <c r="CO21" s="290"/>
      <c r="CP21" s="290">
        <v>0</v>
      </c>
      <c r="CQ21" s="290"/>
      <c r="CR21" s="290"/>
      <c r="CS21" s="290"/>
      <c r="CT21" s="321">
        <f t="shared" si="35"/>
        <v>1987.6167726485194</v>
      </c>
      <c r="CU21" s="333">
        <f t="shared" si="36"/>
        <v>0</v>
      </c>
      <c r="CV21" s="333">
        <f t="shared" si="37"/>
        <v>0.30000000000000004</v>
      </c>
      <c r="CW21" s="333">
        <f t="shared" si="38"/>
        <v>0.33333333333333337</v>
      </c>
      <c r="CX21" s="333">
        <f t="shared" si="39"/>
        <v>0.3666666666666667</v>
      </c>
      <c r="CY21" s="333">
        <f t="shared" si="40"/>
        <v>0.4</v>
      </c>
      <c r="CZ21" s="333">
        <f t="shared" si="41"/>
        <v>0.43333333333333335</v>
      </c>
      <c r="DA21" s="333">
        <f t="shared" si="42"/>
        <v>0.46666666666666667</v>
      </c>
      <c r="DB21" s="333">
        <f t="shared" si="43"/>
        <v>0.5</v>
      </c>
      <c r="DC21" s="333">
        <f t="shared" si="44"/>
        <v>0.53333333333333333</v>
      </c>
      <c r="DD21" s="333">
        <f t="shared" si="45"/>
        <v>0.56666666666666665</v>
      </c>
      <c r="DE21" s="333">
        <f t="shared" si="46"/>
        <v>0.6</v>
      </c>
      <c r="DF21" s="333">
        <f t="shared" si="47"/>
        <v>0.6333333333333333</v>
      </c>
      <c r="DG21" s="333">
        <f t="shared" si="48"/>
        <v>0.66666666666666674</v>
      </c>
      <c r="DH21" s="333">
        <f t="shared" si="49"/>
        <v>0.7</v>
      </c>
      <c r="DI21" s="333">
        <f t="shared" si="50"/>
        <v>0.41666673709728452</v>
      </c>
      <c r="DJ21" s="333">
        <f t="shared" si="51"/>
        <v>0.73333333333333339</v>
      </c>
      <c r="DK21" s="333">
        <f t="shared" si="52"/>
        <v>0.76666666666666661</v>
      </c>
      <c r="DL21" s="333">
        <f t="shared" si="53"/>
        <v>0.8</v>
      </c>
      <c r="DM21" s="333">
        <f t="shared" si="54"/>
        <v>0.83333333333333337</v>
      </c>
      <c r="DN21" s="333">
        <f t="shared" si="55"/>
        <v>0.8666666666666667</v>
      </c>
      <c r="DO21" s="333">
        <f t="shared" si="56"/>
        <v>0.9</v>
      </c>
      <c r="DP21" s="333">
        <f t="shared" si="57"/>
        <v>0.93333333333333335</v>
      </c>
      <c r="DQ21" s="333">
        <f t="shared" si="58"/>
        <v>0.96666666666666667</v>
      </c>
      <c r="DR21" s="333">
        <f t="shared" si="59"/>
        <v>1</v>
      </c>
      <c r="DS21" s="334">
        <f t="shared" si="32"/>
        <v>220572.67704669843</v>
      </c>
      <c r="DT21" s="334">
        <f t="shared" si="33"/>
        <v>149580.82704669842</v>
      </c>
      <c r="DU21" s="334">
        <f t="shared" si="34"/>
        <v>29579.942499999859</v>
      </c>
    </row>
    <row r="22" spans="1:125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290">
        <v>651665.85</v>
      </c>
      <c r="CI22" s="290">
        <v>4568.1160339999997</v>
      </c>
      <c r="CJ22" s="290"/>
      <c r="CK22" s="290"/>
      <c r="CL22" s="290">
        <v>121215.21</v>
      </c>
      <c r="CM22" s="290"/>
      <c r="CN22" s="290"/>
      <c r="CO22" s="290"/>
      <c r="CP22" s="290">
        <v>17110513.980000004</v>
      </c>
      <c r="CQ22" s="290"/>
      <c r="CR22" s="290"/>
      <c r="CS22" s="290"/>
      <c r="CT22" s="321">
        <f t="shared" si="35"/>
        <v>0</v>
      </c>
      <c r="CU22" s="333">
        <f t="shared" si="36"/>
        <v>0</v>
      </c>
      <c r="CV22" s="333">
        <f t="shared" si="37"/>
        <v>0.30000000000000004</v>
      </c>
      <c r="CW22" s="333">
        <f t="shared" si="38"/>
        <v>0.33333333333333337</v>
      </c>
      <c r="CX22" s="333">
        <f t="shared" si="39"/>
        <v>0.3666666666666667</v>
      </c>
      <c r="CY22" s="333">
        <f t="shared" si="40"/>
        <v>0.4</v>
      </c>
      <c r="CZ22" s="333">
        <f t="shared" si="41"/>
        <v>0.43333333333333335</v>
      </c>
      <c r="DA22" s="333">
        <f t="shared" si="42"/>
        <v>0.46666666666666667</v>
      </c>
      <c r="DB22" s="333">
        <f t="shared" si="43"/>
        <v>0.5</v>
      </c>
      <c r="DC22" s="333">
        <f t="shared" si="44"/>
        <v>0.53333333333333333</v>
      </c>
      <c r="DD22" s="333">
        <f t="shared" si="45"/>
        <v>0.56666666666666665</v>
      </c>
      <c r="DE22" s="333">
        <f t="shared" si="46"/>
        <v>0.6</v>
      </c>
      <c r="DF22" s="333">
        <f t="shared" si="47"/>
        <v>0.6333333333333333</v>
      </c>
      <c r="DG22" s="333">
        <f t="shared" si="48"/>
        <v>0.66666666666666674</v>
      </c>
      <c r="DH22" s="333">
        <f t="shared" si="49"/>
        <v>0.7</v>
      </c>
      <c r="DI22" s="333">
        <f t="shared" si="50"/>
        <v>0</v>
      </c>
      <c r="DJ22" s="333">
        <f t="shared" si="51"/>
        <v>0.73333333333333339</v>
      </c>
      <c r="DK22" s="333">
        <f t="shared" si="52"/>
        <v>0.76666666666666661</v>
      </c>
      <c r="DL22" s="333">
        <f t="shared" si="53"/>
        <v>0.8</v>
      </c>
      <c r="DM22" s="333">
        <f t="shared" si="54"/>
        <v>0.83333333333333337</v>
      </c>
      <c r="DN22" s="333">
        <f t="shared" si="55"/>
        <v>0.8666666666666667</v>
      </c>
      <c r="DO22" s="333">
        <f t="shared" si="56"/>
        <v>0.9</v>
      </c>
      <c r="DP22" s="333">
        <f t="shared" si="57"/>
        <v>0.93333333333333335</v>
      </c>
      <c r="DQ22" s="333">
        <f t="shared" si="58"/>
        <v>0.96666666666666667</v>
      </c>
      <c r="DR22" s="333">
        <f t="shared" si="59"/>
        <v>1</v>
      </c>
      <c r="DS22" s="334">
        <f t="shared" si="32"/>
        <v>18454959.005733278</v>
      </c>
      <c r="DT22" s="334">
        <f t="shared" si="33"/>
        <v>0</v>
      </c>
      <c r="DU22" s="334">
        <f t="shared" si="34"/>
        <v>17524895.444024589</v>
      </c>
    </row>
    <row r="23" spans="1:125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290">
        <v>228894.65</v>
      </c>
      <c r="CI23" s="290">
        <v>0</v>
      </c>
      <c r="CJ23" s="290"/>
      <c r="CK23" s="290"/>
      <c r="CL23" s="290">
        <v>429753.95999999996</v>
      </c>
      <c r="CM23" s="290"/>
      <c r="CN23" s="290"/>
      <c r="CO23" s="290"/>
      <c r="CP23" s="290">
        <v>613343.15</v>
      </c>
      <c r="CQ23" s="290"/>
      <c r="CR23" s="290"/>
      <c r="CS23" s="290"/>
      <c r="CT23" s="321">
        <f t="shared" si="35"/>
        <v>0</v>
      </c>
      <c r="CU23" s="333">
        <f t="shared" si="36"/>
        <v>0</v>
      </c>
      <c r="CV23" s="333">
        <f t="shared" si="37"/>
        <v>0.30000000000000004</v>
      </c>
      <c r="CW23" s="333">
        <f t="shared" si="38"/>
        <v>0.33333333333333337</v>
      </c>
      <c r="CX23" s="333">
        <f t="shared" si="39"/>
        <v>0.3666666666666667</v>
      </c>
      <c r="CY23" s="333">
        <f t="shared" si="40"/>
        <v>0.4</v>
      </c>
      <c r="CZ23" s="333">
        <f t="shared" si="41"/>
        <v>0.43333333333333335</v>
      </c>
      <c r="DA23" s="333">
        <f t="shared" si="42"/>
        <v>0.46666666666666667</v>
      </c>
      <c r="DB23" s="333">
        <f t="shared" si="43"/>
        <v>0.5</v>
      </c>
      <c r="DC23" s="333">
        <f t="shared" si="44"/>
        <v>0.53333333333333333</v>
      </c>
      <c r="DD23" s="333">
        <f t="shared" si="45"/>
        <v>0.56666666666666665</v>
      </c>
      <c r="DE23" s="333">
        <f t="shared" si="46"/>
        <v>0.6</v>
      </c>
      <c r="DF23" s="333">
        <f t="shared" si="47"/>
        <v>0.6333333333333333</v>
      </c>
      <c r="DG23" s="333">
        <f t="shared" si="48"/>
        <v>0.66666666666666674</v>
      </c>
      <c r="DH23" s="333">
        <f t="shared" si="49"/>
        <v>0.7</v>
      </c>
      <c r="DI23" s="333">
        <f t="shared" si="50"/>
        <v>0</v>
      </c>
      <c r="DJ23" s="333">
        <f t="shared" si="51"/>
        <v>0.73333333333333339</v>
      </c>
      <c r="DK23" s="333">
        <f t="shared" si="52"/>
        <v>0.76666666666666661</v>
      </c>
      <c r="DL23" s="333">
        <f t="shared" si="53"/>
        <v>0.8</v>
      </c>
      <c r="DM23" s="333">
        <f t="shared" si="54"/>
        <v>0.83333333333333337</v>
      </c>
      <c r="DN23" s="333">
        <f t="shared" si="55"/>
        <v>0.8666666666666667</v>
      </c>
      <c r="DO23" s="333">
        <f t="shared" si="56"/>
        <v>0.9</v>
      </c>
      <c r="DP23" s="333">
        <f t="shared" si="57"/>
        <v>0.93333333333333335</v>
      </c>
      <c r="DQ23" s="333">
        <f t="shared" si="58"/>
        <v>0.96666666666666667</v>
      </c>
      <c r="DR23" s="333">
        <f t="shared" si="59"/>
        <v>1</v>
      </c>
      <c r="DS23" s="334">
        <f t="shared" si="32"/>
        <v>4841034.0741738472</v>
      </c>
      <c r="DT23" s="334">
        <f t="shared" si="33"/>
        <v>0</v>
      </c>
      <c r="DU23" s="334">
        <f t="shared" si="34"/>
        <v>3901156.0224170145</v>
      </c>
    </row>
    <row r="24" spans="1:125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290">
        <v>0</v>
      </c>
      <c r="CI24" s="290">
        <v>0</v>
      </c>
      <c r="CJ24" s="290"/>
      <c r="CK24" s="290"/>
      <c r="CL24" s="290">
        <v>0</v>
      </c>
      <c r="CM24" s="290"/>
      <c r="CN24" s="290"/>
      <c r="CO24" s="290"/>
      <c r="CP24" s="290">
        <v>0</v>
      </c>
      <c r="CQ24" s="290"/>
      <c r="CR24" s="290"/>
      <c r="CS24" s="290"/>
      <c r="CT24" s="321">
        <f t="shared" si="35"/>
        <v>0</v>
      </c>
      <c r="CU24" s="333">
        <f t="shared" si="36"/>
        <v>0</v>
      </c>
      <c r="CV24" s="333">
        <f t="shared" si="37"/>
        <v>0.30000000000000004</v>
      </c>
      <c r="CW24" s="333">
        <f t="shared" si="38"/>
        <v>0.33333333333333337</v>
      </c>
      <c r="CX24" s="333">
        <f t="shared" si="39"/>
        <v>0.3666666666666667</v>
      </c>
      <c r="CY24" s="333">
        <f t="shared" si="40"/>
        <v>0.4</v>
      </c>
      <c r="CZ24" s="333">
        <f t="shared" si="41"/>
        <v>0.43333333333333335</v>
      </c>
      <c r="DA24" s="333">
        <f t="shared" si="42"/>
        <v>0.46666666666666667</v>
      </c>
      <c r="DB24" s="333">
        <f t="shared" si="43"/>
        <v>0.5</v>
      </c>
      <c r="DC24" s="333">
        <f t="shared" si="44"/>
        <v>0.53333333333333333</v>
      </c>
      <c r="DD24" s="333">
        <f t="shared" si="45"/>
        <v>0.56666666666666665</v>
      </c>
      <c r="DE24" s="333">
        <f t="shared" si="46"/>
        <v>0.6</v>
      </c>
      <c r="DF24" s="333">
        <f t="shared" si="47"/>
        <v>0.6333333333333333</v>
      </c>
      <c r="DG24" s="333">
        <f t="shared" si="48"/>
        <v>0.66666666666666674</v>
      </c>
      <c r="DH24" s="333">
        <f t="shared" si="49"/>
        <v>0.7</v>
      </c>
      <c r="DI24" s="333">
        <f t="shared" si="50"/>
        <v>0</v>
      </c>
      <c r="DJ24" s="333">
        <f t="shared" si="51"/>
        <v>0.73333333333333339</v>
      </c>
      <c r="DK24" s="333">
        <f t="shared" si="52"/>
        <v>0.76666666666666661</v>
      </c>
      <c r="DL24" s="333">
        <f t="shared" si="53"/>
        <v>0.8</v>
      </c>
      <c r="DM24" s="333">
        <f t="shared" si="54"/>
        <v>0.83333333333333337</v>
      </c>
      <c r="DN24" s="333">
        <f t="shared" si="55"/>
        <v>0.8666666666666667</v>
      </c>
      <c r="DO24" s="333">
        <f t="shared" si="56"/>
        <v>0.9</v>
      </c>
      <c r="DP24" s="333">
        <f t="shared" si="57"/>
        <v>0.93333333333333335</v>
      </c>
      <c r="DQ24" s="333">
        <f t="shared" si="58"/>
        <v>0.96666666666666667</v>
      </c>
      <c r="DR24" s="333">
        <f t="shared" si="59"/>
        <v>1</v>
      </c>
      <c r="DS24" s="334">
        <f t="shared" si="32"/>
        <v>0</v>
      </c>
      <c r="DT24" s="334">
        <f t="shared" si="33"/>
        <v>0</v>
      </c>
      <c r="DU24" s="334">
        <f t="shared" si="34"/>
        <v>0</v>
      </c>
    </row>
    <row r="25" spans="1:125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290">
        <v>0</v>
      </c>
      <c r="CI25" s="290">
        <v>0</v>
      </c>
      <c r="CJ25" s="290"/>
      <c r="CK25" s="290"/>
      <c r="CL25" s="290">
        <v>76613.399999999994</v>
      </c>
      <c r="CM25" s="290"/>
      <c r="CN25" s="290"/>
      <c r="CO25" s="290"/>
      <c r="CP25" s="290">
        <v>5879472.1299999999</v>
      </c>
      <c r="CQ25" s="290"/>
      <c r="CR25" s="290"/>
      <c r="CS25" s="290"/>
      <c r="CT25" s="321">
        <f t="shared" si="35"/>
        <v>1983.0579643777135</v>
      </c>
      <c r="CU25" s="333">
        <f t="shared" si="36"/>
        <v>0</v>
      </c>
      <c r="CV25" s="333">
        <f t="shared" si="37"/>
        <v>0.30000000000000004</v>
      </c>
      <c r="CW25" s="333">
        <f t="shared" si="38"/>
        <v>0.33333333333333337</v>
      </c>
      <c r="CX25" s="333">
        <f t="shared" si="39"/>
        <v>0.3666666666666667</v>
      </c>
      <c r="CY25" s="333">
        <f t="shared" si="40"/>
        <v>0.4</v>
      </c>
      <c r="CZ25" s="333">
        <f t="shared" si="41"/>
        <v>0.43333333333333335</v>
      </c>
      <c r="DA25" s="333">
        <f t="shared" si="42"/>
        <v>0.46666666666666667</v>
      </c>
      <c r="DB25" s="333">
        <f t="shared" si="43"/>
        <v>0.5</v>
      </c>
      <c r="DC25" s="333">
        <f t="shared" si="44"/>
        <v>0.53333333333333333</v>
      </c>
      <c r="DD25" s="333">
        <f t="shared" si="45"/>
        <v>0.56666666666666665</v>
      </c>
      <c r="DE25" s="333">
        <f t="shared" si="46"/>
        <v>0.6</v>
      </c>
      <c r="DF25" s="333">
        <f t="shared" si="47"/>
        <v>0.6333333333333333</v>
      </c>
      <c r="DG25" s="333">
        <f t="shared" si="48"/>
        <v>0.66666666666666674</v>
      </c>
      <c r="DH25" s="333">
        <f t="shared" si="49"/>
        <v>0.7</v>
      </c>
      <c r="DI25" s="333">
        <f t="shared" si="50"/>
        <v>0.26909427527524865</v>
      </c>
      <c r="DJ25" s="333">
        <f t="shared" si="51"/>
        <v>0.73333333333333339</v>
      </c>
      <c r="DK25" s="333">
        <f t="shared" si="52"/>
        <v>0.76666666666666661</v>
      </c>
      <c r="DL25" s="333">
        <f t="shared" si="53"/>
        <v>0.8</v>
      </c>
      <c r="DM25" s="333">
        <f t="shared" si="54"/>
        <v>0.83333333333333337</v>
      </c>
      <c r="DN25" s="333">
        <f t="shared" si="55"/>
        <v>0.8666666666666667</v>
      </c>
      <c r="DO25" s="333">
        <f t="shared" si="56"/>
        <v>0.9</v>
      </c>
      <c r="DP25" s="333">
        <f t="shared" si="57"/>
        <v>0.93333333333333335</v>
      </c>
      <c r="DQ25" s="333">
        <f t="shared" si="58"/>
        <v>0.96666666666666667</v>
      </c>
      <c r="DR25" s="333">
        <f t="shared" si="59"/>
        <v>1</v>
      </c>
      <c r="DS25" s="334">
        <f t="shared" si="32"/>
        <v>14991084.429816797</v>
      </c>
      <c r="DT25" s="334">
        <f t="shared" si="33"/>
        <v>5501374.3444445133</v>
      </c>
      <c r="DU25" s="334">
        <f t="shared" si="34"/>
        <v>7728614.1975438483</v>
      </c>
    </row>
    <row r="26" spans="1:125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290">
        <v>0</v>
      </c>
      <c r="CI26" s="290">
        <v>0</v>
      </c>
      <c r="CJ26" s="290"/>
      <c r="CK26" s="290"/>
      <c r="CL26" s="290">
        <v>0</v>
      </c>
      <c r="CM26" s="290"/>
      <c r="CN26" s="290"/>
      <c r="CO26" s="290"/>
      <c r="CP26" s="290">
        <v>0</v>
      </c>
      <c r="CQ26" s="290"/>
      <c r="CR26" s="290"/>
      <c r="CS26" s="290"/>
      <c r="CT26" s="321">
        <f t="shared" si="35"/>
        <v>0</v>
      </c>
      <c r="CU26" s="333">
        <f t="shared" si="36"/>
        <v>0</v>
      </c>
      <c r="CV26" s="333">
        <f t="shared" si="37"/>
        <v>0.30000000000000004</v>
      </c>
      <c r="CW26" s="333">
        <f t="shared" si="38"/>
        <v>0.33333333333333337</v>
      </c>
      <c r="CX26" s="333">
        <f t="shared" si="39"/>
        <v>0.3666666666666667</v>
      </c>
      <c r="CY26" s="333">
        <f t="shared" si="40"/>
        <v>0.4</v>
      </c>
      <c r="CZ26" s="333">
        <f t="shared" si="41"/>
        <v>0.43333333333333335</v>
      </c>
      <c r="DA26" s="333">
        <f t="shared" si="42"/>
        <v>0.46666666666666667</v>
      </c>
      <c r="DB26" s="333">
        <f t="shared" si="43"/>
        <v>0.5</v>
      </c>
      <c r="DC26" s="333">
        <f t="shared" si="44"/>
        <v>0.53333333333333333</v>
      </c>
      <c r="DD26" s="333">
        <f t="shared" si="45"/>
        <v>0.56666666666666665</v>
      </c>
      <c r="DE26" s="333">
        <f t="shared" si="46"/>
        <v>0.6</v>
      </c>
      <c r="DF26" s="333">
        <f t="shared" si="47"/>
        <v>0.6333333333333333</v>
      </c>
      <c r="DG26" s="333">
        <f t="shared" si="48"/>
        <v>0.66666666666666674</v>
      </c>
      <c r="DH26" s="333">
        <f t="shared" si="49"/>
        <v>0.7</v>
      </c>
      <c r="DI26" s="333">
        <f t="shared" si="50"/>
        <v>0.47079074582906444</v>
      </c>
      <c r="DJ26" s="333">
        <f t="shared" si="51"/>
        <v>0.73333333333333339</v>
      </c>
      <c r="DK26" s="333">
        <f t="shared" si="52"/>
        <v>0.76666666666666661</v>
      </c>
      <c r="DL26" s="333">
        <f t="shared" si="53"/>
        <v>0.8</v>
      </c>
      <c r="DM26" s="333">
        <f t="shared" si="54"/>
        <v>0.83333333333333337</v>
      </c>
      <c r="DN26" s="333">
        <f t="shared" si="55"/>
        <v>0.8666666666666667</v>
      </c>
      <c r="DO26" s="333">
        <f t="shared" si="56"/>
        <v>0.9</v>
      </c>
      <c r="DP26" s="333">
        <f t="shared" si="57"/>
        <v>0.93333333333333335</v>
      </c>
      <c r="DQ26" s="333">
        <f t="shared" si="58"/>
        <v>0.96666666666666667</v>
      </c>
      <c r="DR26" s="333">
        <f t="shared" si="59"/>
        <v>1</v>
      </c>
      <c r="DS26" s="334">
        <f t="shared" si="32"/>
        <v>2503042.5259680757</v>
      </c>
      <c r="DT26" s="334">
        <f t="shared" si="33"/>
        <v>0</v>
      </c>
      <c r="DU26" s="334">
        <f t="shared" si="34"/>
        <v>0</v>
      </c>
    </row>
    <row r="27" spans="1:125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290">
        <v>0</v>
      </c>
      <c r="CI27" s="290">
        <v>0</v>
      </c>
      <c r="CJ27" s="290"/>
      <c r="CK27" s="290"/>
      <c r="CL27" s="290">
        <v>0</v>
      </c>
      <c r="CM27" s="290"/>
      <c r="CN27" s="290"/>
      <c r="CO27" s="290"/>
      <c r="CP27" s="290">
        <v>0</v>
      </c>
      <c r="CQ27" s="290"/>
      <c r="CR27" s="290"/>
      <c r="CS27" s="290"/>
      <c r="CT27" s="321">
        <f t="shared" si="35"/>
        <v>0</v>
      </c>
      <c r="CU27" s="333">
        <f t="shared" si="36"/>
        <v>0</v>
      </c>
      <c r="CV27" s="333">
        <f t="shared" si="37"/>
        <v>0.30000000000000004</v>
      </c>
      <c r="CW27" s="333">
        <f t="shared" si="38"/>
        <v>0.33333333333333337</v>
      </c>
      <c r="CX27" s="333">
        <f t="shared" si="39"/>
        <v>0.3666666666666667</v>
      </c>
      <c r="CY27" s="333">
        <f t="shared" si="40"/>
        <v>0.4</v>
      </c>
      <c r="CZ27" s="333">
        <f t="shared" si="41"/>
        <v>0.43333333333333335</v>
      </c>
      <c r="DA27" s="333">
        <f t="shared" si="42"/>
        <v>0.46666666666666667</v>
      </c>
      <c r="DB27" s="333">
        <f t="shared" si="43"/>
        <v>0.5</v>
      </c>
      <c r="DC27" s="333">
        <f t="shared" si="44"/>
        <v>0.53333333333333333</v>
      </c>
      <c r="DD27" s="333">
        <f t="shared" si="45"/>
        <v>0.56666666666666665</v>
      </c>
      <c r="DE27" s="333">
        <f t="shared" si="46"/>
        <v>0.6</v>
      </c>
      <c r="DF27" s="333">
        <f t="shared" si="47"/>
        <v>0.6333333333333333</v>
      </c>
      <c r="DG27" s="333">
        <f t="shared" si="48"/>
        <v>0.66666666666666674</v>
      </c>
      <c r="DH27" s="333">
        <f t="shared" si="49"/>
        <v>0.7</v>
      </c>
      <c r="DI27" s="333">
        <f t="shared" si="50"/>
        <v>0</v>
      </c>
      <c r="DJ27" s="333">
        <f t="shared" si="51"/>
        <v>0.73333333333333339</v>
      </c>
      <c r="DK27" s="333">
        <f t="shared" si="52"/>
        <v>0.76666666666666661</v>
      </c>
      <c r="DL27" s="333">
        <f t="shared" si="53"/>
        <v>0.8</v>
      </c>
      <c r="DM27" s="333">
        <f t="shared" si="54"/>
        <v>0.83333333333333337</v>
      </c>
      <c r="DN27" s="333">
        <f t="shared" si="55"/>
        <v>0.8666666666666667</v>
      </c>
      <c r="DO27" s="333">
        <f t="shared" si="56"/>
        <v>0.9</v>
      </c>
      <c r="DP27" s="333">
        <f t="shared" si="57"/>
        <v>0.93333333333333335</v>
      </c>
      <c r="DQ27" s="333">
        <f t="shared" si="58"/>
        <v>0.96666666666666667</v>
      </c>
      <c r="DR27" s="333">
        <f t="shared" si="59"/>
        <v>1</v>
      </c>
      <c r="DS27" s="334">
        <f t="shared" si="32"/>
        <v>0</v>
      </c>
      <c r="DT27" s="334">
        <f t="shared" si="33"/>
        <v>0</v>
      </c>
      <c r="DU27" s="334">
        <f t="shared" si="34"/>
        <v>0</v>
      </c>
    </row>
    <row r="28" spans="1:125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290">
        <v>0</v>
      </c>
      <c r="CI28" s="290">
        <v>0</v>
      </c>
      <c r="CJ28" s="290"/>
      <c r="CK28" s="290"/>
      <c r="CL28" s="290">
        <v>0</v>
      </c>
      <c r="CM28" s="290"/>
      <c r="CN28" s="290"/>
      <c r="CO28" s="290"/>
      <c r="CP28" s="290">
        <v>0</v>
      </c>
      <c r="CQ28" s="290"/>
      <c r="CR28" s="290"/>
      <c r="CS28" s="290"/>
      <c r="CT28" s="321">
        <f t="shared" si="35"/>
        <v>0</v>
      </c>
      <c r="CU28" s="333">
        <f t="shared" si="36"/>
        <v>0</v>
      </c>
      <c r="CV28" s="333">
        <f t="shared" si="37"/>
        <v>0.30000000000000004</v>
      </c>
      <c r="CW28" s="333">
        <f t="shared" si="38"/>
        <v>0.33333333333333337</v>
      </c>
      <c r="CX28" s="333">
        <f t="shared" si="39"/>
        <v>0.3666666666666667</v>
      </c>
      <c r="CY28" s="333">
        <f t="shared" si="40"/>
        <v>0.4</v>
      </c>
      <c r="CZ28" s="333">
        <f t="shared" si="41"/>
        <v>0.43333333333333335</v>
      </c>
      <c r="DA28" s="333">
        <f t="shared" si="42"/>
        <v>0.46666666666666667</v>
      </c>
      <c r="DB28" s="333">
        <f t="shared" si="43"/>
        <v>0.5</v>
      </c>
      <c r="DC28" s="333">
        <f t="shared" si="44"/>
        <v>0.53333333333333333</v>
      </c>
      <c r="DD28" s="333">
        <f t="shared" si="45"/>
        <v>0.56666666666666665</v>
      </c>
      <c r="DE28" s="333">
        <f t="shared" si="46"/>
        <v>0.6</v>
      </c>
      <c r="DF28" s="333">
        <f t="shared" si="47"/>
        <v>0.6333333333333333</v>
      </c>
      <c r="DG28" s="333">
        <f t="shared" si="48"/>
        <v>0.66666666666666674</v>
      </c>
      <c r="DH28" s="333">
        <f t="shared" si="49"/>
        <v>0.7</v>
      </c>
      <c r="DI28" s="333">
        <f t="shared" si="50"/>
        <v>0</v>
      </c>
      <c r="DJ28" s="333">
        <f t="shared" si="51"/>
        <v>0.73333333333333339</v>
      </c>
      <c r="DK28" s="333">
        <f t="shared" si="52"/>
        <v>0.76666666666666661</v>
      </c>
      <c r="DL28" s="333">
        <f t="shared" si="53"/>
        <v>0.8</v>
      </c>
      <c r="DM28" s="333">
        <f t="shared" si="54"/>
        <v>0.83333333333333337</v>
      </c>
      <c r="DN28" s="333">
        <f t="shared" si="55"/>
        <v>0.8666666666666667</v>
      </c>
      <c r="DO28" s="333">
        <f t="shared" si="56"/>
        <v>0.9</v>
      </c>
      <c r="DP28" s="333">
        <f t="shared" si="57"/>
        <v>0.93333333333333335</v>
      </c>
      <c r="DQ28" s="333">
        <f t="shared" si="58"/>
        <v>0.96666666666666667</v>
      </c>
      <c r="DR28" s="333">
        <f t="shared" si="59"/>
        <v>1</v>
      </c>
      <c r="DS28" s="334">
        <f t="shared" si="32"/>
        <v>12610.54608680449</v>
      </c>
      <c r="DT28" s="334">
        <f t="shared" si="33"/>
        <v>0</v>
      </c>
      <c r="DU28" s="334">
        <f t="shared" si="34"/>
        <v>8407.0307245363274</v>
      </c>
    </row>
    <row r="29" spans="1:125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290">
        <v>2447494.7299999995</v>
      </c>
      <c r="CI29" s="290">
        <v>9332.3399969999991</v>
      </c>
      <c r="CJ29" s="290"/>
      <c r="CK29" s="290"/>
      <c r="CL29" s="290">
        <v>2423874.1799999992</v>
      </c>
      <c r="CM29" s="290"/>
      <c r="CN29" s="290"/>
      <c r="CO29" s="290"/>
      <c r="CP29" s="290">
        <v>1323873.800000001</v>
      </c>
      <c r="CQ29" s="290">
        <v>9996.4699999999993</v>
      </c>
      <c r="CR29" s="290"/>
      <c r="CS29" s="290"/>
      <c r="CT29" s="321">
        <f t="shared" si="35"/>
        <v>1990.0430180109104</v>
      </c>
      <c r="CU29" s="333">
        <f t="shared" si="36"/>
        <v>0</v>
      </c>
      <c r="CV29" s="333">
        <f t="shared" si="37"/>
        <v>0.30000000000000004</v>
      </c>
      <c r="CW29" s="333">
        <f t="shared" si="38"/>
        <v>0.33333333333333337</v>
      </c>
      <c r="CX29" s="333">
        <f t="shared" si="39"/>
        <v>0.3666666666666667</v>
      </c>
      <c r="CY29" s="333">
        <f t="shared" si="40"/>
        <v>0.4</v>
      </c>
      <c r="CZ29" s="333">
        <f t="shared" si="41"/>
        <v>0.43333333333333335</v>
      </c>
      <c r="DA29" s="333">
        <f t="shared" si="42"/>
        <v>0.46666666666666667</v>
      </c>
      <c r="DB29" s="333">
        <f t="shared" si="43"/>
        <v>0.5</v>
      </c>
      <c r="DC29" s="333">
        <f t="shared" si="44"/>
        <v>0.53333333333333333</v>
      </c>
      <c r="DD29" s="333">
        <f t="shared" si="45"/>
        <v>0.56666666666666665</v>
      </c>
      <c r="DE29" s="333">
        <f t="shared" si="46"/>
        <v>0.6</v>
      </c>
      <c r="DF29" s="333">
        <f t="shared" si="47"/>
        <v>0.6333333333333333</v>
      </c>
      <c r="DG29" s="333">
        <f t="shared" si="48"/>
        <v>0.66666666666666674</v>
      </c>
      <c r="DH29" s="333">
        <f t="shared" si="49"/>
        <v>0.7</v>
      </c>
      <c r="DI29" s="333">
        <f t="shared" si="50"/>
        <v>0.47079074582906444</v>
      </c>
      <c r="DJ29" s="333">
        <f t="shared" si="51"/>
        <v>0.73333333333333339</v>
      </c>
      <c r="DK29" s="333">
        <f t="shared" si="52"/>
        <v>0.76666666666666661</v>
      </c>
      <c r="DL29" s="333">
        <f t="shared" si="53"/>
        <v>0.8</v>
      </c>
      <c r="DM29" s="333">
        <f t="shared" si="54"/>
        <v>0.83333333333333337</v>
      </c>
      <c r="DN29" s="333">
        <f t="shared" si="55"/>
        <v>0.8666666666666667</v>
      </c>
      <c r="DO29" s="333">
        <f t="shared" si="56"/>
        <v>0.9</v>
      </c>
      <c r="DP29" s="333">
        <f t="shared" si="57"/>
        <v>0.93333333333333335</v>
      </c>
      <c r="DQ29" s="333">
        <f t="shared" si="58"/>
        <v>0.96666666666666667</v>
      </c>
      <c r="DR29" s="333">
        <f t="shared" si="59"/>
        <v>1</v>
      </c>
      <c r="DS29" s="334">
        <f t="shared" si="32"/>
        <v>28112418.098997883</v>
      </c>
      <c r="DT29" s="334">
        <f t="shared" si="33"/>
        <v>3799108.6462719133</v>
      </c>
      <c r="DU29" s="334">
        <f t="shared" si="34"/>
        <v>18624243.404445414</v>
      </c>
    </row>
    <row r="30" spans="1:125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290">
        <v>1270655.6599999995</v>
      </c>
      <c r="CI30" s="290">
        <v>21137.23675</v>
      </c>
      <c r="CJ30" s="290"/>
      <c r="CK30" s="290"/>
      <c r="CL30" s="290">
        <v>1640369.1900000006</v>
      </c>
      <c r="CM30" s="290"/>
      <c r="CN30" s="290"/>
      <c r="CO30" s="290"/>
      <c r="CP30" s="290">
        <v>558797.26000000013</v>
      </c>
      <c r="CQ30" s="290"/>
      <c r="CR30" s="290"/>
      <c r="CS30" s="290"/>
      <c r="CT30" s="321">
        <f t="shared" si="35"/>
        <v>1990.0418779969095</v>
      </c>
      <c r="CU30" s="333">
        <f t="shared" si="36"/>
        <v>0</v>
      </c>
      <c r="CV30" s="333">
        <f t="shared" si="37"/>
        <v>0.30000000000000004</v>
      </c>
      <c r="CW30" s="333">
        <f t="shared" si="38"/>
        <v>0.33333333333333337</v>
      </c>
      <c r="CX30" s="333">
        <f t="shared" si="39"/>
        <v>0.3666666666666667</v>
      </c>
      <c r="CY30" s="333">
        <f t="shared" si="40"/>
        <v>0.4</v>
      </c>
      <c r="CZ30" s="333">
        <f t="shared" si="41"/>
        <v>0.43333333333333335</v>
      </c>
      <c r="DA30" s="333">
        <f t="shared" si="42"/>
        <v>0.46666666666666667</v>
      </c>
      <c r="DB30" s="333">
        <f t="shared" si="43"/>
        <v>0.5</v>
      </c>
      <c r="DC30" s="333">
        <f t="shared" si="44"/>
        <v>0.53333333333333333</v>
      </c>
      <c r="DD30" s="333">
        <f t="shared" si="45"/>
        <v>0.56666666666666665</v>
      </c>
      <c r="DE30" s="333">
        <f t="shared" si="46"/>
        <v>0.6</v>
      </c>
      <c r="DF30" s="333">
        <f t="shared" si="47"/>
        <v>0.6333333333333333</v>
      </c>
      <c r="DG30" s="333">
        <f t="shared" si="48"/>
        <v>0.66666666666666674</v>
      </c>
      <c r="DH30" s="333">
        <f t="shared" si="49"/>
        <v>0.7</v>
      </c>
      <c r="DI30" s="333">
        <f t="shared" si="50"/>
        <v>0</v>
      </c>
      <c r="DJ30" s="333">
        <f t="shared" si="51"/>
        <v>0.73333333333333339</v>
      </c>
      <c r="DK30" s="333">
        <f t="shared" si="52"/>
        <v>0.76666666666666661</v>
      </c>
      <c r="DL30" s="333">
        <f t="shared" si="53"/>
        <v>0.8</v>
      </c>
      <c r="DM30" s="333">
        <f t="shared" si="54"/>
        <v>0.83333333333333337</v>
      </c>
      <c r="DN30" s="333">
        <f t="shared" si="55"/>
        <v>0.8666666666666667</v>
      </c>
      <c r="DO30" s="333">
        <f t="shared" si="56"/>
        <v>0.9</v>
      </c>
      <c r="DP30" s="333">
        <f t="shared" si="57"/>
        <v>0.93333333333333335</v>
      </c>
      <c r="DQ30" s="333">
        <f t="shared" si="58"/>
        <v>0.96666666666666667</v>
      </c>
      <c r="DR30" s="333">
        <f t="shared" si="59"/>
        <v>1</v>
      </c>
      <c r="DS30" s="334">
        <f t="shared" si="32"/>
        <v>17252857.60580872</v>
      </c>
      <c r="DT30" s="334">
        <f t="shared" si="33"/>
        <v>3801860.6462719133</v>
      </c>
      <c r="DU30" s="334">
        <f t="shared" si="34"/>
        <v>10402946.060825638</v>
      </c>
    </row>
    <row r="31" spans="1:125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290">
        <v>226390.16000000006</v>
      </c>
      <c r="CI31" s="290">
        <v>0</v>
      </c>
      <c r="CJ31" s="290"/>
      <c r="CK31" s="290"/>
      <c r="CL31" s="290">
        <v>367558.94000000006</v>
      </c>
      <c r="CM31" s="290"/>
      <c r="CN31" s="290"/>
      <c r="CO31" s="290"/>
      <c r="CP31" s="290">
        <v>338991.51</v>
      </c>
      <c r="CQ31" s="290"/>
      <c r="CR31" s="290"/>
      <c r="CS31" s="290"/>
      <c r="CT31" s="321">
        <f t="shared" si="35"/>
        <v>0</v>
      </c>
      <c r="CU31" s="333">
        <f t="shared" si="36"/>
        <v>0</v>
      </c>
      <c r="CV31" s="333">
        <f t="shared" si="37"/>
        <v>0.30000000000000004</v>
      </c>
      <c r="CW31" s="333">
        <f t="shared" si="38"/>
        <v>0.33333333333333337</v>
      </c>
      <c r="CX31" s="333">
        <f t="shared" si="39"/>
        <v>0.3666666666666667</v>
      </c>
      <c r="CY31" s="333">
        <f t="shared" si="40"/>
        <v>0.4</v>
      </c>
      <c r="CZ31" s="333">
        <f t="shared" si="41"/>
        <v>0.43333333333333335</v>
      </c>
      <c r="DA31" s="333">
        <f t="shared" si="42"/>
        <v>0.46666666666666667</v>
      </c>
      <c r="DB31" s="333">
        <f t="shared" si="43"/>
        <v>0.5</v>
      </c>
      <c r="DC31" s="333">
        <f t="shared" si="44"/>
        <v>0.53333333333333333</v>
      </c>
      <c r="DD31" s="333">
        <f t="shared" si="45"/>
        <v>0.56666666666666665</v>
      </c>
      <c r="DE31" s="333">
        <f t="shared" si="46"/>
        <v>0.6</v>
      </c>
      <c r="DF31" s="333">
        <f t="shared" si="47"/>
        <v>0.6333333333333333</v>
      </c>
      <c r="DG31" s="333">
        <f t="shared" si="48"/>
        <v>0.66666666666666674</v>
      </c>
      <c r="DH31" s="333">
        <f t="shared" si="49"/>
        <v>0.7</v>
      </c>
      <c r="DI31" s="333">
        <f t="shared" si="50"/>
        <v>0</v>
      </c>
      <c r="DJ31" s="333">
        <f t="shared" si="51"/>
        <v>0.73333333333333339</v>
      </c>
      <c r="DK31" s="333">
        <f t="shared" si="52"/>
        <v>0.76666666666666661</v>
      </c>
      <c r="DL31" s="333">
        <f t="shared" si="53"/>
        <v>0.8</v>
      </c>
      <c r="DM31" s="333">
        <f t="shared" si="54"/>
        <v>0.83333333333333337</v>
      </c>
      <c r="DN31" s="333">
        <f t="shared" si="55"/>
        <v>0.8666666666666667</v>
      </c>
      <c r="DO31" s="333">
        <f t="shared" si="56"/>
        <v>0.9</v>
      </c>
      <c r="DP31" s="333">
        <f t="shared" si="57"/>
        <v>0.93333333333333335</v>
      </c>
      <c r="DQ31" s="333">
        <f t="shared" si="58"/>
        <v>0.96666666666666667</v>
      </c>
      <c r="DR31" s="333">
        <f t="shared" si="59"/>
        <v>1</v>
      </c>
      <c r="DS31" s="334">
        <f t="shared" si="32"/>
        <v>2156511.9974211566</v>
      </c>
      <c r="DT31" s="334">
        <f t="shared" si="33"/>
        <v>0</v>
      </c>
      <c r="DU31" s="334">
        <f t="shared" si="34"/>
        <v>1878385.4792016149</v>
      </c>
    </row>
    <row r="32" spans="1:125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>
        <v>0</v>
      </c>
      <c r="CJ32" s="290"/>
      <c r="CK32" s="290"/>
      <c r="CL32" s="290">
        <v>0</v>
      </c>
      <c r="CM32" s="290"/>
      <c r="CN32" s="290"/>
      <c r="CO32" s="290"/>
      <c r="CP32" s="290">
        <v>0</v>
      </c>
      <c r="CQ32" s="290"/>
      <c r="CR32" s="290"/>
      <c r="CS32" s="290"/>
      <c r="CT32" s="333"/>
      <c r="CU32" s="333"/>
      <c r="CV32" s="333"/>
      <c r="CW32" s="333"/>
      <c r="CX32" s="333"/>
      <c r="CY32" s="333"/>
      <c r="CZ32" s="333"/>
      <c r="DA32" s="333"/>
      <c r="DB32" s="333"/>
      <c r="DC32" s="333"/>
      <c r="DD32" s="333"/>
      <c r="DE32" s="333"/>
      <c r="DF32" s="333"/>
      <c r="DG32" s="333"/>
      <c r="DH32" s="333"/>
      <c r="DI32" s="333"/>
      <c r="DJ32" s="333"/>
      <c r="DK32" s="333"/>
      <c r="DL32" s="333"/>
      <c r="DM32" s="333"/>
      <c r="DN32" s="333"/>
      <c r="DO32" s="333"/>
      <c r="DP32" s="333"/>
      <c r="DQ32" s="333"/>
      <c r="DR32" s="333"/>
      <c r="DS32" s="334">
        <f t="shared" si="32"/>
        <v>0</v>
      </c>
      <c r="DT32" s="334">
        <f t="shared" si="33"/>
        <v>0</v>
      </c>
      <c r="DU32" s="334">
        <f t="shared" si="34"/>
        <v>0</v>
      </c>
    </row>
    <row r="33" spans="1:125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290">
        <v>3914894.2299999944</v>
      </c>
      <c r="CI33" s="290">
        <v>35647.347027299998</v>
      </c>
      <c r="CJ33" s="290"/>
      <c r="CK33" s="290"/>
      <c r="CL33" s="290">
        <v>4296729.32</v>
      </c>
      <c r="CM33" s="290"/>
      <c r="CN33" s="290"/>
      <c r="CO33" s="290"/>
      <c r="CP33" s="290">
        <v>4006016.3400000045</v>
      </c>
      <c r="CQ33" s="290">
        <v>38812.339999999997</v>
      </c>
      <c r="CR33" s="290"/>
      <c r="CS33" s="290"/>
      <c r="CT33" s="321">
        <f>IF(D33=0,0,2001-(D33-F33)*C33/D33)</f>
        <v>0</v>
      </c>
      <c r="CU33" s="333">
        <f>IF((1-($DS$2-$CT33)/$C33)&gt;0,(1-($DS$2-$CT33)/$C33),0)</f>
        <v>0</v>
      </c>
      <c r="CV33" s="333">
        <f>IF((1-($DS$2-G$2)/$C33)&gt;0,(1-($DS$2-G$2)/$C33),0)</f>
        <v>0.30000000000000004</v>
      </c>
      <c r="CW33" s="333">
        <f>IF((1-($DS$2-K$2)/$C33)&gt;0,(1-($DS$2-K$2)/$C33),0)</f>
        <v>0.33333333333333337</v>
      </c>
      <c r="CX33" s="333">
        <f>IF((1-($DS$2-O$2)/$C33)&gt;0,(1-($DS$2-O$2)/$C33),0)</f>
        <v>0.3666666666666667</v>
      </c>
      <c r="CY33" s="333">
        <f>IF((1-($DS$2-S$2)/$C33)&gt;0,(1-($DS$2-S$2)/$C33),0)</f>
        <v>0.4</v>
      </c>
      <c r="CZ33" s="333">
        <f>IF((1-($DS$2-W$2)/$C33)&gt;0,(1-($DS$2-W$2)/$C33),0)</f>
        <v>0.43333333333333335</v>
      </c>
      <c r="DA33" s="333">
        <f>IF((1-($DS$2-AA$2)/$C33)&gt;0,(1-($DS$2-AA$2)/$C33),0)</f>
        <v>0.46666666666666667</v>
      </c>
      <c r="DB33" s="333">
        <f>IF((1-($DS$2-AE$2)/$C33)&gt;0,(1-($DS$2-AE$2)/$C33),0)</f>
        <v>0.5</v>
      </c>
      <c r="DC33" s="333">
        <f>IF((1-($DS$2-AI$2)/$C33)&gt;0,(1-($DS$2-AI$2)/$C33),0)</f>
        <v>0.53333333333333333</v>
      </c>
      <c r="DD33" s="333">
        <f>IF((1-($DS$2-AM$2)/$C33)&gt;0,(1-($DS$2-AM$2)/$C33),0)</f>
        <v>0.56666666666666665</v>
      </c>
      <c r="DE33" s="333">
        <f>IF((1-($DS$2-AQ$2)/$C33)&gt;0,(1-($DS$2-AQ$2)/$C33),0)</f>
        <v>0.6</v>
      </c>
      <c r="DF33" s="333">
        <f>IF((1-($DS$2-AU$2)/$C33)&gt;0,(1-($DS$2-AU$2)/$C33),0)</f>
        <v>0.6333333333333333</v>
      </c>
      <c r="DG33" s="333">
        <f>IF((1-($DS$2-AY$2)/$C33)&gt;0,(1-($DS$2-AY$2)/$C33),0)</f>
        <v>0.66666666666666674</v>
      </c>
      <c r="DH33" s="333">
        <f>IF((1-($DS$2-BC$2)/$C33)&gt;0,(1-($DS$2-BC$2)/$C33),0)</f>
        <v>0.7</v>
      </c>
      <c r="DI33" s="333">
        <f>IF(BG33=0,0,1-($DS$2-(2014.5-(BG33-BI33)*C33/BG33))/C33)</f>
        <v>0.47079074582906444</v>
      </c>
      <c r="DJ33" s="333">
        <f>IF((1-($DS$2-BJ$2)/$C33)&gt;0,(1-($DS$2-BJ$2)/$C33),0)</f>
        <v>0.73333333333333339</v>
      </c>
      <c r="DK33" s="333">
        <f>IF((1-($DS$2-BN$2)/$C33)&gt;0,(1-($DS$2-BN$2)/$C33),0)</f>
        <v>0.76666666666666661</v>
      </c>
      <c r="DL33" s="333">
        <f>IF((1-($DS$2-BR$2)/$C33)&gt;0,(1-($DS$2-BR$2)/$C33),0)</f>
        <v>0.8</v>
      </c>
      <c r="DM33" s="333">
        <f>IF((1-($DS$2-BV$2)/$C33)&gt;0,(1-($DS$2-BV$2)/$C33),0)</f>
        <v>0.83333333333333337</v>
      </c>
      <c r="DN33" s="333">
        <f>IF((1-($DS$2-BZ$2)/$C33)&gt;0,(1-($DS$2-BZ$2)/$C33),0)</f>
        <v>0.8666666666666667</v>
      </c>
      <c r="DO33" s="333">
        <f>IF((1-($DS$2-CD$2)/$C33)&gt;0,(1-($DS$2-CD$2)/$C33),0)</f>
        <v>0.9</v>
      </c>
      <c r="DP33" s="333">
        <f>IF((1-($DS$2-CH$2)/$C33)&gt;0,(1-($DS$2-CH$2)/$C33),0)</f>
        <v>0.93333333333333335</v>
      </c>
      <c r="DQ33" s="333">
        <f>IF((1-($DS$2-CL$2)/$C33)&gt;0,(1-($DS$2-CL$2)/$C33),0)</f>
        <v>0.96666666666666667</v>
      </c>
      <c r="DR33" s="333">
        <f t="shared" ref="DR33:DR35" si="60">IF((1-($DS$2-CP$2)/$C33)&gt;0,(1-($DS$2-CP$2)/$C33),0)</f>
        <v>1</v>
      </c>
      <c r="DS33" s="334">
        <f t="shared" si="32"/>
        <v>33399668.895160452</v>
      </c>
      <c r="DT33" s="334">
        <f t="shared" si="33"/>
        <v>0</v>
      </c>
      <c r="DU33" s="334">
        <f t="shared" si="34"/>
        <v>25463933.176298611</v>
      </c>
    </row>
    <row r="34" spans="1:125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290">
        <v>565782.81999999995</v>
      </c>
      <c r="CI34" s="290">
        <v>10213.723609999999</v>
      </c>
      <c r="CJ34" s="290"/>
      <c r="CK34" s="290"/>
      <c r="CL34" s="290">
        <v>1055983.78</v>
      </c>
      <c r="CM34" s="290"/>
      <c r="CN34" s="290"/>
      <c r="CO34" s="290"/>
      <c r="CP34" s="290">
        <v>347804.18000000005</v>
      </c>
      <c r="CQ34" s="290"/>
      <c r="CR34" s="290"/>
      <c r="CS34" s="290"/>
      <c r="CT34" s="321">
        <f>IF(D34=0,0,2001-(D34-F34)*C34/D34)</f>
        <v>0</v>
      </c>
      <c r="CU34" s="333">
        <f>IF((1-($DS$2-$CT34)/$C34)&gt;0,(1-($DS$2-$CT34)/$C34),0)</f>
        <v>0</v>
      </c>
      <c r="CV34" s="333">
        <f>IF((1-($DS$2-G$2)/$C34)&gt;0,(1-($DS$2-G$2)/$C34),0)</f>
        <v>0.30000000000000004</v>
      </c>
      <c r="CW34" s="333">
        <f>IF((1-($DS$2-K$2)/$C34)&gt;0,(1-($DS$2-K$2)/$C34),0)</f>
        <v>0.33333333333333337</v>
      </c>
      <c r="CX34" s="333">
        <f>IF((1-($DS$2-O$2)/$C34)&gt;0,(1-($DS$2-O$2)/$C34),0)</f>
        <v>0.3666666666666667</v>
      </c>
      <c r="CY34" s="333">
        <f>IF((1-($DS$2-S$2)/$C34)&gt;0,(1-($DS$2-S$2)/$C34),0)</f>
        <v>0.4</v>
      </c>
      <c r="CZ34" s="333">
        <f>IF((1-($DS$2-W$2)/$C34)&gt;0,(1-($DS$2-W$2)/$C34),0)</f>
        <v>0.43333333333333335</v>
      </c>
      <c r="DA34" s="333">
        <f>IF((1-($DS$2-AA$2)/$C34)&gt;0,(1-($DS$2-AA$2)/$C34),0)</f>
        <v>0.46666666666666667</v>
      </c>
      <c r="DB34" s="333">
        <f>IF((1-($DS$2-AE$2)/$C34)&gt;0,(1-($DS$2-AE$2)/$C34),0)</f>
        <v>0.5</v>
      </c>
      <c r="DC34" s="333">
        <f>IF((1-($DS$2-AI$2)/$C34)&gt;0,(1-($DS$2-AI$2)/$C34),0)</f>
        <v>0.53333333333333333</v>
      </c>
      <c r="DD34" s="333">
        <f>IF((1-($DS$2-AM$2)/$C34)&gt;0,(1-($DS$2-AM$2)/$C34),0)</f>
        <v>0.56666666666666665</v>
      </c>
      <c r="DE34" s="333">
        <f>IF((1-($DS$2-AQ$2)/$C34)&gt;0,(1-($DS$2-AQ$2)/$C34),0)</f>
        <v>0.6</v>
      </c>
      <c r="DF34" s="333">
        <f>IF((1-($DS$2-AU$2)/$C34)&gt;0,(1-($DS$2-AU$2)/$C34),0)</f>
        <v>0.6333333333333333</v>
      </c>
      <c r="DG34" s="333">
        <f>IF((1-($DS$2-AY$2)/$C34)&gt;0,(1-($DS$2-AY$2)/$C34),0)</f>
        <v>0.66666666666666674</v>
      </c>
      <c r="DH34" s="333">
        <f>IF((1-($DS$2-BC$2)/$C34)&gt;0,(1-($DS$2-BC$2)/$C34),0)</f>
        <v>0.7</v>
      </c>
      <c r="DI34" s="333">
        <f>IF(BG34=0,0,1-($DS$2-(2014.5-(BG34-BI34)*C34/BG34))/C34)</f>
        <v>0</v>
      </c>
      <c r="DJ34" s="333">
        <f>IF((1-($DS$2-BJ$2)/$C34)&gt;0,(1-($DS$2-BJ$2)/$C34),0)</f>
        <v>0.73333333333333339</v>
      </c>
      <c r="DK34" s="333">
        <f>IF((1-($DS$2-BN$2)/$C34)&gt;0,(1-($DS$2-BN$2)/$C34),0)</f>
        <v>0.76666666666666661</v>
      </c>
      <c r="DL34" s="333">
        <f>IF((1-($DS$2-BR$2)/$C34)&gt;0,(1-($DS$2-BR$2)/$C34),0)</f>
        <v>0.8</v>
      </c>
      <c r="DM34" s="333">
        <f>IF((1-($DS$2-BV$2)/$C34)&gt;0,(1-($DS$2-BV$2)/$C34),0)</f>
        <v>0.83333333333333337</v>
      </c>
      <c r="DN34" s="333">
        <f>IF((1-($DS$2-BZ$2)/$C34)&gt;0,(1-($DS$2-BZ$2)/$C34),0)</f>
        <v>0.8666666666666667</v>
      </c>
      <c r="DO34" s="333">
        <f>IF((1-($DS$2-CD$2)/$C34)&gt;0,(1-($DS$2-CD$2)/$C34),0)</f>
        <v>0.9</v>
      </c>
      <c r="DP34" s="333">
        <f>IF((1-($DS$2-CH$2)/$C34)&gt;0,(1-($DS$2-CH$2)/$C34),0)</f>
        <v>0.93333333333333335</v>
      </c>
      <c r="DQ34" s="333">
        <f>IF((1-($DS$2-CL$2)/$C34)&gt;0,(1-($DS$2-CL$2)/$C34),0)</f>
        <v>0.96666666666666667</v>
      </c>
      <c r="DR34" s="333">
        <f t="shared" si="60"/>
        <v>1</v>
      </c>
      <c r="DS34" s="334">
        <f t="shared" si="32"/>
        <v>9206984.2123280149</v>
      </c>
      <c r="DT34" s="334">
        <f t="shared" si="33"/>
        <v>0</v>
      </c>
      <c r="DU34" s="334">
        <f t="shared" si="34"/>
        <v>7538101.9102276247</v>
      </c>
    </row>
    <row r="35" spans="1:125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290">
        <v>295989.71999999997</v>
      </c>
      <c r="CI35" s="290">
        <v>0</v>
      </c>
      <c r="CJ35" s="290"/>
      <c r="CK35" s="290"/>
      <c r="CL35" s="290">
        <v>277530.59999999998</v>
      </c>
      <c r="CM35" s="290"/>
      <c r="CN35" s="290"/>
      <c r="CO35" s="290"/>
      <c r="CP35" s="290">
        <v>285580.46999999997</v>
      </c>
      <c r="CQ35" s="290"/>
      <c r="CR35" s="290"/>
      <c r="CS35" s="290"/>
      <c r="CT35" s="321">
        <f>IF(D35=0,0,2001-(D35-F35)*C35/D35)</f>
        <v>1991.607642802117</v>
      </c>
      <c r="CU35" s="333">
        <f>IF((1-($DS$2-$CT35)/$C35)&gt;0,(1-($DS$2-$CT35)/$C35),0)</f>
        <v>0</v>
      </c>
      <c r="CV35" s="333">
        <f>IF((1-($DS$2-G$2)/$C35)&gt;0,(1-($DS$2-G$2)/$C35),0)</f>
        <v>0.30000000000000004</v>
      </c>
      <c r="CW35" s="333">
        <f>IF((1-($DS$2-K$2)/$C35)&gt;0,(1-($DS$2-K$2)/$C35),0)</f>
        <v>0.33333333333333337</v>
      </c>
      <c r="CX35" s="333">
        <f>IF((1-($DS$2-O$2)/$C35)&gt;0,(1-($DS$2-O$2)/$C35),0)</f>
        <v>0.3666666666666667</v>
      </c>
      <c r="CY35" s="333">
        <f>IF((1-($DS$2-S$2)/$C35)&gt;0,(1-($DS$2-S$2)/$C35),0)</f>
        <v>0.4</v>
      </c>
      <c r="CZ35" s="333">
        <f>IF((1-($DS$2-W$2)/$C35)&gt;0,(1-($DS$2-W$2)/$C35),0)</f>
        <v>0.43333333333333335</v>
      </c>
      <c r="DA35" s="333">
        <f>IF((1-($DS$2-AA$2)/$C35)&gt;0,(1-($DS$2-AA$2)/$C35),0)</f>
        <v>0.46666666666666667</v>
      </c>
      <c r="DB35" s="333">
        <f>IF((1-($DS$2-AE$2)/$C35)&gt;0,(1-($DS$2-AE$2)/$C35),0)</f>
        <v>0.5</v>
      </c>
      <c r="DC35" s="333">
        <f>IF((1-($DS$2-AI$2)/$C35)&gt;0,(1-($DS$2-AI$2)/$C35),0)</f>
        <v>0.53333333333333333</v>
      </c>
      <c r="DD35" s="333">
        <f>IF((1-($DS$2-AM$2)/$C35)&gt;0,(1-($DS$2-AM$2)/$C35),0)</f>
        <v>0.56666666666666665</v>
      </c>
      <c r="DE35" s="333">
        <f>IF((1-($DS$2-AQ$2)/$C35)&gt;0,(1-($DS$2-AQ$2)/$C35),0)</f>
        <v>0.6</v>
      </c>
      <c r="DF35" s="333">
        <f>IF((1-($DS$2-AU$2)/$C35)&gt;0,(1-($DS$2-AU$2)/$C35),0)</f>
        <v>0.6333333333333333</v>
      </c>
      <c r="DG35" s="333">
        <f>IF((1-($DS$2-AY$2)/$C35)&gt;0,(1-($DS$2-AY$2)/$C35),0)</f>
        <v>0.66666666666666674</v>
      </c>
      <c r="DH35" s="333">
        <f>IF((1-($DS$2-BC$2)/$C35)&gt;0,(1-($DS$2-BC$2)/$C35),0)</f>
        <v>0.7</v>
      </c>
      <c r="DI35" s="333">
        <f>IF(BG35=0,0,1-($DS$2-(2014.5-(BG35-BI35)*C35/BG35))/C35)</f>
        <v>0.47079074582906444</v>
      </c>
      <c r="DJ35" s="333">
        <f>IF((1-($DS$2-BJ$2)/$C35)&gt;0,(1-($DS$2-BJ$2)/$C35),0)</f>
        <v>0.73333333333333339</v>
      </c>
      <c r="DK35" s="333">
        <f>IF((1-($DS$2-BN$2)/$C35)&gt;0,(1-($DS$2-BN$2)/$C35),0)</f>
        <v>0.76666666666666661</v>
      </c>
      <c r="DL35" s="333">
        <f>IF((1-($DS$2-BR$2)/$C35)&gt;0,(1-($DS$2-BR$2)/$C35),0)</f>
        <v>0.8</v>
      </c>
      <c r="DM35" s="333">
        <f>IF((1-($DS$2-BV$2)/$C35)&gt;0,(1-($DS$2-BV$2)/$C35),0)</f>
        <v>0.83333333333333337</v>
      </c>
      <c r="DN35" s="333">
        <f>IF((1-($DS$2-BZ$2)/$C35)&gt;0,(1-($DS$2-BZ$2)/$C35),0)</f>
        <v>0.8666666666666667</v>
      </c>
      <c r="DO35" s="333">
        <f>IF((1-($DS$2-CD$2)/$C35)&gt;0,(1-($DS$2-CD$2)/$C35),0)</f>
        <v>0.9</v>
      </c>
      <c r="DP35" s="333">
        <f>IF((1-($DS$2-CH$2)/$C35)&gt;0,(1-($DS$2-CH$2)/$C35),0)</f>
        <v>0.93333333333333335</v>
      </c>
      <c r="DQ35" s="333">
        <f>IF((1-($DS$2-CL$2)/$C35)&gt;0,(1-($DS$2-CL$2)/$C35),0)</f>
        <v>0.96666666666666667</v>
      </c>
      <c r="DR35" s="333">
        <f t="shared" si="60"/>
        <v>1</v>
      </c>
      <c r="DS35" s="334">
        <f t="shared" si="32"/>
        <v>15162646.247933943</v>
      </c>
      <c r="DT35" s="334">
        <f t="shared" si="33"/>
        <v>10109999.26940603</v>
      </c>
      <c r="DU35" s="334">
        <f t="shared" si="34"/>
        <v>3304081.2780956221</v>
      </c>
    </row>
    <row r="36" spans="1:125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>
        <v>0</v>
      </c>
      <c r="CJ36" s="290"/>
      <c r="CK36" s="290"/>
      <c r="CL36" s="290">
        <v>0</v>
      </c>
      <c r="CM36" s="290"/>
      <c r="CN36" s="290"/>
      <c r="CO36" s="290"/>
      <c r="CP36" s="290">
        <v>0</v>
      </c>
      <c r="CQ36" s="290"/>
      <c r="CR36" s="290"/>
      <c r="CS36" s="290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3"/>
      <c r="DO36" s="333"/>
      <c r="DP36" s="333"/>
      <c r="DQ36" s="333"/>
      <c r="DR36" s="333"/>
      <c r="DS36" s="334">
        <f t="shared" si="32"/>
        <v>0</v>
      </c>
      <c r="DT36" s="334">
        <f t="shared" si="33"/>
        <v>0</v>
      </c>
      <c r="DU36" s="334">
        <f t="shared" si="34"/>
        <v>0</v>
      </c>
    </row>
    <row r="37" spans="1:125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290">
        <v>0</v>
      </c>
      <c r="CI37" s="290">
        <v>0</v>
      </c>
      <c r="CJ37" s="290"/>
      <c r="CK37" s="290"/>
      <c r="CL37" s="290">
        <v>0</v>
      </c>
      <c r="CM37" s="290"/>
      <c r="CN37" s="290"/>
      <c r="CO37" s="290"/>
      <c r="CP37" s="290">
        <v>0</v>
      </c>
      <c r="CQ37" s="290"/>
      <c r="CR37" s="290"/>
      <c r="CS37" s="290"/>
      <c r="CT37" s="321">
        <f t="shared" ref="CT37:CT44" si="61">IF(D37=0,0,2001-(D37-F37)*C37/D37)</f>
        <v>0</v>
      </c>
      <c r="CU37" s="333">
        <f t="shared" ref="CU37:CU44" si="62">IF((1-($DS$2-$CT37)/$C37)&gt;0,(1-($DS$2-$CT37)/$C37),0)</f>
        <v>0</v>
      </c>
      <c r="CV37" s="333">
        <f t="shared" ref="CV37:CV44" si="63">IF((1-($DS$2-G$2)/$C37)&gt;0,(1-($DS$2-G$2)/$C37),0)</f>
        <v>0</v>
      </c>
      <c r="CW37" s="333">
        <f t="shared" ref="CW37:CW44" si="64">IF((1-($DS$2-K$2)/$C37)&gt;0,(1-($DS$2-K$2)/$C37),0)</f>
        <v>0</v>
      </c>
      <c r="CX37" s="333">
        <f t="shared" ref="CX37:CX44" si="65">IF((1-($DS$2-O$2)/$C37)&gt;0,(1-($DS$2-O$2)/$C37),0)</f>
        <v>0</v>
      </c>
      <c r="CY37" s="333">
        <f t="shared" ref="CY37:CY44" si="66">IF((1-($DS$2-S$2)/$C37)&gt;0,(1-($DS$2-S$2)/$C37),0)</f>
        <v>0</v>
      </c>
      <c r="CZ37" s="333">
        <f t="shared" ref="CZ37:CZ44" si="67">IF((1-($DS$2-W$2)/$C37)&gt;0,(1-($DS$2-W$2)/$C37),0)</f>
        <v>0</v>
      </c>
      <c r="DA37" s="333">
        <f t="shared" ref="DA37:DA44" si="68">IF((1-($DS$2-AA$2)/$C37)&gt;0,(1-($DS$2-AA$2)/$C37),0)</f>
        <v>0</v>
      </c>
      <c r="DB37" s="333">
        <f t="shared" ref="DB37:DB44" si="69">IF((1-($DS$2-AE$2)/$C37)&gt;0,(1-($DS$2-AE$2)/$C37),0)</f>
        <v>0</v>
      </c>
      <c r="DC37" s="333">
        <f t="shared" ref="DC37:DC44" si="70">IF((1-($DS$2-AI$2)/$C37)&gt;0,(1-($DS$2-AI$2)/$C37),0)</f>
        <v>0</v>
      </c>
      <c r="DD37" s="333">
        <f t="shared" ref="DD37:DD44" si="71">IF((1-($DS$2-AM$2)/$C37)&gt;0,(1-($DS$2-AM$2)/$C37),0)</f>
        <v>0</v>
      </c>
      <c r="DE37" s="333">
        <f t="shared" ref="DE37:DE44" si="72">IF((1-($DS$2-AQ$2)/$C37)&gt;0,(1-($DS$2-AQ$2)/$C37),0)</f>
        <v>0</v>
      </c>
      <c r="DF37" s="333">
        <f t="shared" ref="DF37:DF44" si="73">IF((1-($DS$2-AU$2)/$C37)&gt;0,(1-($DS$2-AU$2)/$C37),0)</f>
        <v>0</v>
      </c>
      <c r="DG37" s="333">
        <f t="shared" ref="DG37:DG44" si="74">IF((1-($DS$2-AY$2)/$C37)&gt;0,(1-($DS$2-AY$2)/$C37),0)</f>
        <v>0</v>
      </c>
      <c r="DH37" s="333">
        <f t="shared" ref="DH37:DH44" si="75">IF((1-($DS$2-BC$2)/$C37)&gt;0,(1-($DS$2-BC$2)/$C37),0)</f>
        <v>9.9999999999999978E-2</v>
      </c>
      <c r="DI37" s="333">
        <f t="shared" ref="DI37:DI44" si="76">IF(BG37=0,0,1-($DS$2-(2014.5-(BG37-BI37)*C37/BG37))/C37)</f>
        <v>0</v>
      </c>
      <c r="DJ37" s="333">
        <f t="shared" ref="DJ37:DJ44" si="77">IF((1-($DS$2-BJ$2)/$C37)&gt;0,(1-($DS$2-BJ$2)/$C37),0)</f>
        <v>0.19999999999999996</v>
      </c>
      <c r="DK37" s="333">
        <f t="shared" ref="DK37:DK44" si="78">IF((1-($DS$2-BN$2)/$C37)&gt;0,(1-($DS$2-BN$2)/$C37),0)</f>
        <v>0.30000000000000004</v>
      </c>
      <c r="DL37" s="333">
        <f t="shared" ref="DL37:DL44" si="79">IF((1-($DS$2-BR$2)/$C37)&gt;0,(1-($DS$2-BR$2)/$C37),0)</f>
        <v>0.4</v>
      </c>
      <c r="DM37" s="333">
        <f t="shared" ref="DM37:DM44" si="80">IF((1-($DS$2-BV$2)/$C37)&gt;0,(1-($DS$2-BV$2)/$C37),0)</f>
        <v>0.5</v>
      </c>
      <c r="DN37" s="333">
        <f t="shared" ref="DN37:DN44" si="81">IF((1-($DS$2-BZ$2)/$C37)&gt;0,(1-($DS$2-BZ$2)/$C37),0)</f>
        <v>0.6</v>
      </c>
      <c r="DO37" s="333">
        <f t="shared" ref="DO37:DO44" si="82">IF((1-($DS$2-CD$2)/$C37)&gt;0,(1-($DS$2-CD$2)/$C37),0)</f>
        <v>0.7</v>
      </c>
      <c r="DP37" s="333">
        <f t="shared" ref="DP37:DP44" si="83">IF((1-($DS$2-CH$2)/$C37)&gt;0,(1-($DS$2-CH$2)/$C37),0)</f>
        <v>0.8</v>
      </c>
      <c r="DQ37" s="333">
        <f t="shared" ref="DQ37:DQ44" si="84">IF((1-($DS$2-CL$2)/$C37)&gt;0,(1-($DS$2-CL$2)/$C37),0)</f>
        <v>0.9</v>
      </c>
      <c r="DR37" s="333">
        <f t="shared" ref="DR37:DR44" si="85">IF((1-($DS$2-CP$2)/$C37)&gt;0,(1-($DS$2-CP$2)/$C37),0)</f>
        <v>1</v>
      </c>
      <c r="DS37" s="334">
        <f t="shared" si="32"/>
        <v>0</v>
      </c>
      <c r="DT37" s="334">
        <f t="shared" si="33"/>
        <v>0</v>
      </c>
      <c r="DU37" s="334">
        <f t="shared" si="34"/>
        <v>0</v>
      </c>
    </row>
    <row r="38" spans="1:125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>
        <v>0</v>
      </c>
      <c r="CJ38" s="290"/>
      <c r="CK38" s="290"/>
      <c r="CL38" s="290"/>
      <c r="CM38" s="290"/>
      <c r="CN38" s="290"/>
      <c r="CO38" s="290"/>
      <c r="CP38" s="290"/>
      <c r="CQ38" s="290"/>
      <c r="CR38" s="290"/>
      <c r="CS38" s="290"/>
      <c r="CT38" s="321">
        <f t="shared" si="61"/>
        <v>0</v>
      </c>
      <c r="CU38" s="333">
        <f t="shared" si="62"/>
        <v>0</v>
      </c>
      <c r="CV38" s="333">
        <f t="shared" si="63"/>
        <v>0</v>
      </c>
      <c r="CW38" s="333">
        <f t="shared" si="64"/>
        <v>0</v>
      </c>
      <c r="CX38" s="333">
        <f t="shared" si="65"/>
        <v>0</v>
      </c>
      <c r="CY38" s="333">
        <f t="shared" si="66"/>
        <v>0</v>
      </c>
      <c r="CZ38" s="333">
        <f t="shared" si="67"/>
        <v>0</v>
      </c>
      <c r="DA38" s="333">
        <f t="shared" si="68"/>
        <v>0</v>
      </c>
      <c r="DB38" s="333">
        <f t="shared" si="69"/>
        <v>0</v>
      </c>
      <c r="DC38" s="333">
        <f t="shared" si="70"/>
        <v>0</v>
      </c>
      <c r="DD38" s="333">
        <f t="shared" si="71"/>
        <v>0</v>
      </c>
      <c r="DE38" s="333">
        <f t="shared" si="72"/>
        <v>0</v>
      </c>
      <c r="DF38" s="333">
        <f t="shared" si="73"/>
        <v>0</v>
      </c>
      <c r="DG38" s="333">
        <f t="shared" si="74"/>
        <v>0</v>
      </c>
      <c r="DH38" s="333">
        <f t="shared" si="75"/>
        <v>0</v>
      </c>
      <c r="DI38" s="333">
        <f t="shared" si="76"/>
        <v>0</v>
      </c>
      <c r="DJ38" s="333">
        <f t="shared" si="77"/>
        <v>0</v>
      </c>
      <c r="DK38" s="333">
        <f t="shared" si="78"/>
        <v>0</v>
      </c>
      <c r="DL38" s="333">
        <f t="shared" si="79"/>
        <v>0</v>
      </c>
      <c r="DM38" s="333">
        <f t="shared" si="80"/>
        <v>0</v>
      </c>
      <c r="DN38" s="333">
        <f t="shared" si="81"/>
        <v>0.19999999999999996</v>
      </c>
      <c r="DO38" s="333">
        <f t="shared" si="82"/>
        <v>0.4</v>
      </c>
      <c r="DP38" s="333">
        <f t="shared" si="83"/>
        <v>0.6</v>
      </c>
      <c r="DQ38" s="333">
        <f t="shared" si="84"/>
        <v>0.8</v>
      </c>
      <c r="DR38" s="333">
        <f t="shared" si="85"/>
        <v>1</v>
      </c>
      <c r="DS38" s="334">
        <f t="shared" si="32"/>
        <v>7670.8689809675761</v>
      </c>
      <c r="DT38" s="334">
        <f t="shared" si="33"/>
        <v>7670.8689809675761</v>
      </c>
      <c r="DU38" s="334">
        <f t="shared" si="34"/>
        <v>0</v>
      </c>
    </row>
    <row r="39" spans="1:125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>
        <v>0</v>
      </c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321">
        <f t="shared" si="61"/>
        <v>0</v>
      </c>
      <c r="CU39" s="333">
        <f t="shared" si="62"/>
        <v>0</v>
      </c>
      <c r="CV39" s="333">
        <f t="shared" si="63"/>
        <v>0.97899999999999998</v>
      </c>
      <c r="CW39" s="333">
        <f t="shared" si="64"/>
        <v>0.98</v>
      </c>
      <c r="CX39" s="333">
        <f t="shared" si="65"/>
        <v>0.98099999999999998</v>
      </c>
      <c r="CY39" s="333">
        <f t="shared" si="66"/>
        <v>0.98199999999999998</v>
      </c>
      <c r="CZ39" s="333">
        <f t="shared" si="67"/>
        <v>0.98299999999999998</v>
      </c>
      <c r="DA39" s="333">
        <f t="shared" si="68"/>
        <v>0.98399999999999999</v>
      </c>
      <c r="DB39" s="333">
        <f t="shared" si="69"/>
        <v>0.98499999999999999</v>
      </c>
      <c r="DC39" s="333">
        <f t="shared" si="70"/>
        <v>0.98599999999999999</v>
      </c>
      <c r="DD39" s="333">
        <f t="shared" si="71"/>
        <v>0.98699999999999999</v>
      </c>
      <c r="DE39" s="333">
        <f t="shared" si="72"/>
        <v>0.98799999999999999</v>
      </c>
      <c r="DF39" s="333">
        <f t="shared" si="73"/>
        <v>0.98899999999999999</v>
      </c>
      <c r="DG39" s="333">
        <f t="shared" si="74"/>
        <v>0.99</v>
      </c>
      <c r="DH39" s="333">
        <f t="shared" si="75"/>
        <v>0.99099999999999999</v>
      </c>
      <c r="DI39" s="333">
        <f t="shared" si="76"/>
        <v>0</v>
      </c>
      <c r="DJ39" s="333">
        <f t="shared" si="77"/>
        <v>0.99199999999999999</v>
      </c>
      <c r="DK39" s="333">
        <f t="shared" si="78"/>
        <v>0.99299999999999999</v>
      </c>
      <c r="DL39" s="333">
        <f t="shared" si="79"/>
        <v>0.99399999999999999</v>
      </c>
      <c r="DM39" s="333">
        <f t="shared" si="80"/>
        <v>0.995</v>
      </c>
      <c r="DN39" s="333">
        <f t="shared" si="81"/>
        <v>0.996</v>
      </c>
      <c r="DO39" s="333">
        <f t="shared" si="82"/>
        <v>0.997</v>
      </c>
      <c r="DP39" s="333">
        <f t="shared" si="83"/>
        <v>0.998</v>
      </c>
      <c r="DQ39" s="333">
        <f t="shared" si="84"/>
        <v>0.999</v>
      </c>
      <c r="DR39" s="333">
        <f t="shared" si="85"/>
        <v>1</v>
      </c>
      <c r="DS39" s="334">
        <f t="shared" si="32"/>
        <v>0</v>
      </c>
      <c r="DT39" s="334">
        <f t="shared" si="33"/>
        <v>0</v>
      </c>
      <c r="DU39" s="334">
        <f t="shared" si="34"/>
        <v>0</v>
      </c>
    </row>
    <row r="40" spans="1:125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>
        <v>0</v>
      </c>
      <c r="CJ40" s="290"/>
      <c r="CK40" s="290"/>
      <c r="CL40" s="290"/>
      <c r="CM40" s="290"/>
      <c r="CN40" s="290"/>
      <c r="CO40" s="290"/>
      <c r="CP40" s="290"/>
      <c r="CQ40" s="290"/>
      <c r="CR40" s="290"/>
      <c r="CS40" s="290"/>
      <c r="CT40" s="321">
        <f t="shared" si="61"/>
        <v>0</v>
      </c>
      <c r="CU40" s="333">
        <f t="shared" si="62"/>
        <v>0</v>
      </c>
      <c r="CV40" s="333">
        <f t="shared" si="63"/>
        <v>0.47499999999999998</v>
      </c>
      <c r="CW40" s="333">
        <f t="shared" si="64"/>
        <v>0.5</v>
      </c>
      <c r="CX40" s="333">
        <f t="shared" si="65"/>
        <v>0.52500000000000002</v>
      </c>
      <c r="CY40" s="333">
        <f t="shared" si="66"/>
        <v>0.55000000000000004</v>
      </c>
      <c r="CZ40" s="333">
        <f t="shared" si="67"/>
        <v>0.57499999999999996</v>
      </c>
      <c r="DA40" s="333">
        <f t="shared" si="68"/>
        <v>0.6</v>
      </c>
      <c r="DB40" s="333">
        <f t="shared" si="69"/>
        <v>0.625</v>
      </c>
      <c r="DC40" s="333">
        <f t="shared" si="70"/>
        <v>0.65</v>
      </c>
      <c r="DD40" s="333">
        <f t="shared" si="71"/>
        <v>0.67500000000000004</v>
      </c>
      <c r="DE40" s="333">
        <f t="shared" si="72"/>
        <v>0.7</v>
      </c>
      <c r="DF40" s="333">
        <f t="shared" si="73"/>
        <v>0.72499999999999998</v>
      </c>
      <c r="DG40" s="333">
        <f t="shared" si="74"/>
        <v>0.75</v>
      </c>
      <c r="DH40" s="333">
        <f t="shared" si="75"/>
        <v>0.77500000000000002</v>
      </c>
      <c r="DI40" s="333">
        <f t="shared" si="76"/>
        <v>0</v>
      </c>
      <c r="DJ40" s="333">
        <f t="shared" si="77"/>
        <v>0.8</v>
      </c>
      <c r="DK40" s="333">
        <f t="shared" si="78"/>
        <v>0.82499999999999996</v>
      </c>
      <c r="DL40" s="333">
        <f t="shared" si="79"/>
        <v>0.85</v>
      </c>
      <c r="DM40" s="333">
        <f t="shared" si="80"/>
        <v>0.875</v>
      </c>
      <c r="DN40" s="333">
        <f t="shared" si="81"/>
        <v>0.9</v>
      </c>
      <c r="DO40" s="333">
        <f t="shared" si="82"/>
        <v>0.92500000000000004</v>
      </c>
      <c r="DP40" s="333">
        <f t="shared" si="83"/>
        <v>0.95</v>
      </c>
      <c r="DQ40" s="333">
        <f t="shared" si="84"/>
        <v>0.97499999999999998</v>
      </c>
      <c r="DR40" s="333">
        <f t="shared" si="85"/>
        <v>1</v>
      </c>
      <c r="DS40" s="334">
        <f t="shared" si="32"/>
        <v>0</v>
      </c>
      <c r="DT40" s="334">
        <f t="shared" si="33"/>
        <v>0</v>
      </c>
      <c r="DU40" s="334">
        <f t="shared" si="34"/>
        <v>0</v>
      </c>
    </row>
    <row r="41" spans="1:125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290">
        <v>1564664.1</v>
      </c>
      <c r="CI41" s="290">
        <v>0</v>
      </c>
      <c r="CJ41" s="290"/>
      <c r="CK41" s="290"/>
      <c r="CL41" s="290">
        <v>851576.63</v>
      </c>
      <c r="CM41" s="290"/>
      <c r="CN41" s="290"/>
      <c r="CO41" s="290"/>
      <c r="CP41" s="290">
        <v>1257071.68</v>
      </c>
      <c r="CQ41" s="290"/>
      <c r="CR41" s="290"/>
      <c r="CS41" s="290"/>
      <c r="CT41" s="321">
        <f t="shared" si="61"/>
        <v>1991</v>
      </c>
      <c r="CU41" s="333">
        <f t="shared" si="62"/>
        <v>0</v>
      </c>
      <c r="CV41" s="333">
        <f t="shared" si="63"/>
        <v>0</v>
      </c>
      <c r="CW41" s="333">
        <f t="shared" si="64"/>
        <v>0</v>
      </c>
      <c r="CX41" s="333">
        <f t="shared" si="65"/>
        <v>0</v>
      </c>
      <c r="CY41" s="333">
        <f t="shared" si="66"/>
        <v>0</v>
      </c>
      <c r="CZ41" s="333">
        <f t="shared" si="67"/>
        <v>0</v>
      </c>
      <c r="DA41" s="333">
        <f t="shared" si="68"/>
        <v>0</v>
      </c>
      <c r="DB41" s="333">
        <f t="shared" si="69"/>
        <v>0</v>
      </c>
      <c r="DC41" s="333">
        <f t="shared" si="70"/>
        <v>0</v>
      </c>
      <c r="DD41" s="333">
        <f t="shared" si="71"/>
        <v>0</v>
      </c>
      <c r="DE41" s="333">
        <f t="shared" si="72"/>
        <v>0</v>
      </c>
      <c r="DF41" s="333">
        <f t="shared" si="73"/>
        <v>0</v>
      </c>
      <c r="DG41" s="333">
        <f t="shared" si="74"/>
        <v>0</v>
      </c>
      <c r="DH41" s="333">
        <f t="shared" si="75"/>
        <v>9.9999999999999978E-2</v>
      </c>
      <c r="DI41" s="333">
        <f t="shared" si="76"/>
        <v>0</v>
      </c>
      <c r="DJ41" s="333">
        <f t="shared" si="77"/>
        <v>0.19999999999999996</v>
      </c>
      <c r="DK41" s="333">
        <f t="shared" si="78"/>
        <v>0.30000000000000004</v>
      </c>
      <c r="DL41" s="333">
        <f t="shared" si="79"/>
        <v>0.4</v>
      </c>
      <c r="DM41" s="333">
        <f t="shared" si="80"/>
        <v>0.5</v>
      </c>
      <c r="DN41" s="333">
        <f t="shared" si="81"/>
        <v>0.6</v>
      </c>
      <c r="DO41" s="333">
        <f t="shared" si="82"/>
        <v>0.7</v>
      </c>
      <c r="DP41" s="333">
        <f t="shared" si="83"/>
        <v>0.8</v>
      </c>
      <c r="DQ41" s="333">
        <f t="shared" si="84"/>
        <v>0.9</v>
      </c>
      <c r="DR41" s="333">
        <f t="shared" si="85"/>
        <v>1</v>
      </c>
      <c r="DS41" s="334">
        <f t="shared" si="32"/>
        <v>8118130.9150168486</v>
      </c>
      <c r="DT41" s="334">
        <f t="shared" si="33"/>
        <v>357657.0353027088</v>
      </c>
      <c r="DU41" s="334">
        <f t="shared" si="34"/>
        <v>4583934.384388173</v>
      </c>
    </row>
    <row r="42" spans="1:125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290">
        <v>211466.45</v>
      </c>
      <c r="CI42" s="290">
        <v>0</v>
      </c>
      <c r="CJ42" s="290"/>
      <c r="CK42" s="290"/>
      <c r="CL42" s="290">
        <v>237731.02000000002</v>
      </c>
      <c r="CM42" s="290"/>
      <c r="CN42" s="290"/>
      <c r="CO42" s="290"/>
      <c r="CP42" s="290">
        <v>215918.29000000004</v>
      </c>
      <c r="CQ42" s="290"/>
      <c r="CR42" s="290"/>
      <c r="CS42" s="290"/>
      <c r="CT42" s="321">
        <f t="shared" si="61"/>
        <v>0</v>
      </c>
      <c r="CU42" s="333">
        <f t="shared" si="62"/>
        <v>0</v>
      </c>
      <c r="CV42" s="333">
        <f t="shared" si="63"/>
        <v>4.5454545454545414E-2</v>
      </c>
      <c r="CW42" s="333">
        <f t="shared" si="64"/>
        <v>9.0909090909090939E-2</v>
      </c>
      <c r="CX42" s="333">
        <f t="shared" si="65"/>
        <v>0.13636363636363635</v>
      </c>
      <c r="CY42" s="333">
        <f t="shared" si="66"/>
        <v>0.18181818181818177</v>
      </c>
      <c r="CZ42" s="333">
        <f t="shared" si="67"/>
        <v>0.22727272727272729</v>
      </c>
      <c r="DA42" s="333">
        <f t="shared" si="68"/>
        <v>0.27272727272727271</v>
      </c>
      <c r="DB42" s="333">
        <f t="shared" si="69"/>
        <v>0.31818181818181823</v>
      </c>
      <c r="DC42" s="333">
        <f t="shared" si="70"/>
        <v>0.36363636363636365</v>
      </c>
      <c r="DD42" s="333">
        <f t="shared" si="71"/>
        <v>0.40909090909090906</v>
      </c>
      <c r="DE42" s="333">
        <f t="shared" si="72"/>
        <v>0.45454545454545459</v>
      </c>
      <c r="DF42" s="333">
        <f t="shared" si="73"/>
        <v>0.5</v>
      </c>
      <c r="DG42" s="333">
        <f t="shared" si="74"/>
        <v>0.54545454545454541</v>
      </c>
      <c r="DH42" s="333">
        <f t="shared" si="75"/>
        <v>0.59090909090909083</v>
      </c>
      <c r="DI42" s="333">
        <f t="shared" si="76"/>
        <v>0</v>
      </c>
      <c r="DJ42" s="333">
        <f t="shared" si="77"/>
        <v>0.63636363636363635</v>
      </c>
      <c r="DK42" s="333">
        <f t="shared" si="78"/>
        <v>0.68181818181818188</v>
      </c>
      <c r="DL42" s="333">
        <f t="shared" si="79"/>
        <v>0.72727272727272729</v>
      </c>
      <c r="DM42" s="333">
        <f t="shared" si="80"/>
        <v>0.77272727272727271</v>
      </c>
      <c r="DN42" s="333">
        <f t="shared" si="81"/>
        <v>0.81818181818181812</v>
      </c>
      <c r="DO42" s="333">
        <f t="shared" si="82"/>
        <v>0.86363636363636365</v>
      </c>
      <c r="DP42" s="333">
        <f t="shared" si="83"/>
        <v>0.90909090909090906</v>
      </c>
      <c r="DQ42" s="333">
        <f t="shared" si="84"/>
        <v>0.95454545454545459</v>
      </c>
      <c r="DR42" s="333">
        <f t="shared" si="85"/>
        <v>1</v>
      </c>
      <c r="DS42" s="334">
        <f t="shared" si="32"/>
        <v>1134345.2528803707</v>
      </c>
      <c r="DT42" s="334">
        <f t="shared" si="33"/>
        <v>0</v>
      </c>
      <c r="DU42" s="334">
        <f t="shared" si="34"/>
        <v>903474.81530104647</v>
      </c>
    </row>
    <row r="43" spans="1:125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290"/>
      <c r="CI43" s="290">
        <v>0</v>
      </c>
      <c r="CJ43" s="290"/>
      <c r="CK43" s="290"/>
      <c r="CL43" s="290">
        <v>0</v>
      </c>
      <c r="CM43" s="290"/>
      <c r="CN43" s="290"/>
      <c r="CO43" s="290"/>
      <c r="CP43" s="290">
        <v>0</v>
      </c>
      <c r="CQ43" s="290"/>
      <c r="CR43" s="290"/>
      <c r="CS43" s="290"/>
      <c r="CT43" s="321">
        <f t="shared" si="61"/>
        <v>0</v>
      </c>
      <c r="CU43" s="333">
        <f t="shared" si="62"/>
        <v>0</v>
      </c>
      <c r="CV43" s="333">
        <f t="shared" si="63"/>
        <v>0</v>
      </c>
      <c r="CW43" s="333">
        <f t="shared" si="64"/>
        <v>0</v>
      </c>
      <c r="CX43" s="333">
        <f t="shared" si="65"/>
        <v>0</v>
      </c>
      <c r="CY43" s="333">
        <f t="shared" si="66"/>
        <v>0</v>
      </c>
      <c r="CZ43" s="333">
        <f t="shared" si="67"/>
        <v>0</v>
      </c>
      <c r="DA43" s="333">
        <f t="shared" si="68"/>
        <v>0</v>
      </c>
      <c r="DB43" s="333">
        <f t="shared" si="69"/>
        <v>0</v>
      </c>
      <c r="DC43" s="333">
        <f t="shared" si="70"/>
        <v>0</v>
      </c>
      <c r="DD43" s="333">
        <f t="shared" si="71"/>
        <v>0</v>
      </c>
      <c r="DE43" s="333">
        <f t="shared" si="72"/>
        <v>0</v>
      </c>
      <c r="DF43" s="333">
        <f t="shared" si="73"/>
        <v>0</v>
      </c>
      <c r="DG43" s="333">
        <f t="shared" si="74"/>
        <v>0</v>
      </c>
      <c r="DH43" s="333">
        <f t="shared" si="75"/>
        <v>0</v>
      </c>
      <c r="DI43" s="333">
        <f t="shared" si="76"/>
        <v>0</v>
      </c>
      <c r="DJ43" s="333">
        <f t="shared" si="77"/>
        <v>0</v>
      </c>
      <c r="DK43" s="333">
        <f t="shared" si="78"/>
        <v>0</v>
      </c>
      <c r="DL43" s="333">
        <f t="shared" si="79"/>
        <v>0</v>
      </c>
      <c r="DM43" s="333">
        <f t="shared" si="80"/>
        <v>0</v>
      </c>
      <c r="DN43" s="333">
        <f t="shared" si="81"/>
        <v>0</v>
      </c>
      <c r="DO43" s="333">
        <f t="shared" si="82"/>
        <v>0.25</v>
      </c>
      <c r="DP43" s="333">
        <f t="shared" si="83"/>
        <v>0.5</v>
      </c>
      <c r="DQ43" s="333">
        <f t="shared" si="84"/>
        <v>0.75</v>
      </c>
      <c r="DR43" s="333">
        <f t="shared" si="85"/>
        <v>1</v>
      </c>
      <c r="DS43" s="334">
        <f t="shared" si="32"/>
        <v>0</v>
      </c>
      <c r="DT43" s="334">
        <f t="shared" si="33"/>
        <v>0</v>
      </c>
      <c r="DU43" s="334">
        <f t="shared" si="34"/>
        <v>0</v>
      </c>
    </row>
    <row r="44" spans="1:125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0">
        <v>0</v>
      </c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321">
        <f t="shared" si="61"/>
        <v>0</v>
      </c>
      <c r="CU44" s="348">
        <f t="shared" si="62"/>
        <v>0</v>
      </c>
      <c r="CV44" s="333">
        <f t="shared" si="63"/>
        <v>0</v>
      </c>
      <c r="CW44" s="333">
        <f t="shared" si="64"/>
        <v>0</v>
      </c>
      <c r="CX44" s="333">
        <f t="shared" si="65"/>
        <v>0</v>
      </c>
      <c r="CY44" s="333">
        <f t="shared" si="66"/>
        <v>0</v>
      </c>
      <c r="CZ44" s="333">
        <f t="shared" si="67"/>
        <v>0</v>
      </c>
      <c r="DA44" s="333">
        <f t="shared" si="68"/>
        <v>0</v>
      </c>
      <c r="DB44" s="333">
        <f t="shared" si="69"/>
        <v>0</v>
      </c>
      <c r="DC44" s="333">
        <f t="shared" si="70"/>
        <v>0</v>
      </c>
      <c r="DD44" s="333">
        <f t="shared" si="71"/>
        <v>0</v>
      </c>
      <c r="DE44" s="333">
        <f t="shared" si="72"/>
        <v>0</v>
      </c>
      <c r="DF44" s="333">
        <f t="shared" si="73"/>
        <v>0</v>
      </c>
      <c r="DG44" s="333">
        <f t="shared" si="74"/>
        <v>0</v>
      </c>
      <c r="DH44" s="333">
        <f t="shared" si="75"/>
        <v>0</v>
      </c>
      <c r="DI44" s="333">
        <f t="shared" si="76"/>
        <v>0</v>
      </c>
      <c r="DJ44" s="333">
        <f t="shared" si="77"/>
        <v>0</v>
      </c>
      <c r="DK44" s="333">
        <f t="shared" si="78"/>
        <v>0.125</v>
      </c>
      <c r="DL44" s="333">
        <f t="shared" si="79"/>
        <v>0.25</v>
      </c>
      <c r="DM44" s="333">
        <f t="shared" si="80"/>
        <v>0.375</v>
      </c>
      <c r="DN44" s="333">
        <f t="shared" si="81"/>
        <v>0.5</v>
      </c>
      <c r="DO44" s="333">
        <f t="shared" si="82"/>
        <v>0.625</v>
      </c>
      <c r="DP44" s="333">
        <f t="shared" si="83"/>
        <v>0.75</v>
      </c>
      <c r="DQ44" s="333">
        <f t="shared" si="84"/>
        <v>0.875</v>
      </c>
      <c r="DR44" s="333">
        <f t="shared" si="85"/>
        <v>1</v>
      </c>
      <c r="DS44" s="334">
        <f t="shared" si="32"/>
        <v>153091.81329945009</v>
      </c>
      <c r="DT44" s="334">
        <f t="shared" si="33"/>
        <v>153091.81329945009</v>
      </c>
      <c r="DU44" s="334">
        <f t="shared" si="34"/>
        <v>0</v>
      </c>
    </row>
    <row r="45" spans="1:125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86">SUM(E14:E44)</f>
        <v>0</v>
      </c>
      <c r="F45" s="296">
        <f t="shared" si="86"/>
        <v>36745444.950886555</v>
      </c>
      <c r="G45" s="296">
        <f t="shared" si="86"/>
        <v>1262365.3598000002</v>
      </c>
      <c r="H45" s="296">
        <f t="shared" si="86"/>
        <v>0</v>
      </c>
      <c r="I45" s="296">
        <f t="shared" si="86"/>
        <v>0</v>
      </c>
      <c r="J45" s="296">
        <f t="shared" si="86"/>
        <v>0</v>
      </c>
      <c r="K45" s="296">
        <f t="shared" si="86"/>
        <v>2422005.5850740555</v>
      </c>
      <c r="L45" s="296">
        <f t="shared" si="86"/>
        <v>315949</v>
      </c>
      <c r="M45" s="296">
        <f t="shared" si="86"/>
        <v>0</v>
      </c>
      <c r="N45" s="296">
        <f t="shared" si="86"/>
        <v>0</v>
      </c>
      <c r="O45" s="296">
        <f t="shared" si="86"/>
        <v>2468106.6800000002</v>
      </c>
      <c r="P45" s="296">
        <f t="shared" si="86"/>
        <v>0</v>
      </c>
      <c r="Q45" s="296">
        <f t="shared" si="86"/>
        <v>0</v>
      </c>
      <c r="R45" s="296">
        <f t="shared" si="86"/>
        <v>0</v>
      </c>
      <c r="S45" s="296">
        <f t="shared" si="86"/>
        <v>2636963</v>
      </c>
      <c r="T45" s="296">
        <f t="shared" si="86"/>
        <v>0</v>
      </c>
      <c r="U45" s="296">
        <f t="shared" si="86"/>
        <v>0</v>
      </c>
      <c r="V45" s="296">
        <f t="shared" si="86"/>
        <v>0</v>
      </c>
      <c r="W45" s="296">
        <f t="shared" si="86"/>
        <v>2901614.0900000003</v>
      </c>
      <c r="X45" s="296">
        <f t="shared" si="86"/>
        <v>0</v>
      </c>
      <c r="Y45" s="296">
        <f t="shared" si="86"/>
        <v>0</v>
      </c>
      <c r="Z45" s="296">
        <f t="shared" si="86"/>
        <v>0</v>
      </c>
      <c r="AA45" s="296">
        <f t="shared" si="86"/>
        <v>4650052.8100000005</v>
      </c>
      <c r="AB45" s="296">
        <f t="shared" si="86"/>
        <v>556386.07000000007</v>
      </c>
      <c r="AC45" s="296">
        <f t="shared" si="86"/>
        <v>0</v>
      </c>
      <c r="AD45" s="296">
        <f t="shared" si="86"/>
        <v>0</v>
      </c>
      <c r="AE45" s="296">
        <f t="shared" si="86"/>
        <v>5437854.6999999993</v>
      </c>
      <c r="AF45" s="296">
        <f t="shared" si="86"/>
        <v>0</v>
      </c>
      <c r="AG45" s="296">
        <f t="shared" si="86"/>
        <v>0</v>
      </c>
      <c r="AH45" s="296">
        <f t="shared" si="86"/>
        <v>0</v>
      </c>
      <c r="AI45" s="296">
        <f t="shared" si="86"/>
        <v>7755169.0999999968</v>
      </c>
      <c r="AJ45" s="296">
        <f t="shared" si="86"/>
        <v>0</v>
      </c>
      <c r="AK45" s="296">
        <f t="shared" si="86"/>
        <v>0</v>
      </c>
      <c r="AL45" s="296">
        <f t="shared" si="86"/>
        <v>0</v>
      </c>
      <c r="AM45" s="296">
        <f t="shared" si="86"/>
        <v>5445007.6719999984</v>
      </c>
      <c r="AN45" s="296">
        <f t="shared" si="86"/>
        <v>0</v>
      </c>
      <c r="AO45" s="296">
        <f t="shared" si="86"/>
        <v>0</v>
      </c>
      <c r="AP45" s="296">
        <f t="shared" si="86"/>
        <v>0</v>
      </c>
      <c r="AQ45" s="296">
        <f t="shared" si="86"/>
        <v>6483412.9600000028</v>
      </c>
      <c r="AR45" s="296">
        <f t="shared" si="86"/>
        <v>0</v>
      </c>
      <c r="AS45" s="296">
        <f t="shared" si="86"/>
        <v>0</v>
      </c>
      <c r="AT45" s="296">
        <f t="shared" si="86"/>
        <v>0</v>
      </c>
      <c r="AU45" s="296">
        <f t="shared" si="86"/>
        <v>4744163.7299999967</v>
      </c>
      <c r="AV45" s="296">
        <f t="shared" si="86"/>
        <v>0</v>
      </c>
      <c r="AW45" s="296">
        <f t="shared" si="86"/>
        <v>0</v>
      </c>
      <c r="AX45" s="296">
        <f t="shared" si="86"/>
        <v>0</v>
      </c>
      <c r="AY45" s="296">
        <f t="shared" si="86"/>
        <v>8655575.7579999957</v>
      </c>
      <c r="AZ45" s="296">
        <f t="shared" si="86"/>
        <v>0</v>
      </c>
      <c r="BA45" s="296">
        <f t="shared" si="86"/>
        <v>0</v>
      </c>
      <c r="BB45" s="296">
        <f t="shared" si="86"/>
        <v>0</v>
      </c>
      <c r="BC45" s="296">
        <f t="shared" si="86"/>
        <v>8595478.4899999984</v>
      </c>
      <c r="BD45" s="296">
        <f t="shared" si="86"/>
        <v>0</v>
      </c>
      <c r="BE45" s="296">
        <f t="shared" si="86"/>
        <v>0</v>
      </c>
      <c r="BF45" s="296">
        <f t="shared" si="86"/>
        <v>0</v>
      </c>
      <c r="BG45" s="296">
        <f t="shared" si="86"/>
        <v>6931047.2479580687</v>
      </c>
      <c r="BH45" s="296">
        <f t="shared" si="86"/>
        <v>5763524.5579580693</v>
      </c>
      <c r="BI45" s="296">
        <f t="shared" si="86"/>
        <v>4907911.2199999988</v>
      </c>
      <c r="BJ45" s="296">
        <f t="shared" si="86"/>
        <v>10289030.280000001</v>
      </c>
      <c r="BK45" s="296">
        <f t="shared" si="86"/>
        <v>0</v>
      </c>
      <c r="BL45" s="296">
        <f t="shared" si="86"/>
        <v>0</v>
      </c>
      <c r="BM45" s="296">
        <f t="shared" si="86"/>
        <v>0</v>
      </c>
      <c r="BN45" s="296">
        <f t="shared" si="86"/>
        <v>23273467.399999995</v>
      </c>
      <c r="BO45" s="296">
        <f t="shared" si="86"/>
        <v>0</v>
      </c>
      <c r="BP45" s="296">
        <f t="shared" si="86"/>
        <v>0</v>
      </c>
      <c r="BQ45" s="296">
        <f t="shared" ref="BQ45:CK45" si="87">SUM(BQ14:BQ44)</f>
        <v>0</v>
      </c>
      <c r="BR45" s="296">
        <f t="shared" si="87"/>
        <v>16573617.789999997</v>
      </c>
      <c r="BS45" s="296">
        <f t="shared" si="87"/>
        <v>65610.73</v>
      </c>
      <c r="BT45" s="296">
        <f t="shared" si="87"/>
        <v>0</v>
      </c>
      <c r="BU45" s="296">
        <f t="shared" si="87"/>
        <v>0</v>
      </c>
      <c r="BV45" s="296">
        <f t="shared" si="87"/>
        <v>17574337.189999998</v>
      </c>
      <c r="BW45" s="296">
        <f t="shared" si="87"/>
        <v>2126529.2643995676</v>
      </c>
      <c r="BX45" s="296">
        <f t="shared" si="87"/>
        <v>0</v>
      </c>
      <c r="BY45" s="296">
        <f t="shared" si="87"/>
        <v>0</v>
      </c>
      <c r="BZ45" s="296">
        <f t="shared" si="87"/>
        <v>17203994.490000002</v>
      </c>
      <c r="CA45" s="296">
        <f t="shared" si="87"/>
        <v>2659763.210547294</v>
      </c>
      <c r="CB45" s="296">
        <f t="shared" si="87"/>
        <v>0</v>
      </c>
      <c r="CC45" s="296">
        <f t="shared" si="87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6">
        <f t="shared" si="87"/>
        <v>14074953.529999994</v>
      </c>
      <c r="CI45" s="296">
        <f t="shared" si="87"/>
        <v>143425.125207</v>
      </c>
      <c r="CJ45" s="296">
        <f t="shared" si="87"/>
        <v>0</v>
      </c>
      <c r="CK45" s="296">
        <f t="shared" si="87"/>
        <v>0</v>
      </c>
      <c r="CL45" s="296">
        <f t="shared" ref="CL45:CS45" si="88">SUM(CL14:CL44)</f>
        <v>16016692.260000002</v>
      </c>
      <c r="CM45" s="296">
        <f t="shared" si="88"/>
        <v>0</v>
      </c>
      <c r="CN45" s="296">
        <f t="shared" si="88"/>
        <v>0</v>
      </c>
      <c r="CO45" s="296">
        <f t="shared" si="88"/>
        <v>0</v>
      </c>
      <c r="CP45" s="296">
        <f t="shared" si="88"/>
        <v>41021704.730000004</v>
      </c>
      <c r="CQ45" s="296">
        <f t="shared" si="88"/>
        <v>146532.4</v>
      </c>
      <c r="CR45" s="296">
        <f t="shared" si="88"/>
        <v>0</v>
      </c>
      <c r="CS45" s="296">
        <f t="shared" si="88"/>
        <v>0</v>
      </c>
      <c r="CT45" s="297"/>
      <c r="CU45" s="297"/>
      <c r="CV45" s="297"/>
      <c r="CW45" s="297"/>
      <c r="CX45" s="297"/>
      <c r="CY45" s="297"/>
      <c r="CZ45" s="297"/>
      <c r="DA45" s="297"/>
      <c r="DB45" s="297"/>
      <c r="DC45" s="297"/>
      <c r="DD45" s="297"/>
      <c r="DE45" s="297"/>
      <c r="DF45" s="297"/>
      <c r="DG45" s="297"/>
      <c r="DH45" s="297"/>
      <c r="DI45" s="297"/>
      <c r="DJ45" s="297"/>
      <c r="DK45" s="297"/>
      <c r="DL45" s="297"/>
      <c r="DM45" s="297"/>
      <c r="DN45" s="297"/>
      <c r="DO45" s="297"/>
      <c r="DP45" s="297"/>
      <c r="DQ45" s="297"/>
      <c r="DR45" s="297"/>
      <c r="DS45" s="298">
        <f>SUM(DS14:DS44)</f>
        <v>258852510.90759543</v>
      </c>
      <c r="DT45" s="298">
        <f>SUM(DT14:DT44)</f>
        <v>64830622.763573319</v>
      </c>
      <c r="DU45" s="298">
        <f>SUM(DU14:DU44)</f>
        <v>146896172.91767383</v>
      </c>
    </row>
    <row r="46" spans="1:125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292">
        <v>743971.64</v>
      </c>
      <c r="CI46" s="290">
        <v>0</v>
      </c>
      <c r="CJ46" s="292"/>
      <c r="CK46" s="292"/>
      <c r="CL46" s="290">
        <v>550410.49999999988</v>
      </c>
      <c r="CM46" s="290"/>
      <c r="CN46" s="292"/>
      <c r="CO46" s="292"/>
      <c r="CP46" s="290">
        <v>816287.5</v>
      </c>
      <c r="CQ46" s="290"/>
      <c r="CR46" s="292"/>
      <c r="CS46" s="292"/>
      <c r="CT46" s="321">
        <f>IF(D46=0,0,2001-(D46-F46)*C46/D46)</f>
        <v>1993.2473056022818</v>
      </c>
      <c r="CU46" s="374">
        <f>IF((1-($DS$2-$CT46)/$C46)&gt;0,(1-($DS$2-$CT46)/$C46),0)</f>
        <v>0</v>
      </c>
      <c r="CV46" s="333">
        <f>IF((1-($DS$2-G$2)/$C46)&gt;0,(1-($DS$2-G$2)/$C46),0)</f>
        <v>4.5454545454545414E-2</v>
      </c>
      <c r="CW46" s="333">
        <f>IF((1-($DS$2-K$2)/$C46)&gt;0,(1-($DS$2-K$2)/$C46),0)</f>
        <v>9.0909090909090939E-2</v>
      </c>
      <c r="CX46" s="333">
        <f>IF((1-($DS$2-O$2)/$C46)&gt;0,(1-($DS$2-O$2)/$C46),0)</f>
        <v>0.13636363636363635</v>
      </c>
      <c r="CY46" s="333">
        <f>IF((1-($DS$2-S$2)/$C46)&gt;0,(1-($DS$2-S$2)/$C46),0)</f>
        <v>0.18181818181818177</v>
      </c>
      <c r="CZ46" s="333">
        <f>IF((1-($DS$2-W$2)/$C46)&gt;0,(1-($DS$2-W$2)/$C46),0)</f>
        <v>0.22727272727272729</v>
      </c>
      <c r="DA46" s="333">
        <f>IF((1-($DS$2-AA$2)/$C46)&gt;0,(1-($DS$2-AA$2)/$C46),0)</f>
        <v>0.27272727272727271</v>
      </c>
      <c r="DB46" s="333">
        <f>IF((1-($DS$2-AE$2)/$C46)&gt;0,(1-($DS$2-AE$2)/$C46),0)</f>
        <v>0.31818181818181823</v>
      </c>
      <c r="DC46" s="333">
        <f>IF((1-($DS$2-AI$2)/$C46)&gt;0,(1-($DS$2-AI$2)/$C46),0)</f>
        <v>0.36363636363636365</v>
      </c>
      <c r="DD46" s="333">
        <f>IF((1-($DS$2-AM$2)/$C46)&gt;0,(1-($DS$2-AM$2)/$C46),0)</f>
        <v>0.40909090909090906</v>
      </c>
      <c r="DE46" s="333">
        <f>IF((1-($DS$2-AQ$2)/$C46)&gt;0,(1-($DS$2-AQ$2)/$C46),0)</f>
        <v>0.45454545454545459</v>
      </c>
      <c r="DF46" s="333">
        <f>IF((1-($DS$2-AU$2)/$C46)&gt;0,(1-($DS$2-AU$2)/$C46),0)</f>
        <v>0.5</v>
      </c>
      <c r="DG46" s="333">
        <f>IF((1-($DS$2-AY$2)/$C46)&gt;0,(1-($DS$2-AY$2)/$C46),0)</f>
        <v>0.54545454545454541</v>
      </c>
      <c r="DH46" s="333">
        <f>IF((1-($DS$2-BC$2)/$C46)&gt;0,(1-($DS$2-BC$2)/$C46),0)</f>
        <v>0.59090909090909083</v>
      </c>
      <c r="DI46" s="333">
        <f>IF(BG46=0,0,1-($DS$2-(2014.5-(BG46-BI46)*C46/BG46))/C46)</f>
        <v>0</v>
      </c>
      <c r="DJ46" s="333">
        <f>IF((1-($DS$2-BJ$2)/$C46)&gt;0,(1-($DS$2-BJ$2)/$C46),0)</f>
        <v>0.63636363636363635</v>
      </c>
      <c r="DK46" s="333">
        <f>IF((1-($DS$2-BN$2)/$C46)&gt;0,(1-($DS$2-BN$2)/$C46),0)</f>
        <v>0.68181818181818188</v>
      </c>
      <c r="DL46" s="333">
        <f>IF((1-($DS$2-BR$2)/$C46)&gt;0,(1-($DS$2-BR$2)/$C46),0)</f>
        <v>0.72727272727272729</v>
      </c>
      <c r="DM46" s="333">
        <f>IF((1-($DS$2-BV$2)/$C46)&gt;0,(1-($DS$2-BV$2)/$C46),0)</f>
        <v>0.77272727272727271</v>
      </c>
      <c r="DN46" s="333">
        <f>IF((1-($DS$2-BZ$2)/$C46)&gt;0,(1-($DS$2-BZ$2)/$C46),0)</f>
        <v>0.81818181818181812</v>
      </c>
      <c r="DO46" s="333">
        <f>IF((1-($DS$2-CD$2)/$C46)&gt;0,(1-($DS$2-CD$2)/$C46),0)</f>
        <v>0.86363636363636365</v>
      </c>
      <c r="DP46" s="333">
        <f>IF((1-($DS$2-CH$2)/$C46)&gt;0,(1-($DS$2-CH$2)/$C46),0)</f>
        <v>0.90909090909090906</v>
      </c>
      <c r="DQ46" s="333">
        <f>IF((1-($DS$2-CL$2)/$C46)&gt;0,(1-($DS$2-CL$2)/$C46),0)</f>
        <v>0.95454545454545459</v>
      </c>
      <c r="DR46" s="333">
        <f>IF((1-($DS$2-CP$2)/$C46)&gt;0,(1-($DS$2-CP$2)/$C46),0)</f>
        <v>1</v>
      </c>
      <c r="DS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+(CD46-CE46-CF46)*$CD$62+(CH46-CI46-CJ46)*$CH$62+(CL46-CM46-CN46)*$CL$62+(CP46-CQ46-CR46)*$CP$62</f>
        <v>14016521.680222053</v>
      </c>
      <c r="DT46" s="334">
        <f>IF(CU46=0,D46-E46,0)+IF(CV46=0,(G46-H46-I46)*G$62,0)+IF(CW46=0,(K46-L46-M46)*K$62,0)+IF(CX46=0,(O46-P46-Q46)*O$62,0)+IF(CY46=0,(S46-T46-U46)*S$62,0)+IF(CZ46=0,(W46-X46-Y46)*W$62,0)+IF(DA46=0,(AA46-AB46-AC46)*AA$62,0)+IF(DB46=0,(AE46-AF46-AG46)*AE$62,0)+IF(DC46=0,(AI46-AJ46-AK46)*AI$62,0)+IF(DD46=0,(AM46-AN46-AO46)*AM$62,0)+IF(DE46=0,(AQ46-AR46-AS46)*$AQ$62,0)+IF(DF46=0,(AU46-AV46-AW46)*$AU$62,0)+IF(DG46=0,(AY46-AZ46-BA46)*$AY$62,0)++IF(DH46=0,(BC46-BD46-BE46)*$BC$62,0)+IF(DI46=0,BG46,0)+IF(DJ46=0,(BJ46-BK46-BL46)*$BJ$62,0)+IF(DK46=0,(BN46-BO46-BP46)*$BN$62,0)+IF(DL46=0,(BR46-BS46-BT46)*$BR$62,0)+IF(DM46=0,(BV46-BW46-BX46)*$BV$62,0)+IF(DN46=0,(BZ46-CA46-CB46)*$BZ$62,0)+IF(DO46=0,(CD46-CE46-CF46)*$CD$62,0)+IF(DP46=0,(CH46-CI46-CJ46)*$CH$62,0)+IF(DQ46=0,(CL46-CM46-CN46)*$CL$62,0)+IF(DR46=0,(CP46-CQ46-CR46)*$CP$62,0)</f>
        <v>2957226.5007306808</v>
      </c>
      <c r="DU46" s="334">
        <f>(D46-E46)*CU46+((G46-H46-(I46-J46))*G$62)*CV46+((K46-L46-(M46-N46))*K$62)*CW46+((O46-P46-(Q46-R46))*O$62)*CX46+((S46-T46-(U46-V46))*S$62)*CY46+((W46-X46-(Y46-Z46))*W$62)*CZ46+((AA46-AB46-(AC46-AD46))*AA$62)*DA46+((AE46-AF46-(AG46-AH46))*AE$62)*DB46+((AI46-AJ46-(AK46-AL46))*AI$62)*DC46+((AM46-AN46-(AO46-AP46))*$AM$62)*DD46+((AQ46-AR46-(AS46-AT46))*$AQ$62)*DE46+((AU46-AV46-(AW46-AX46))*$AU$62)*DF46+((AY46-AZ46-(BA46-BB46))*$AY$62)*DG46+((BC46-BD46-(BE46-BF46))*$BC$62)*DH46+((BJ46-BK46-(BL46-BM46))*$BJ$62)*DJ46+(BG46-BH46)*DI46+((BN46-BO46-(BP46-BQ46))*$BN$62)*DK46+((BR46-BS46-(BT46-BU46))*$BR$62)*DL46+((BV46-BW46-(BX46-BY46))*$BV$62)*DM46+((BZ46-CA46-(CB46-CC46))*$BZ$62)*DN46+((CD46-CE46-(CF46-CG46))*$CD$62)*DO46+((CH46-CI46-(CJ46-CK46))*$CH$62*DP46)+((CL46-CM46-(CN46-CO46))*$CL$62*DQ46)+((CP46-CQ46-(CR46-CS46))*$CP$62*DR46)</f>
        <v>6282258.70531426</v>
      </c>
    </row>
    <row r="47" spans="1:125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89">+E46</f>
        <v>0</v>
      </c>
      <c r="F47" s="296">
        <f t="shared" si="89"/>
        <v>1915114.0768671127</v>
      </c>
      <c r="G47" s="296">
        <f t="shared" si="89"/>
        <v>383603.42</v>
      </c>
      <c r="H47" s="296">
        <f t="shared" si="89"/>
        <v>0</v>
      </c>
      <c r="I47" s="296">
        <f t="shared" si="89"/>
        <v>0</v>
      </c>
      <c r="J47" s="296">
        <f t="shared" si="89"/>
        <v>0</v>
      </c>
      <c r="K47" s="296">
        <f t="shared" si="89"/>
        <v>723366.95</v>
      </c>
      <c r="L47" s="296">
        <f t="shared" si="89"/>
        <v>0</v>
      </c>
      <c r="M47" s="296">
        <f t="shared" si="89"/>
        <v>0</v>
      </c>
      <c r="N47" s="296">
        <f t="shared" si="89"/>
        <v>0</v>
      </c>
      <c r="O47" s="296">
        <f t="shared" si="89"/>
        <v>345218.57</v>
      </c>
      <c r="P47" s="296">
        <f t="shared" si="89"/>
        <v>0</v>
      </c>
      <c r="Q47" s="296">
        <f t="shared" si="89"/>
        <v>0</v>
      </c>
      <c r="R47" s="296">
        <f t="shared" si="89"/>
        <v>0</v>
      </c>
      <c r="S47" s="296">
        <f t="shared" si="89"/>
        <v>343113</v>
      </c>
      <c r="T47" s="296">
        <f t="shared" si="89"/>
        <v>0</v>
      </c>
      <c r="U47" s="296">
        <f t="shared" si="89"/>
        <v>0</v>
      </c>
      <c r="V47" s="296">
        <f t="shared" si="89"/>
        <v>0</v>
      </c>
      <c r="W47" s="296">
        <f t="shared" si="89"/>
        <v>288347.67</v>
      </c>
      <c r="X47" s="296">
        <f t="shared" si="89"/>
        <v>0</v>
      </c>
      <c r="Y47" s="296">
        <f t="shared" si="89"/>
        <v>0</v>
      </c>
      <c r="Z47" s="296">
        <f t="shared" si="89"/>
        <v>0</v>
      </c>
      <c r="AA47" s="296">
        <f t="shared" si="89"/>
        <v>301261.25000000006</v>
      </c>
      <c r="AB47" s="296">
        <f t="shared" si="89"/>
        <v>0</v>
      </c>
      <c r="AC47" s="296">
        <f t="shared" si="89"/>
        <v>0</v>
      </c>
      <c r="AD47" s="296">
        <f t="shared" si="89"/>
        <v>0</v>
      </c>
      <c r="AE47" s="296">
        <f t="shared" si="89"/>
        <v>418664.33</v>
      </c>
      <c r="AF47" s="296">
        <f t="shared" si="89"/>
        <v>0</v>
      </c>
      <c r="AG47" s="296">
        <f t="shared" si="89"/>
        <v>0</v>
      </c>
      <c r="AH47" s="296">
        <f t="shared" si="89"/>
        <v>0</v>
      </c>
      <c r="AI47" s="296">
        <f t="shared" si="89"/>
        <v>191547.63</v>
      </c>
      <c r="AJ47" s="296">
        <f t="shared" si="89"/>
        <v>0</v>
      </c>
      <c r="AK47" s="296">
        <f t="shared" si="89"/>
        <v>0</v>
      </c>
      <c r="AL47" s="296">
        <f t="shared" si="89"/>
        <v>0</v>
      </c>
      <c r="AM47" s="296">
        <f t="shared" si="89"/>
        <v>284788.3</v>
      </c>
      <c r="AN47" s="296">
        <f t="shared" si="89"/>
        <v>0</v>
      </c>
      <c r="AO47" s="296">
        <f t="shared" si="89"/>
        <v>0</v>
      </c>
      <c r="AP47" s="296">
        <f t="shared" si="89"/>
        <v>0</v>
      </c>
      <c r="AQ47" s="296">
        <f t="shared" si="89"/>
        <v>417455.78889137268</v>
      </c>
      <c r="AR47" s="296">
        <f t="shared" si="89"/>
        <v>0</v>
      </c>
      <c r="AS47" s="296">
        <f t="shared" si="89"/>
        <v>0</v>
      </c>
      <c r="AT47" s="296">
        <f t="shared" si="89"/>
        <v>0</v>
      </c>
      <c r="AU47" s="296">
        <f t="shared" si="89"/>
        <v>846640.63000000012</v>
      </c>
      <c r="AV47" s="296">
        <f t="shared" si="89"/>
        <v>0</v>
      </c>
      <c r="AW47" s="296">
        <f t="shared" si="89"/>
        <v>0</v>
      </c>
      <c r="AX47" s="296">
        <f t="shared" si="89"/>
        <v>0</v>
      </c>
      <c r="AY47" s="296">
        <f t="shared" si="89"/>
        <v>696982</v>
      </c>
      <c r="AZ47" s="296">
        <f t="shared" si="89"/>
        <v>0</v>
      </c>
      <c r="BA47" s="296">
        <f t="shared" si="89"/>
        <v>0</v>
      </c>
      <c r="BB47" s="296">
        <f t="shared" si="89"/>
        <v>0</v>
      </c>
      <c r="BC47" s="296">
        <f t="shared" si="89"/>
        <v>611593.03</v>
      </c>
      <c r="BD47" s="296">
        <f t="shared" si="89"/>
        <v>0</v>
      </c>
      <c r="BE47" s="296">
        <f t="shared" si="89"/>
        <v>0</v>
      </c>
      <c r="BF47" s="296">
        <f t="shared" si="89"/>
        <v>0</v>
      </c>
      <c r="BG47" s="296">
        <f t="shared" si="89"/>
        <v>0</v>
      </c>
      <c r="BH47" s="296">
        <f t="shared" si="89"/>
        <v>0</v>
      </c>
      <c r="BI47" s="296">
        <f t="shared" si="89"/>
        <v>0</v>
      </c>
      <c r="BJ47" s="296">
        <f t="shared" si="89"/>
        <v>717101.01</v>
      </c>
      <c r="BK47" s="296">
        <f t="shared" si="89"/>
        <v>0</v>
      </c>
      <c r="BL47" s="296">
        <f t="shared" si="89"/>
        <v>0</v>
      </c>
      <c r="BM47" s="296">
        <f t="shared" si="89"/>
        <v>0</v>
      </c>
      <c r="BN47" s="296">
        <f t="shared" si="89"/>
        <v>778834.53</v>
      </c>
      <c r="BO47" s="296">
        <f t="shared" si="89"/>
        <v>0</v>
      </c>
      <c r="BP47" s="296">
        <f t="shared" si="89"/>
        <v>0</v>
      </c>
      <c r="BQ47" s="296">
        <f t="shared" ref="BQ47:CK47" si="90">+BQ46</f>
        <v>0</v>
      </c>
      <c r="BR47" s="296">
        <f t="shared" si="90"/>
        <v>1066066.3500000001</v>
      </c>
      <c r="BS47" s="296">
        <f t="shared" si="90"/>
        <v>0</v>
      </c>
      <c r="BT47" s="296">
        <f t="shared" si="90"/>
        <v>0</v>
      </c>
      <c r="BU47" s="296">
        <f t="shared" si="90"/>
        <v>0</v>
      </c>
      <c r="BV47" s="296">
        <f t="shared" si="90"/>
        <v>715400.34000000008</v>
      </c>
      <c r="BW47" s="296">
        <f t="shared" si="90"/>
        <v>0</v>
      </c>
      <c r="BX47" s="296">
        <f t="shared" si="90"/>
        <v>0</v>
      </c>
      <c r="BY47" s="296">
        <f t="shared" si="90"/>
        <v>0</v>
      </c>
      <c r="BZ47" s="296">
        <f t="shared" si="90"/>
        <v>305500.91000000003</v>
      </c>
      <c r="CA47" s="296">
        <f t="shared" si="90"/>
        <v>0</v>
      </c>
      <c r="CB47" s="296">
        <f t="shared" si="90"/>
        <v>0</v>
      </c>
      <c r="CC47" s="296">
        <f t="shared" si="90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6">
        <f t="shared" si="90"/>
        <v>743971.64</v>
      </c>
      <c r="CI47" s="296">
        <f t="shared" si="90"/>
        <v>0</v>
      </c>
      <c r="CJ47" s="296">
        <f t="shared" si="90"/>
        <v>0</v>
      </c>
      <c r="CK47" s="296">
        <f t="shared" si="90"/>
        <v>0</v>
      </c>
      <c r="CL47" s="296">
        <f t="shared" ref="CL47:CS47" si="91">+CL46</f>
        <v>550410.49999999988</v>
      </c>
      <c r="CM47" s="296">
        <f t="shared" si="91"/>
        <v>0</v>
      </c>
      <c r="CN47" s="296">
        <f t="shared" si="91"/>
        <v>0</v>
      </c>
      <c r="CO47" s="296">
        <f t="shared" si="91"/>
        <v>0</v>
      </c>
      <c r="CP47" s="296">
        <f t="shared" si="91"/>
        <v>816287.5</v>
      </c>
      <c r="CQ47" s="296">
        <f t="shared" si="91"/>
        <v>0</v>
      </c>
      <c r="CR47" s="296">
        <f t="shared" si="91"/>
        <v>0</v>
      </c>
      <c r="CS47" s="296">
        <f t="shared" si="91"/>
        <v>0</v>
      </c>
      <c r="CT47" s="297"/>
      <c r="CU47" s="297"/>
      <c r="CV47" s="297"/>
      <c r="CW47" s="297"/>
      <c r="CX47" s="297"/>
      <c r="CY47" s="297"/>
      <c r="CZ47" s="297"/>
      <c r="DA47" s="297"/>
      <c r="DB47" s="297"/>
      <c r="DC47" s="297"/>
      <c r="DD47" s="297"/>
      <c r="DE47" s="297"/>
      <c r="DF47" s="297"/>
      <c r="DG47" s="297"/>
      <c r="DH47" s="297"/>
      <c r="DI47" s="297"/>
      <c r="DJ47" s="297"/>
      <c r="DK47" s="297"/>
      <c r="DL47" s="297"/>
      <c r="DM47" s="297"/>
      <c r="DN47" s="297"/>
      <c r="DO47" s="297"/>
      <c r="DP47" s="297"/>
      <c r="DQ47" s="297"/>
      <c r="DR47" s="297"/>
      <c r="DS47" s="298">
        <f>DS46</f>
        <v>14016521.680222053</v>
      </c>
      <c r="DT47" s="298">
        <f>DT46</f>
        <v>2957226.5007306808</v>
      </c>
      <c r="DU47" s="298">
        <f>DU46</f>
        <v>6282258.70531426</v>
      </c>
    </row>
    <row r="48" spans="1:125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0">
        <v>0</v>
      </c>
      <c r="CJ48" s="293"/>
      <c r="CK48" s="293"/>
      <c r="CL48" s="293"/>
      <c r="CM48" s="293"/>
      <c r="CN48" s="293"/>
      <c r="CO48" s="293"/>
      <c r="CP48" s="293"/>
      <c r="CQ48" s="293"/>
      <c r="CR48" s="293"/>
      <c r="CS48" s="293"/>
      <c r="CT48" s="321">
        <f t="shared" ref="CT48:CT57" si="92">IF(D48=0,0,2001-(D48-F48)*C48/D48)</f>
        <v>0</v>
      </c>
      <c r="CU48" s="385">
        <f t="shared" ref="CU48:CU57" si="93">IF((1-($DS$2-$CT48)/$C48)&gt;0,(1-($DS$2-$CT48)/$C48),0)</f>
        <v>0</v>
      </c>
      <c r="CV48" s="333">
        <f t="shared" ref="CV48:CV57" si="94">IF((1-($DS$2-G$2)/$C48)&gt;0,(1-($DS$2-G$2)/$C48),0)</f>
        <v>0</v>
      </c>
      <c r="CW48" s="333">
        <f t="shared" ref="CW48:CW57" si="95">IF((1-($DS$2-K$2)/$C48)&gt;0,(1-($DS$2-K$2)/$C48),0)</f>
        <v>0</v>
      </c>
      <c r="CX48" s="333">
        <f t="shared" ref="CX48:CX57" si="96">IF((1-($DS$2-O$2)/$C48)&gt;0,(1-($DS$2-O$2)/$C48),0)</f>
        <v>0</v>
      </c>
      <c r="CY48" s="333">
        <f t="shared" ref="CY48:CY57" si="97">IF((1-($DS$2-S$2)/$C48)&gt;0,(1-($DS$2-S$2)/$C48),0)</f>
        <v>0</v>
      </c>
      <c r="CZ48" s="333">
        <f t="shared" ref="CZ48:CZ57" si="98">IF((1-($DS$2-W$2)/$C48)&gt;0,(1-($DS$2-W$2)/$C48),0)</f>
        <v>0</v>
      </c>
      <c r="DA48" s="333">
        <f t="shared" ref="DA48:DA57" si="99">IF((1-($DS$2-AA$2)/$C48)&gt;0,(1-($DS$2-AA$2)/$C48),0)</f>
        <v>0</v>
      </c>
      <c r="DB48" s="333">
        <f t="shared" ref="DB48:DB57" si="100">IF((1-($DS$2-AE$2)/$C48)&gt;0,(1-($DS$2-AE$2)/$C48),0)</f>
        <v>0</v>
      </c>
      <c r="DC48" s="333">
        <f t="shared" ref="DC48:DC57" si="101">IF((1-($DS$2-AI$2)/$C48)&gt;0,(1-($DS$2-AI$2)/$C48),0)</f>
        <v>0</v>
      </c>
      <c r="DD48" s="333">
        <f t="shared" ref="DD48:DD57" si="102">IF((1-($DS$2-AM$2)/$C48)&gt;0,(1-($DS$2-AM$2)/$C48),0)</f>
        <v>0</v>
      </c>
      <c r="DE48" s="333">
        <f t="shared" ref="DE48:DE57" si="103">IF((1-($DS$2-AQ$2)/$C48)&gt;0,(1-($DS$2-AQ$2)/$C48),0)</f>
        <v>0</v>
      </c>
      <c r="DF48" s="333">
        <f t="shared" ref="DF48:DF57" si="104">IF((1-($DS$2-AU$2)/$C48)&gt;0,(1-($DS$2-AU$2)/$C48),0)</f>
        <v>0</v>
      </c>
      <c r="DG48" s="333">
        <f t="shared" ref="DG48:DG57" si="105">IF((1-($DS$2-AY$2)/$C48)&gt;0,(1-($DS$2-AY$2)/$C48),0)</f>
        <v>0</v>
      </c>
      <c r="DH48" s="333">
        <f t="shared" ref="DH48:DH57" si="106">IF((1-($DS$2-BC$2)/$C48)&gt;0,(1-($DS$2-BC$2)/$C48),0)</f>
        <v>0</v>
      </c>
      <c r="DI48" s="333">
        <f t="shared" ref="DI48:DI57" si="107">IF(BG48=0,0,1-($DS$2-(2014.5-(BG48-BI48)*C48/BG48))/C48)</f>
        <v>0</v>
      </c>
      <c r="DJ48" s="333">
        <f t="shared" ref="DJ48:DJ57" si="108">IF((1-($DS$2-BJ$2)/$C48)&gt;0,(1-($DS$2-BJ$2)/$C48),0)</f>
        <v>0</v>
      </c>
      <c r="DK48" s="333">
        <f t="shared" ref="DK48:DK57" si="109">IF((1-($DS$2-BN$2)/$C48)&gt;0,(1-($DS$2-BN$2)/$C48),0)</f>
        <v>0</v>
      </c>
      <c r="DL48" s="333">
        <f t="shared" ref="DL48:DL57" si="110">IF((1-($DS$2-BR$2)/$C48)&gt;0,(1-($DS$2-BR$2)/$C48),0)</f>
        <v>0</v>
      </c>
      <c r="DM48" s="333">
        <f t="shared" ref="DM48:DM57" si="111">IF((1-($DS$2-BV$2)/$C48)&gt;0,(1-($DS$2-BV$2)/$C48),0)</f>
        <v>0</v>
      </c>
      <c r="DN48" s="333">
        <f t="shared" ref="DN48:DN57" si="112">IF((1-($DS$2-BZ$2)/$C48)&gt;0,(1-($DS$2-BZ$2)/$C48),0)</f>
        <v>0</v>
      </c>
      <c r="DO48" s="333">
        <f t="shared" ref="DO48:DO57" si="113">IF((1-($DS$2-CD$2)/$C48)&gt;0,(1-($DS$2-CD$2)/$C48),0)</f>
        <v>0.25</v>
      </c>
      <c r="DP48" s="333">
        <f t="shared" ref="DP48:DP57" si="114">IF((1-($DS$2-CH$2)/$C48)&gt;0,(1-($DS$2-CH$2)/$C48),0)</f>
        <v>0.5</v>
      </c>
      <c r="DQ48" s="333">
        <f t="shared" ref="DQ48:DQ57" si="115">IF((1-($DS$2-CL$2)/$C48)&gt;0,(1-($DS$2-CL$2)/$C48),0)</f>
        <v>0.75</v>
      </c>
      <c r="DR48" s="333">
        <f t="shared" ref="DR48:DR57" si="116">IF((1-($DS$2-CP$2)/$C48)&gt;0,(1-($DS$2-CP$2)/$C48),0)</f>
        <v>1</v>
      </c>
      <c r="DS48" s="334">
        <f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+(CD48-CE48-CF48)*$CD$63+(CH48-CI48-CJ48)*$CH$63+(CL48-CM48-CN48)*$CL$63+(CP48-CQ48-CR48)*$CP$63</f>
        <v>0</v>
      </c>
      <c r="DT48" s="334">
        <f>IF(CU48=0,D48-E48,0)+IF(CV48=0,(G48-H48-I48)*G$63,0)+IF(CW48=0,(K48-L48-M48)*K$63,0)+IF(CX48=0,(O48-P48-Q48)*O$63,0)+IF(CY48=0,(S48-T48-U48)*S$63,0)+IF(CZ48=0,(W48-X48-Y48)*W$63,0)+IF(DA48=0,(AA48-AB48-AC48)*AA$63,0)+IF(DB48=0,(AE48-AF48-AG48)*AE$63,0)+IF(DC48=0,(AI48-AJ48-AK48)*AI$63,0)+IF(DD48=0,(AM48-AN48-AO48)*AM$63,0)+IF(DE48=0,(AQ48-AR48-AS48)*$AQ$63,0)+IF(DF48=0,(AU48-AV48-AW48)*$AU$63,0)+IF(DG48=0,(AY48-AZ48-BA48)*$AY$63,0)++IF(DH48=0,(BC48-BD48-BE48)*$BC$63,0)+IF(DI48=0,BG48,0)+IF(DJ48=0,(BJ48-BK48-BL48)*$BJ$63,0)+IF(DK48=0,(BN48-BO48-BP48)*$BN$63,0)+IF(DL48=0,(BR48-BS48-BT48)*$BR$63,0)+IF(DM48=0,(BV48-BW48-BX48)*$BV$63,0)+IF(DN48=0,(BZ48-CA48-CB48)*$BZ$63,0)+IF(DO48=0,(CD48-CE48-CF48)*$CD$63,0)+IF(DP48=0,(CH48-CI48-CJ48)*$CH$63,0)+IF(DQ48=0,(CL48-CM48-CN48)*$CL$63,0)+IF(DR48=0,(CP48-CQ48-CR48)*$CP$63,0)</f>
        <v>0</v>
      </c>
      <c r="DU48" s="334">
        <f>(D48-E48)*CU48+((G48-H48-(I48-J48))*G$63)*CV48+((K48-L48-(M48-N48))*K$63)*CW48+((O48-P48-(Q48-R48))*O$63)*CX48+((S48-T48-(U48-V48))*S$63)*CY48+((W48-X48-(Y48-Z48))*W$63)*CZ48+((AA48-AB48-(AC48-AD48))*AA$63)*DA48+((AE48-AF48-(AG48-AH48))*AE$63)*DB48+((AI48-AJ48-(AK48-AL48))*AI$63)*DC48+((AM48-AN48-(AO48-AP48))*$AM$63)*DD48+((AQ48-AR48-(AS48-AT48))*$AQ$63)*DE48+((AU48-AV48-(AW48-AX48))*$AU$63)*DF48+((AY48-AZ48-(BA48-BB48))*$AY$63)*DG48+((BC48-BD48-(BE48-BF48))*$BC$63)*DH48+((BJ48-BK48-(BL48-BM48))*$BJ$63)*DJ48+(BG48-BH48)*DI48+((BN48-BO48-(BP48-BQ48))*$BN$63)*DK48+((BR48-BS48-(BT48-BU48))*$BR$63)*DL48+((BV48-BW48-(BX48-BY48))*$BV$63)*DM48+((BZ48-CA48-(CB48-CC48))*$BZ$63)*DN48+((CD48-CE48-(CF48-CG48))*$CD$63)*DO48+((CH48-CI48-(CJ48-CK48))*$CH$63*DP48)+((CL48-CM48-(CN48-CO48))*$CL$63*DQ48)+((CP48-CQ48-(CR48-CS48))*$CP$63*DR48)</f>
        <v>0</v>
      </c>
    </row>
    <row r="49" spans="1:125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290"/>
      <c r="CI49" s="290">
        <v>0</v>
      </c>
      <c r="CJ49" s="290"/>
      <c r="CK49" s="290"/>
      <c r="CL49" s="290"/>
      <c r="CM49" s="290"/>
      <c r="CN49" s="290"/>
      <c r="CO49" s="290"/>
      <c r="CP49" s="290"/>
      <c r="CQ49" s="290"/>
      <c r="CR49" s="290"/>
      <c r="CS49" s="290"/>
      <c r="CT49" s="321">
        <f t="shared" si="92"/>
        <v>0</v>
      </c>
      <c r="CU49" s="385">
        <f t="shared" si="93"/>
        <v>0</v>
      </c>
      <c r="CV49" s="333">
        <f t="shared" si="94"/>
        <v>0.97899999999999998</v>
      </c>
      <c r="CW49" s="333">
        <f t="shared" si="95"/>
        <v>0.98</v>
      </c>
      <c r="CX49" s="333">
        <f t="shared" si="96"/>
        <v>0.98099999999999998</v>
      </c>
      <c r="CY49" s="333">
        <f t="shared" si="97"/>
        <v>0.98199999999999998</v>
      </c>
      <c r="CZ49" s="333">
        <f t="shared" si="98"/>
        <v>0.98299999999999998</v>
      </c>
      <c r="DA49" s="333">
        <f t="shared" si="99"/>
        <v>0.98399999999999999</v>
      </c>
      <c r="DB49" s="333">
        <f t="shared" si="100"/>
        <v>0.98499999999999999</v>
      </c>
      <c r="DC49" s="333">
        <f t="shared" si="101"/>
        <v>0.98599999999999999</v>
      </c>
      <c r="DD49" s="333">
        <f t="shared" si="102"/>
        <v>0.98699999999999999</v>
      </c>
      <c r="DE49" s="333">
        <f t="shared" si="103"/>
        <v>0.98799999999999999</v>
      </c>
      <c r="DF49" s="333">
        <f t="shared" si="104"/>
        <v>0.98899999999999999</v>
      </c>
      <c r="DG49" s="333">
        <f t="shared" si="105"/>
        <v>0.99</v>
      </c>
      <c r="DH49" s="333">
        <f t="shared" si="106"/>
        <v>0.99099999999999999</v>
      </c>
      <c r="DI49" s="333">
        <f t="shared" si="107"/>
        <v>0</v>
      </c>
      <c r="DJ49" s="333">
        <f t="shared" si="108"/>
        <v>0.99199999999999999</v>
      </c>
      <c r="DK49" s="333">
        <f t="shared" si="109"/>
        <v>0.99299999999999999</v>
      </c>
      <c r="DL49" s="333">
        <f t="shared" si="110"/>
        <v>0.99399999999999999</v>
      </c>
      <c r="DM49" s="333">
        <f t="shared" si="111"/>
        <v>0.995</v>
      </c>
      <c r="DN49" s="333">
        <f t="shared" si="112"/>
        <v>0.996</v>
      </c>
      <c r="DO49" s="333">
        <f t="shared" si="113"/>
        <v>0.997</v>
      </c>
      <c r="DP49" s="333">
        <f t="shared" si="114"/>
        <v>0.998</v>
      </c>
      <c r="DQ49" s="333">
        <f t="shared" si="115"/>
        <v>0.999</v>
      </c>
      <c r="DR49" s="333">
        <f t="shared" si="116"/>
        <v>1</v>
      </c>
      <c r="DS49" s="334">
        <f t="shared" ref="DS49:DS57" si="117">D49-E49+(G49-H49-I49)*G$63+(K49-L49-M49)*K$63+(O49-P49-Q49)*O$63+(S49-T49-U49)*S$63+(W49-X49-Y49)*W$63+(AA49-AB49-AC49)*AA$63+(AE49-AF49-AG49)*AE$63+(AI49-AJ49-AK49)*AI$63+(AM49-AN49-AO49)*AM$63+(AQ49-AR49-AS49)*$AQ$63+(AU49-AV49-AW49)*$AU$63+(AY49-AZ49-BA49)*$AY$63+(BC49-BD49-BE49)*$BC$63+BG49+(BJ49-BK49-BL49)*$BJ$63+(BN49-BO49-BP49)*$BN$63+(BR49-BS49-BT49)*$BR$63+(BV49-BW49-BX49)*$BV$63+(BZ49-CA49-CB49)*$BZ$63+(CD49-CE49-CF49)*$CD$63+(CH49-CI49-CJ49)*$CH$63+(CL49-CM49-CN49)*$CL$63+(CP49-CQ49-CR49)*$CP$63</f>
        <v>0</v>
      </c>
      <c r="DT49" s="334">
        <f t="shared" ref="DT49:DT57" si="118">IF(CU49=0,D49-E49,0)+IF(CV49=0,(G49-H49-I49)*G$63,0)+IF(CW49=0,(K49-L49-M49)*K$63,0)+IF(CX49=0,(O49-P49-Q49)*O$63,0)+IF(CY49=0,(S49-T49-U49)*S$63,0)+IF(CZ49=0,(W49-X49-Y49)*W$63,0)+IF(DA49=0,(AA49-AB49-AC49)*AA$63,0)+IF(DB49=0,(AE49-AF49-AG49)*AE$63,0)+IF(DC49=0,(AI49-AJ49-AK49)*AI$63,0)+IF(DD49=0,(AM49-AN49-AO49)*AM$63,0)+IF(DE49=0,(AQ49-AR49-AS49)*$AQ$63,0)+IF(DF49=0,(AU49-AV49-AW49)*$AU$63,0)+IF(DG49=0,(AY49-AZ49-BA49)*$AY$63,0)++IF(DH49=0,(BC49-BD49-BE49)*$BC$63,0)+IF(DI49=0,BG49,0)+IF(DJ49=0,(BJ49-BK49-BL49)*$BJ$63,0)+IF(DK49=0,(BN49-BO49-BP49)*$BN$63,0)+IF(DL49=0,(BR49-BS49-BT49)*$BR$63,0)+IF(DM49=0,(BV49-BW49-BX49)*$BV$63,0)+IF(DN49=0,(BZ49-CA49-CB49)*$BZ$63,0)+IF(DO49=0,(CD49-CE49-CF49)*$CD$63,0)+IF(DP49=0,(CH49-CI49-CJ49)*$CH$63,0)+IF(DQ49=0,(CL49-CM49-CN49)*$CL$63,0)+IF(DR49=0,(CP49-CQ49-CR49)*$CP$63,0)</f>
        <v>0</v>
      </c>
      <c r="DU49" s="334">
        <f t="shared" ref="DU49:DU57" si="119">(D49-E49)*CU49+((G49-H49-(I49-J49))*G$63)*CV49+((K49-L49-(M49-N49))*K$63)*CW49+((O49-P49-(Q49-R49))*O$63)*CX49+((S49-T49-(U49-V49))*S$63)*CY49+((W49-X49-(Y49-Z49))*W$63)*CZ49+((AA49-AB49-(AC49-AD49))*AA$63)*DA49+((AE49-AF49-(AG49-AH49))*AE$63)*DB49+((AI49-AJ49-(AK49-AL49))*AI$63)*DC49+((AM49-AN49-(AO49-AP49))*$AM$63)*DD49+((AQ49-AR49-(AS49-AT49))*$AQ$63)*DE49+((AU49-AV49-(AW49-AX49))*$AU$63)*DF49+((AY49-AZ49-(BA49-BB49))*$AY$63)*DG49+((BC49-BD49-(BE49-BF49))*$BC$63)*DH49+((BJ49-BK49-(BL49-BM49))*$BJ$63)*DJ49+(BG49-BH49)*DI49+((BN49-BO49-(BP49-BQ49))*$BN$63)*DK49+((BR49-BS49-(BT49-BU49))*$BR$63)*DL49+((BV49-BW49-(BX49-BY49))*$BV$63)*DM49+((BZ49-CA49-(CB49-CC49))*$BZ$63)*DN49+((CD49-CE49-(CF49-CG49))*$CD$63)*DO49+((CH49-CI49-(CJ49-CK49))*$CH$63*DP49)+((CL49-CM49-(CN49-CO49))*$CL$63*DQ49)+((CP49-CQ49-(CR49-CS49))*$CP$63*DR49)</f>
        <v>0</v>
      </c>
    </row>
    <row r="50" spans="1:125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>
        <v>0</v>
      </c>
      <c r="CJ50" s="290"/>
      <c r="CK50" s="290"/>
      <c r="CL50" s="290"/>
      <c r="CM50" s="290"/>
      <c r="CN50" s="290"/>
      <c r="CO50" s="290"/>
      <c r="CP50" s="290"/>
      <c r="CQ50" s="290"/>
      <c r="CR50" s="290"/>
      <c r="CS50" s="290"/>
      <c r="CT50" s="321">
        <f t="shared" si="92"/>
        <v>1991.8040336868928</v>
      </c>
      <c r="CU50" s="333">
        <f t="shared" si="93"/>
        <v>0.22010084217232018</v>
      </c>
      <c r="CV50" s="333">
        <f t="shared" si="94"/>
        <v>0.47499999999999998</v>
      </c>
      <c r="CW50" s="333">
        <f t="shared" si="95"/>
        <v>0.5</v>
      </c>
      <c r="CX50" s="333">
        <f t="shared" si="96"/>
        <v>0.52500000000000002</v>
      </c>
      <c r="CY50" s="333">
        <f t="shared" si="97"/>
        <v>0.55000000000000004</v>
      </c>
      <c r="CZ50" s="333">
        <f t="shared" si="98"/>
        <v>0.57499999999999996</v>
      </c>
      <c r="DA50" s="333">
        <f t="shared" si="99"/>
        <v>0.6</v>
      </c>
      <c r="DB50" s="333">
        <f t="shared" si="100"/>
        <v>0.625</v>
      </c>
      <c r="DC50" s="333">
        <f t="shared" si="101"/>
        <v>0.65</v>
      </c>
      <c r="DD50" s="333">
        <f t="shared" si="102"/>
        <v>0.67500000000000004</v>
      </c>
      <c r="DE50" s="333">
        <f t="shared" si="103"/>
        <v>0.7</v>
      </c>
      <c r="DF50" s="333">
        <f t="shared" si="104"/>
        <v>0.72499999999999998</v>
      </c>
      <c r="DG50" s="333">
        <f t="shared" si="105"/>
        <v>0.75</v>
      </c>
      <c r="DH50" s="333">
        <f t="shared" si="106"/>
        <v>0.77500000000000002</v>
      </c>
      <c r="DI50" s="333">
        <f t="shared" si="107"/>
        <v>0</v>
      </c>
      <c r="DJ50" s="333">
        <f t="shared" si="108"/>
        <v>0.8</v>
      </c>
      <c r="DK50" s="333">
        <f t="shared" si="109"/>
        <v>0.82499999999999996</v>
      </c>
      <c r="DL50" s="333">
        <f t="shared" si="110"/>
        <v>0.85</v>
      </c>
      <c r="DM50" s="333">
        <f t="shared" si="111"/>
        <v>0.875</v>
      </c>
      <c r="DN50" s="333">
        <f t="shared" si="112"/>
        <v>0.9</v>
      </c>
      <c r="DO50" s="333">
        <f t="shared" si="113"/>
        <v>0.92500000000000004</v>
      </c>
      <c r="DP50" s="333">
        <f t="shared" si="114"/>
        <v>0.95</v>
      </c>
      <c r="DQ50" s="333">
        <f t="shared" si="115"/>
        <v>0.97499999999999998</v>
      </c>
      <c r="DR50" s="333">
        <f t="shared" si="116"/>
        <v>1</v>
      </c>
      <c r="DS50" s="334">
        <f t="shared" si="117"/>
        <v>1094161.605459783</v>
      </c>
      <c r="DT50" s="334">
        <f t="shared" si="118"/>
        <v>0</v>
      </c>
      <c r="DU50" s="334">
        <f t="shared" si="119"/>
        <v>248017.91400618068</v>
      </c>
    </row>
    <row r="51" spans="1:125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290">
        <v>1450242.81</v>
      </c>
      <c r="CI51" s="290">
        <v>0</v>
      </c>
      <c r="CJ51" s="290"/>
      <c r="CK51" s="290"/>
      <c r="CL51" s="290">
        <v>1594362.43</v>
      </c>
      <c r="CM51" s="290"/>
      <c r="CN51" s="290"/>
      <c r="CO51" s="290"/>
      <c r="CP51" s="290">
        <v>1910708.95</v>
      </c>
      <c r="CQ51" s="290"/>
      <c r="CR51" s="290"/>
      <c r="CS51" s="290"/>
      <c r="CT51" s="321">
        <f t="shared" si="92"/>
        <v>1994.6431227317414</v>
      </c>
      <c r="CU51" s="333">
        <f t="shared" si="93"/>
        <v>0</v>
      </c>
      <c r="CV51" s="333">
        <f t="shared" si="94"/>
        <v>4.5454545454545414E-2</v>
      </c>
      <c r="CW51" s="333">
        <f t="shared" si="95"/>
        <v>9.0909090909090939E-2</v>
      </c>
      <c r="CX51" s="333">
        <f t="shared" si="96"/>
        <v>0.13636363636363635</v>
      </c>
      <c r="CY51" s="333">
        <f t="shared" si="97"/>
        <v>0.18181818181818177</v>
      </c>
      <c r="CZ51" s="333">
        <f t="shared" si="98"/>
        <v>0.22727272727272729</v>
      </c>
      <c r="DA51" s="333">
        <f t="shared" si="99"/>
        <v>0.27272727272727271</v>
      </c>
      <c r="DB51" s="333">
        <f t="shared" si="100"/>
        <v>0.31818181818181823</v>
      </c>
      <c r="DC51" s="333">
        <f t="shared" si="101"/>
        <v>0.36363636363636365</v>
      </c>
      <c r="DD51" s="333">
        <f t="shared" si="102"/>
        <v>0.40909090909090906</v>
      </c>
      <c r="DE51" s="333">
        <f t="shared" si="103"/>
        <v>0.45454545454545459</v>
      </c>
      <c r="DF51" s="333">
        <f t="shared" si="104"/>
        <v>0.5</v>
      </c>
      <c r="DG51" s="333">
        <f t="shared" si="105"/>
        <v>0.54545454545454541</v>
      </c>
      <c r="DH51" s="333">
        <f t="shared" si="106"/>
        <v>0.59090909090909083</v>
      </c>
      <c r="DI51" s="333">
        <f t="shared" si="107"/>
        <v>0.2664143568957591</v>
      </c>
      <c r="DJ51" s="333">
        <f t="shared" si="108"/>
        <v>0.63636363636363635</v>
      </c>
      <c r="DK51" s="333">
        <f t="shared" si="109"/>
        <v>0.68181818181818188</v>
      </c>
      <c r="DL51" s="333">
        <f t="shared" si="110"/>
        <v>0.72727272727272729</v>
      </c>
      <c r="DM51" s="333">
        <f t="shared" si="111"/>
        <v>0.77272727272727271</v>
      </c>
      <c r="DN51" s="333">
        <f t="shared" si="112"/>
        <v>0.81818181818181812</v>
      </c>
      <c r="DO51" s="333">
        <f t="shared" si="113"/>
        <v>0.86363636363636365</v>
      </c>
      <c r="DP51" s="333">
        <f t="shared" si="114"/>
        <v>0.90909090909090906</v>
      </c>
      <c r="DQ51" s="333">
        <f t="shared" si="115"/>
        <v>0.95454545454545459</v>
      </c>
      <c r="DR51" s="333">
        <f t="shared" si="116"/>
        <v>1</v>
      </c>
      <c r="DS51" s="334">
        <f t="shared" si="117"/>
        <v>19005143.629811004</v>
      </c>
      <c r="DT51" s="334">
        <f t="shared" si="118"/>
        <v>4570414.9220673665</v>
      </c>
      <c r="DU51" s="334">
        <f t="shared" si="119"/>
        <v>9698693.1723947488</v>
      </c>
    </row>
    <row r="52" spans="1:125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290">
        <v>0</v>
      </c>
      <c r="CI52" s="290">
        <v>0</v>
      </c>
      <c r="CJ52" s="290"/>
      <c r="CK52" s="290"/>
      <c r="CL52" s="290">
        <v>0</v>
      </c>
      <c r="CM52" s="290"/>
      <c r="CN52" s="290"/>
      <c r="CO52" s="290"/>
      <c r="CP52" s="290">
        <v>0</v>
      </c>
      <c r="CQ52" s="290"/>
      <c r="CR52" s="290"/>
      <c r="CS52" s="290"/>
      <c r="CT52" s="321">
        <f t="shared" si="92"/>
        <v>0</v>
      </c>
      <c r="CU52" s="333">
        <f t="shared" si="93"/>
        <v>0</v>
      </c>
      <c r="CV52" s="333">
        <f t="shared" si="94"/>
        <v>4.5454545454545414E-2</v>
      </c>
      <c r="CW52" s="333">
        <f t="shared" si="95"/>
        <v>9.0909090909090939E-2</v>
      </c>
      <c r="CX52" s="333">
        <f t="shared" si="96"/>
        <v>0.13636363636363635</v>
      </c>
      <c r="CY52" s="333">
        <f t="shared" si="97"/>
        <v>0.18181818181818177</v>
      </c>
      <c r="CZ52" s="333">
        <f t="shared" si="98"/>
        <v>0.22727272727272729</v>
      </c>
      <c r="DA52" s="333">
        <f t="shared" si="99"/>
        <v>0.27272727272727271</v>
      </c>
      <c r="DB52" s="333">
        <f t="shared" si="100"/>
        <v>0.31818181818181823</v>
      </c>
      <c r="DC52" s="333">
        <f t="shared" si="101"/>
        <v>0.36363636363636365</v>
      </c>
      <c r="DD52" s="333">
        <f t="shared" si="102"/>
        <v>0.40909090909090906</v>
      </c>
      <c r="DE52" s="333">
        <f t="shared" si="103"/>
        <v>0.45454545454545459</v>
      </c>
      <c r="DF52" s="333">
        <f t="shared" si="104"/>
        <v>0.5</v>
      </c>
      <c r="DG52" s="333">
        <f t="shared" si="105"/>
        <v>0.54545454545454541</v>
      </c>
      <c r="DH52" s="333">
        <f t="shared" si="106"/>
        <v>0.59090909090909083</v>
      </c>
      <c r="DI52" s="333">
        <f t="shared" si="107"/>
        <v>0</v>
      </c>
      <c r="DJ52" s="333">
        <f t="shared" si="108"/>
        <v>0.63636363636363635</v>
      </c>
      <c r="DK52" s="333">
        <f t="shared" si="109"/>
        <v>0.68181818181818188</v>
      </c>
      <c r="DL52" s="333">
        <f t="shared" si="110"/>
        <v>0.72727272727272729</v>
      </c>
      <c r="DM52" s="333">
        <f t="shared" si="111"/>
        <v>0.77272727272727271</v>
      </c>
      <c r="DN52" s="333">
        <f t="shared" si="112"/>
        <v>0.81818181818181812</v>
      </c>
      <c r="DO52" s="333">
        <f t="shared" si="113"/>
        <v>0.86363636363636365</v>
      </c>
      <c r="DP52" s="333">
        <f t="shared" si="114"/>
        <v>0.90909090909090906</v>
      </c>
      <c r="DQ52" s="333">
        <f t="shared" si="115"/>
        <v>0.95454545454545459</v>
      </c>
      <c r="DR52" s="333">
        <f t="shared" si="116"/>
        <v>1</v>
      </c>
      <c r="DS52" s="334">
        <f t="shared" si="117"/>
        <v>0</v>
      </c>
      <c r="DT52" s="334">
        <f t="shared" si="118"/>
        <v>0</v>
      </c>
      <c r="DU52" s="334">
        <f t="shared" si="119"/>
        <v>0</v>
      </c>
    </row>
    <row r="53" spans="1:125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290"/>
      <c r="CI53" s="290">
        <v>0</v>
      </c>
      <c r="CJ53" s="290"/>
      <c r="CK53" s="290"/>
      <c r="CL53" s="290"/>
      <c r="CM53" s="290"/>
      <c r="CN53" s="290"/>
      <c r="CO53" s="290"/>
      <c r="CP53" s="290"/>
      <c r="CQ53" s="290"/>
      <c r="CR53" s="290"/>
      <c r="CS53" s="290"/>
      <c r="CT53" s="321">
        <f t="shared" si="92"/>
        <v>2000.9353796694659</v>
      </c>
      <c r="CU53" s="333">
        <f t="shared" si="93"/>
        <v>0</v>
      </c>
      <c r="CV53" s="333">
        <f t="shared" si="94"/>
        <v>0</v>
      </c>
      <c r="CW53" s="333">
        <f t="shared" si="95"/>
        <v>0</v>
      </c>
      <c r="CX53" s="333">
        <f t="shared" si="96"/>
        <v>0</v>
      </c>
      <c r="CY53" s="333">
        <f t="shared" si="97"/>
        <v>0</v>
      </c>
      <c r="CZ53" s="333">
        <f t="shared" si="98"/>
        <v>0</v>
      </c>
      <c r="DA53" s="333">
        <f t="shared" si="99"/>
        <v>0</v>
      </c>
      <c r="DB53" s="333">
        <f t="shared" si="100"/>
        <v>0</v>
      </c>
      <c r="DC53" s="333">
        <f t="shared" si="101"/>
        <v>0</v>
      </c>
      <c r="DD53" s="333">
        <f t="shared" si="102"/>
        <v>0</v>
      </c>
      <c r="DE53" s="333">
        <f t="shared" si="103"/>
        <v>0</v>
      </c>
      <c r="DF53" s="333">
        <f t="shared" si="104"/>
        <v>0</v>
      </c>
      <c r="DG53" s="333">
        <f t="shared" si="105"/>
        <v>0</v>
      </c>
      <c r="DH53" s="333">
        <f t="shared" si="106"/>
        <v>0</v>
      </c>
      <c r="DI53" s="333">
        <f t="shared" si="107"/>
        <v>0</v>
      </c>
      <c r="DJ53" s="333">
        <f t="shared" si="108"/>
        <v>0</v>
      </c>
      <c r="DK53" s="333">
        <f t="shared" si="109"/>
        <v>0</v>
      </c>
      <c r="DL53" s="333">
        <f t="shared" si="110"/>
        <v>0.1428571428571429</v>
      </c>
      <c r="DM53" s="333">
        <f t="shared" si="111"/>
        <v>0.2857142857142857</v>
      </c>
      <c r="DN53" s="333">
        <f t="shared" si="112"/>
        <v>0.4285714285714286</v>
      </c>
      <c r="DO53" s="333">
        <f t="shared" si="113"/>
        <v>0.5714285714285714</v>
      </c>
      <c r="DP53" s="333">
        <f t="shared" si="114"/>
        <v>0.7142857142857143</v>
      </c>
      <c r="DQ53" s="333">
        <f t="shared" si="115"/>
        <v>0.85714285714285721</v>
      </c>
      <c r="DR53" s="333">
        <f t="shared" si="116"/>
        <v>1</v>
      </c>
      <c r="DS53" s="334">
        <f t="shared" si="117"/>
        <v>14383.151123919413</v>
      </c>
      <c r="DT53" s="334">
        <f t="shared" si="118"/>
        <v>14383.151123919413</v>
      </c>
      <c r="DU53" s="334">
        <f t="shared" si="119"/>
        <v>0</v>
      </c>
    </row>
    <row r="54" spans="1:125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>
        <v>0</v>
      </c>
      <c r="CJ54" s="290"/>
      <c r="CK54" s="290"/>
      <c r="CL54" s="290"/>
      <c r="CM54" s="290"/>
      <c r="CN54" s="290"/>
      <c r="CO54" s="290"/>
      <c r="CP54" s="290"/>
      <c r="CQ54" s="290"/>
      <c r="CR54" s="290"/>
      <c r="CS54" s="290"/>
      <c r="CT54" s="321">
        <f t="shared" si="92"/>
        <v>0</v>
      </c>
      <c r="CU54" s="333">
        <f t="shared" si="93"/>
        <v>0</v>
      </c>
      <c r="CV54" s="333">
        <f t="shared" si="94"/>
        <v>0</v>
      </c>
      <c r="CW54" s="333">
        <f t="shared" si="95"/>
        <v>0</v>
      </c>
      <c r="CX54" s="333">
        <f t="shared" si="96"/>
        <v>0</v>
      </c>
      <c r="CY54" s="333">
        <f t="shared" si="97"/>
        <v>0</v>
      </c>
      <c r="CZ54" s="333">
        <f t="shared" si="98"/>
        <v>0</v>
      </c>
      <c r="DA54" s="333">
        <f t="shared" si="99"/>
        <v>0</v>
      </c>
      <c r="DB54" s="333">
        <f t="shared" si="100"/>
        <v>0</v>
      </c>
      <c r="DC54" s="333">
        <f t="shared" si="101"/>
        <v>0</v>
      </c>
      <c r="DD54" s="333">
        <f t="shared" si="102"/>
        <v>0</v>
      </c>
      <c r="DE54" s="333">
        <f t="shared" si="103"/>
        <v>0</v>
      </c>
      <c r="DF54" s="333">
        <f t="shared" si="104"/>
        <v>0</v>
      </c>
      <c r="DG54" s="333">
        <f t="shared" si="105"/>
        <v>0</v>
      </c>
      <c r="DH54" s="333">
        <f t="shared" si="106"/>
        <v>0</v>
      </c>
      <c r="DI54" s="333">
        <f t="shared" si="107"/>
        <v>0</v>
      </c>
      <c r="DJ54" s="333">
        <f t="shared" si="108"/>
        <v>0</v>
      </c>
      <c r="DK54" s="333">
        <f t="shared" si="109"/>
        <v>0</v>
      </c>
      <c r="DL54" s="333">
        <f t="shared" si="110"/>
        <v>0</v>
      </c>
      <c r="DM54" s="333">
        <f t="shared" si="111"/>
        <v>0</v>
      </c>
      <c r="DN54" s="333">
        <f t="shared" si="112"/>
        <v>0</v>
      </c>
      <c r="DO54" s="333">
        <f t="shared" si="113"/>
        <v>0.25</v>
      </c>
      <c r="DP54" s="333">
        <f t="shared" si="114"/>
        <v>0.5</v>
      </c>
      <c r="DQ54" s="333">
        <f t="shared" si="115"/>
        <v>0.75</v>
      </c>
      <c r="DR54" s="333">
        <f t="shared" si="116"/>
        <v>1</v>
      </c>
      <c r="DS54" s="334">
        <f t="shared" si="117"/>
        <v>0</v>
      </c>
      <c r="DT54" s="334">
        <f t="shared" si="118"/>
        <v>0</v>
      </c>
      <c r="DU54" s="334">
        <f t="shared" si="119"/>
        <v>0</v>
      </c>
    </row>
    <row r="55" spans="1:125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>
        <v>0</v>
      </c>
      <c r="CJ55" s="290"/>
      <c r="CK55" s="290"/>
      <c r="CL55" s="290"/>
      <c r="CM55" s="290"/>
      <c r="CN55" s="290"/>
      <c r="CO55" s="290"/>
      <c r="CP55" s="290"/>
      <c r="CQ55" s="290"/>
      <c r="CR55" s="290"/>
      <c r="CS55" s="290"/>
      <c r="CT55" s="321">
        <f t="shared" si="92"/>
        <v>0</v>
      </c>
      <c r="CU55" s="333">
        <f t="shared" si="93"/>
        <v>0</v>
      </c>
      <c r="CV55" s="333">
        <f t="shared" si="94"/>
        <v>0</v>
      </c>
      <c r="CW55" s="333">
        <f t="shared" si="95"/>
        <v>0</v>
      </c>
      <c r="CX55" s="333">
        <f t="shared" si="96"/>
        <v>0</v>
      </c>
      <c r="CY55" s="333">
        <f t="shared" si="97"/>
        <v>0</v>
      </c>
      <c r="CZ55" s="333">
        <f t="shared" si="98"/>
        <v>0</v>
      </c>
      <c r="DA55" s="333">
        <f t="shared" si="99"/>
        <v>0</v>
      </c>
      <c r="DB55" s="333">
        <f t="shared" si="100"/>
        <v>0</v>
      </c>
      <c r="DC55" s="333">
        <f t="shared" si="101"/>
        <v>0</v>
      </c>
      <c r="DD55" s="333">
        <f t="shared" si="102"/>
        <v>0</v>
      </c>
      <c r="DE55" s="333">
        <f t="shared" si="103"/>
        <v>0</v>
      </c>
      <c r="DF55" s="333">
        <f t="shared" si="104"/>
        <v>0</v>
      </c>
      <c r="DG55" s="333">
        <f t="shared" si="105"/>
        <v>0</v>
      </c>
      <c r="DH55" s="333">
        <f t="shared" si="106"/>
        <v>0</v>
      </c>
      <c r="DI55" s="333">
        <f t="shared" si="107"/>
        <v>0</v>
      </c>
      <c r="DJ55" s="333">
        <f t="shared" si="108"/>
        <v>0</v>
      </c>
      <c r="DK55" s="333">
        <f t="shared" si="109"/>
        <v>0</v>
      </c>
      <c r="DL55" s="333">
        <f t="shared" si="110"/>
        <v>0</v>
      </c>
      <c r="DM55" s="333">
        <f t="shared" si="111"/>
        <v>0</v>
      </c>
      <c r="DN55" s="333">
        <f t="shared" si="112"/>
        <v>0.19999999999999996</v>
      </c>
      <c r="DO55" s="333">
        <f t="shared" si="113"/>
        <v>0.4</v>
      </c>
      <c r="DP55" s="333">
        <f t="shared" si="114"/>
        <v>0.6</v>
      </c>
      <c r="DQ55" s="333">
        <f t="shared" si="115"/>
        <v>0.8</v>
      </c>
      <c r="DR55" s="333">
        <f t="shared" si="116"/>
        <v>1</v>
      </c>
      <c r="DS55" s="334">
        <f t="shared" si="117"/>
        <v>0</v>
      </c>
      <c r="DT55" s="334">
        <f t="shared" si="118"/>
        <v>0</v>
      </c>
      <c r="DU55" s="334">
        <f t="shared" si="119"/>
        <v>0</v>
      </c>
    </row>
    <row r="56" spans="1:125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290"/>
      <c r="CI56" s="290">
        <v>0</v>
      </c>
      <c r="CJ56" s="290"/>
      <c r="CK56" s="290"/>
      <c r="CL56" s="290"/>
      <c r="CM56" s="290"/>
      <c r="CN56" s="290"/>
      <c r="CO56" s="290"/>
      <c r="CP56" s="290"/>
      <c r="CQ56" s="290"/>
      <c r="CR56" s="290"/>
      <c r="CS56" s="290"/>
      <c r="CT56" s="321">
        <f t="shared" si="92"/>
        <v>0</v>
      </c>
      <c r="CU56" s="333">
        <f t="shared" si="93"/>
        <v>0</v>
      </c>
      <c r="CV56" s="333">
        <f t="shared" si="94"/>
        <v>0</v>
      </c>
      <c r="CW56" s="333">
        <f t="shared" si="95"/>
        <v>0</v>
      </c>
      <c r="CX56" s="333">
        <f t="shared" si="96"/>
        <v>0</v>
      </c>
      <c r="CY56" s="333">
        <f t="shared" si="97"/>
        <v>0</v>
      </c>
      <c r="CZ56" s="333">
        <f t="shared" si="98"/>
        <v>0</v>
      </c>
      <c r="DA56" s="333">
        <f t="shared" si="99"/>
        <v>0</v>
      </c>
      <c r="DB56" s="333">
        <f t="shared" si="100"/>
        <v>0</v>
      </c>
      <c r="DC56" s="333">
        <f t="shared" si="101"/>
        <v>0</v>
      </c>
      <c r="DD56" s="333">
        <f t="shared" si="102"/>
        <v>0</v>
      </c>
      <c r="DE56" s="333">
        <f t="shared" si="103"/>
        <v>0</v>
      </c>
      <c r="DF56" s="333">
        <f t="shared" si="104"/>
        <v>0</v>
      </c>
      <c r="DG56" s="333">
        <f t="shared" si="105"/>
        <v>0</v>
      </c>
      <c r="DH56" s="333">
        <f t="shared" si="106"/>
        <v>0</v>
      </c>
      <c r="DI56" s="333">
        <f t="shared" si="107"/>
        <v>0</v>
      </c>
      <c r="DJ56" s="333">
        <f t="shared" si="108"/>
        <v>0</v>
      </c>
      <c r="DK56" s="333">
        <f t="shared" si="109"/>
        <v>0.125</v>
      </c>
      <c r="DL56" s="333">
        <f t="shared" si="110"/>
        <v>0.25</v>
      </c>
      <c r="DM56" s="333">
        <f t="shared" si="111"/>
        <v>0.375</v>
      </c>
      <c r="DN56" s="333">
        <f t="shared" si="112"/>
        <v>0.5</v>
      </c>
      <c r="DO56" s="333">
        <f t="shared" si="113"/>
        <v>0.625</v>
      </c>
      <c r="DP56" s="333">
        <f t="shared" si="114"/>
        <v>0.75</v>
      </c>
      <c r="DQ56" s="333">
        <f t="shared" si="115"/>
        <v>0.875</v>
      </c>
      <c r="DR56" s="333">
        <f t="shared" si="116"/>
        <v>1</v>
      </c>
      <c r="DS56" s="334">
        <f t="shared" si="117"/>
        <v>0</v>
      </c>
      <c r="DT56" s="334">
        <f t="shared" si="118"/>
        <v>0</v>
      </c>
      <c r="DU56" s="334">
        <f t="shared" si="119"/>
        <v>0</v>
      </c>
    </row>
    <row r="57" spans="1:125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291">
        <v>106264</v>
      </c>
      <c r="CI57" s="290">
        <v>0</v>
      </c>
      <c r="CJ57" s="291"/>
      <c r="CK57" s="291"/>
      <c r="CL57" s="291">
        <v>9925.51</v>
      </c>
      <c r="CM57" s="290"/>
      <c r="CN57" s="291"/>
      <c r="CO57" s="291"/>
      <c r="CP57" s="291">
        <v>0</v>
      </c>
      <c r="CQ57" s="290"/>
      <c r="CR57" s="291"/>
      <c r="CS57" s="291"/>
      <c r="CT57" s="321">
        <f t="shared" si="92"/>
        <v>0</v>
      </c>
      <c r="CU57" s="348">
        <f t="shared" si="93"/>
        <v>0</v>
      </c>
      <c r="CV57" s="333">
        <f t="shared" si="94"/>
        <v>0</v>
      </c>
      <c r="CW57" s="333">
        <f t="shared" si="95"/>
        <v>0</v>
      </c>
      <c r="CX57" s="333">
        <f t="shared" si="96"/>
        <v>0</v>
      </c>
      <c r="CY57" s="333">
        <f t="shared" si="97"/>
        <v>0</v>
      </c>
      <c r="CZ57" s="333">
        <f t="shared" si="98"/>
        <v>0</v>
      </c>
      <c r="DA57" s="333">
        <f t="shared" si="99"/>
        <v>5.8823529411764719E-2</v>
      </c>
      <c r="DB57" s="333">
        <f t="shared" si="100"/>
        <v>0.11764705882352944</v>
      </c>
      <c r="DC57" s="333">
        <f t="shared" si="101"/>
        <v>0.17647058823529416</v>
      </c>
      <c r="DD57" s="333">
        <f t="shared" si="102"/>
        <v>0.23529411764705888</v>
      </c>
      <c r="DE57" s="333">
        <f t="shared" si="103"/>
        <v>0.29411764705882348</v>
      </c>
      <c r="DF57" s="333">
        <f t="shared" si="104"/>
        <v>0.3529411764705882</v>
      </c>
      <c r="DG57" s="333">
        <f t="shared" si="105"/>
        <v>0.41176470588235292</v>
      </c>
      <c r="DH57" s="333">
        <f t="shared" si="106"/>
        <v>0.47058823529411764</v>
      </c>
      <c r="DI57" s="333">
        <f t="shared" si="107"/>
        <v>0</v>
      </c>
      <c r="DJ57" s="333">
        <f t="shared" si="108"/>
        <v>0.52941176470588236</v>
      </c>
      <c r="DK57" s="333">
        <f t="shared" si="109"/>
        <v>0.58823529411764708</v>
      </c>
      <c r="DL57" s="333">
        <f t="shared" si="110"/>
        <v>0.64705882352941169</v>
      </c>
      <c r="DM57" s="333">
        <f t="shared" si="111"/>
        <v>0.70588235294117641</v>
      </c>
      <c r="DN57" s="333">
        <f t="shared" si="112"/>
        <v>0.76470588235294112</v>
      </c>
      <c r="DO57" s="333">
        <f t="shared" si="113"/>
        <v>0.82352941176470584</v>
      </c>
      <c r="DP57" s="333">
        <f t="shared" si="114"/>
        <v>0.88235294117647056</v>
      </c>
      <c r="DQ57" s="333">
        <f t="shared" si="115"/>
        <v>0.94117647058823528</v>
      </c>
      <c r="DR57" s="333">
        <f t="shared" si="116"/>
        <v>1</v>
      </c>
      <c r="DS57" s="334">
        <f t="shared" si="117"/>
        <v>104570.55899999999</v>
      </c>
      <c r="DT57" s="334">
        <f t="shared" si="118"/>
        <v>0</v>
      </c>
      <c r="DU57" s="334">
        <f t="shared" si="119"/>
        <v>92793.608470588224</v>
      </c>
    </row>
    <row r="58" spans="1:125" s="1" customFormat="1" ht="12.75" customHeight="1" thickBot="1" x14ac:dyDescent="0.35">
      <c r="A58" s="576"/>
      <c r="B58" s="304" t="s">
        <v>42</v>
      </c>
      <c r="C58" s="302"/>
      <c r="D58" s="305">
        <f t="shared" ref="D58:BO58" si="120">SUM(D48:D57)</f>
        <v>5660028.2779788757</v>
      </c>
      <c r="E58" s="305">
        <f t="shared" si="120"/>
        <v>0</v>
      </c>
      <c r="F58" s="305">
        <f t="shared" si="120"/>
        <v>4092084.3124159449</v>
      </c>
      <c r="G58" s="305">
        <f t="shared" si="120"/>
        <v>385845.48</v>
      </c>
      <c r="H58" s="305">
        <f t="shared" si="120"/>
        <v>0</v>
      </c>
      <c r="I58" s="305">
        <f t="shared" si="120"/>
        <v>0</v>
      </c>
      <c r="J58" s="305">
        <f t="shared" si="120"/>
        <v>0</v>
      </c>
      <c r="K58" s="305">
        <f t="shared" si="120"/>
        <v>452747.86</v>
      </c>
      <c r="L58" s="305">
        <f t="shared" si="120"/>
        <v>0</v>
      </c>
      <c r="M58" s="305">
        <f t="shared" si="120"/>
        <v>0</v>
      </c>
      <c r="N58" s="305">
        <f t="shared" si="120"/>
        <v>0</v>
      </c>
      <c r="O58" s="305">
        <f t="shared" si="120"/>
        <v>370817.32</v>
      </c>
      <c r="P58" s="305">
        <f t="shared" si="120"/>
        <v>0</v>
      </c>
      <c r="Q58" s="305">
        <f t="shared" si="120"/>
        <v>0</v>
      </c>
      <c r="R58" s="305">
        <f t="shared" si="120"/>
        <v>0</v>
      </c>
      <c r="S58" s="305">
        <f t="shared" si="120"/>
        <v>396757.73</v>
      </c>
      <c r="T58" s="305">
        <f t="shared" si="120"/>
        <v>0</v>
      </c>
      <c r="U58" s="305">
        <f t="shared" si="120"/>
        <v>0</v>
      </c>
      <c r="V58" s="305">
        <f t="shared" si="120"/>
        <v>0</v>
      </c>
      <c r="W58" s="305">
        <f t="shared" si="120"/>
        <v>291785.66999999993</v>
      </c>
      <c r="X58" s="305">
        <f t="shared" si="120"/>
        <v>0</v>
      </c>
      <c r="Y58" s="305">
        <f t="shared" si="120"/>
        <v>0</v>
      </c>
      <c r="Z58" s="305">
        <f t="shared" si="120"/>
        <v>0</v>
      </c>
      <c r="AA58" s="305">
        <f t="shared" si="120"/>
        <v>471133.24000000005</v>
      </c>
      <c r="AB58" s="305">
        <f t="shared" si="120"/>
        <v>0</v>
      </c>
      <c r="AC58" s="305">
        <f t="shared" si="120"/>
        <v>0</v>
      </c>
      <c r="AD58" s="305">
        <f t="shared" si="120"/>
        <v>0</v>
      </c>
      <c r="AE58" s="305">
        <f t="shared" si="120"/>
        <v>641039</v>
      </c>
      <c r="AF58" s="305">
        <f t="shared" si="120"/>
        <v>0</v>
      </c>
      <c r="AG58" s="305">
        <f t="shared" si="120"/>
        <v>0</v>
      </c>
      <c r="AH58" s="305">
        <f t="shared" si="120"/>
        <v>0</v>
      </c>
      <c r="AI58" s="305">
        <f t="shared" si="120"/>
        <v>528906.63000000012</v>
      </c>
      <c r="AJ58" s="305">
        <f t="shared" si="120"/>
        <v>0</v>
      </c>
      <c r="AK58" s="305">
        <f t="shared" si="120"/>
        <v>0</v>
      </c>
      <c r="AL58" s="305">
        <f t="shared" si="120"/>
        <v>0</v>
      </c>
      <c r="AM58" s="305">
        <f t="shared" si="120"/>
        <v>421950.02999999991</v>
      </c>
      <c r="AN58" s="305">
        <f t="shared" si="120"/>
        <v>0</v>
      </c>
      <c r="AO58" s="305">
        <f t="shared" si="120"/>
        <v>0</v>
      </c>
      <c r="AP58" s="305">
        <f t="shared" si="120"/>
        <v>0</v>
      </c>
      <c r="AQ58" s="305">
        <f t="shared" si="120"/>
        <v>401723.83</v>
      </c>
      <c r="AR58" s="305">
        <f t="shared" si="120"/>
        <v>0</v>
      </c>
      <c r="AS58" s="305">
        <f t="shared" si="120"/>
        <v>0</v>
      </c>
      <c r="AT58" s="305">
        <f t="shared" si="120"/>
        <v>0</v>
      </c>
      <c r="AU58" s="305">
        <f t="shared" si="120"/>
        <v>401731.13</v>
      </c>
      <c r="AV58" s="305">
        <f t="shared" si="120"/>
        <v>0</v>
      </c>
      <c r="AW58" s="305">
        <f t="shared" si="120"/>
        <v>0</v>
      </c>
      <c r="AX58" s="305">
        <f t="shared" si="120"/>
        <v>0</v>
      </c>
      <c r="AY58" s="305">
        <f t="shared" si="120"/>
        <v>555885.05319699994</v>
      </c>
      <c r="AZ58" s="305">
        <f t="shared" si="120"/>
        <v>0</v>
      </c>
      <c r="BA58" s="305">
        <f t="shared" si="120"/>
        <v>0</v>
      </c>
      <c r="BB58" s="305">
        <f t="shared" si="120"/>
        <v>0</v>
      </c>
      <c r="BC58" s="305">
        <f t="shared" si="120"/>
        <v>660890.24999999988</v>
      </c>
      <c r="BD58" s="305">
        <f t="shared" si="120"/>
        <v>0</v>
      </c>
      <c r="BE58" s="305">
        <f t="shared" si="120"/>
        <v>0</v>
      </c>
      <c r="BF58" s="305">
        <f t="shared" si="120"/>
        <v>0</v>
      </c>
      <c r="BG58" s="305">
        <f t="shared" si="120"/>
        <v>265555</v>
      </c>
      <c r="BH58" s="305">
        <f t="shared" si="120"/>
        <v>265555</v>
      </c>
      <c r="BI58" s="305">
        <f t="shared" si="120"/>
        <v>173348.46</v>
      </c>
      <c r="BJ58" s="305">
        <f t="shared" si="120"/>
        <v>682413</v>
      </c>
      <c r="BK58" s="305">
        <f t="shared" si="120"/>
        <v>0</v>
      </c>
      <c r="BL58" s="305">
        <f t="shared" si="120"/>
        <v>0</v>
      </c>
      <c r="BM58" s="305">
        <f t="shared" si="120"/>
        <v>0</v>
      </c>
      <c r="BN58" s="305">
        <f t="shared" si="120"/>
        <v>805417.89999999991</v>
      </c>
      <c r="BO58" s="305">
        <f t="shared" si="120"/>
        <v>0</v>
      </c>
      <c r="BP58" s="305">
        <f t="shared" ref="BP58:CK58" si="121">SUM(BP48:BP57)</f>
        <v>0</v>
      </c>
      <c r="BQ58" s="305">
        <f t="shared" si="121"/>
        <v>0</v>
      </c>
      <c r="BR58" s="305">
        <f t="shared" si="121"/>
        <v>811234.00000000012</v>
      </c>
      <c r="BS58" s="305">
        <f t="shared" si="121"/>
        <v>0</v>
      </c>
      <c r="BT58" s="305">
        <f t="shared" si="121"/>
        <v>0</v>
      </c>
      <c r="BU58" s="305">
        <f t="shared" si="121"/>
        <v>0</v>
      </c>
      <c r="BV58" s="305">
        <f t="shared" si="121"/>
        <v>994683.03999999969</v>
      </c>
      <c r="BW58" s="305">
        <f t="shared" si="121"/>
        <v>0</v>
      </c>
      <c r="BX58" s="305">
        <f t="shared" si="121"/>
        <v>0</v>
      </c>
      <c r="BY58" s="305">
        <f t="shared" si="121"/>
        <v>0</v>
      </c>
      <c r="BZ58" s="305">
        <f t="shared" si="121"/>
        <v>1009193.6200000001</v>
      </c>
      <c r="CA58" s="305">
        <f t="shared" si="121"/>
        <v>0</v>
      </c>
      <c r="CB58" s="305">
        <f t="shared" si="121"/>
        <v>0</v>
      </c>
      <c r="CC58" s="305">
        <f t="shared" si="121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5">
        <f t="shared" si="121"/>
        <v>1556506.81</v>
      </c>
      <c r="CI58" s="305">
        <f t="shared" si="121"/>
        <v>0</v>
      </c>
      <c r="CJ58" s="305">
        <f t="shared" si="121"/>
        <v>0</v>
      </c>
      <c r="CK58" s="305">
        <f t="shared" si="121"/>
        <v>0</v>
      </c>
      <c r="CL58" s="305">
        <f t="shared" ref="CL58:CS58" si="122">SUM(CL48:CL57)</f>
        <v>1604287.94</v>
      </c>
      <c r="CM58" s="305">
        <f t="shared" si="122"/>
        <v>0</v>
      </c>
      <c r="CN58" s="305">
        <f t="shared" si="122"/>
        <v>0</v>
      </c>
      <c r="CO58" s="305">
        <f t="shared" si="122"/>
        <v>0</v>
      </c>
      <c r="CP58" s="305">
        <f t="shared" si="122"/>
        <v>1910708.95</v>
      </c>
      <c r="CQ58" s="305">
        <f t="shared" si="122"/>
        <v>0</v>
      </c>
      <c r="CR58" s="305">
        <f t="shared" si="122"/>
        <v>0</v>
      </c>
      <c r="CS58" s="305">
        <f t="shared" si="122"/>
        <v>0</v>
      </c>
      <c r="CT58" s="306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7"/>
      <c r="DO58" s="307"/>
      <c r="DP58" s="307"/>
      <c r="DQ58" s="307"/>
      <c r="DR58" s="307"/>
      <c r="DS58" s="308">
        <f>SUM(DS48:DS57)</f>
        <v>20218258.945394706</v>
      </c>
      <c r="DT58" s="308">
        <f>SUM(DT48:DT57)</f>
        <v>4584798.0731912861</v>
      </c>
      <c r="DU58" s="308">
        <f>SUM(DU48:DU57)</f>
        <v>10039504.694871519</v>
      </c>
    </row>
    <row r="59" spans="1:125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23">E58+E47+E13+E45</f>
        <v>0</v>
      </c>
      <c r="F59" s="311">
        <f t="shared" si="123"/>
        <v>45909466.481640995</v>
      </c>
      <c r="G59" s="311">
        <f t="shared" si="123"/>
        <v>2297920.7887920002</v>
      </c>
      <c r="H59" s="311">
        <f t="shared" si="123"/>
        <v>0</v>
      </c>
      <c r="I59" s="311">
        <f t="shared" si="123"/>
        <v>0</v>
      </c>
      <c r="J59" s="311">
        <f t="shared" si="123"/>
        <v>0</v>
      </c>
      <c r="K59" s="311">
        <f t="shared" si="123"/>
        <v>3705380.7350740554</v>
      </c>
      <c r="L59" s="311">
        <f t="shared" si="123"/>
        <v>315949</v>
      </c>
      <c r="M59" s="311">
        <f t="shared" si="123"/>
        <v>0</v>
      </c>
      <c r="N59" s="311">
        <f t="shared" si="123"/>
        <v>0</v>
      </c>
      <c r="O59" s="311">
        <f t="shared" si="123"/>
        <v>3354159.6110610003</v>
      </c>
      <c r="P59" s="311">
        <f t="shared" si="123"/>
        <v>0</v>
      </c>
      <c r="Q59" s="311">
        <f t="shared" si="123"/>
        <v>0</v>
      </c>
      <c r="R59" s="311">
        <f t="shared" si="123"/>
        <v>0</v>
      </c>
      <c r="S59" s="311">
        <f t="shared" si="123"/>
        <v>3518386.36</v>
      </c>
      <c r="T59" s="311">
        <f t="shared" si="123"/>
        <v>0</v>
      </c>
      <c r="U59" s="311">
        <f t="shared" si="123"/>
        <v>0</v>
      </c>
      <c r="V59" s="311">
        <f t="shared" si="123"/>
        <v>0</v>
      </c>
      <c r="W59" s="311">
        <f t="shared" si="123"/>
        <v>3815993.5700000003</v>
      </c>
      <c r="X59" s="311">
        <f t="shared" si="123"/>
        <v>0</v>
      </c>
      <c r="Y59" s="311">
        <f t="shared" si="123"/>
        <v>0</v>
      </c>
      <c r="Z59" s="311">
        <f t="shared" si="123"/>
        <v>0</v>
      </c>
      <c r="AA59" s="311">
        <f t="shared" si="123"/>
        <v>5590315.4300000006</v>
      </c>
      <c r="AB59" s="311">
        <f t="shared" si="123"/>
        <v>556386.07000000007</v>
      </c>
      <c r="AC59" s="311">
        <f t="shared" si="123"/>
        <v>0</v>
      </c>
      <c r="AD59" s="311">
        <f t="shared" si="123"/>
        <v>0</v>
      </c>
      <c r="AE59" s="311">
        <f t="shared" si="123"/>
        <v>6630069.3099999996</v>
      </c>
      <c r="AF59" s="311">
        <f t="shared" si="123"/>
        <v>0</v>
      </c>
      <c r="AG59" s="311">
        <f t="shared" si="123"/>
        <v>0</v>
      </c>
      <c r="AH59" s="311">
        <f t="shared" si="123"/>
        <v>0</v>
      </c>
      <c r="AI59" s="311">
        <f t="shared" si="123"/>
        <v>8798937.4638769962</v>
      </c>
      <c r="AJ59" s="311">
        <f t="shared" si="123"/>
        <v>0</v>
      </c>
      <c r="AK59" s="311">
        <f t="shared" si="123"/>
        <v>0</v>
      </c>
      <c r="AL59" s="311">
        <f t="shared" si="123"/>
        <v>0</v>
      </c>
      <c r="AM59" s="311">
        <f t="shared" si="123"/>
        <v>6243081.9319999982</v>
      </c>
      <c r="AN59" s="311">
        <f t="shared" si="123"/>
        <v>0</v>
      </c>
      <c r="AO59" s="311">
        <f t="shared" si="123"/>
        <v>0</v>
      </c>
      <c r="AP59" s="311">
        <f t="shared" si="123"/>
        <v>0</v>
      </c>
      <c r="AQ59" s="311">
        <f t="shared" si="123"/>
        <v>7546107.3088913755</v>
      </c>
      <c r="AR59" s="311">
        <f t="shared" si="123"/>
        <v>0</v>
      </c>
      <c r="AS59" s="311">
        <f t="shared" si="123"/>
        <v>0</v>
      </c>
      <c r="AT59" s="311">
        <f t="shared" si="123"/>
        <v>0</v>
      </c>
      <c r="AU59" s="311">
        <f t="shared" si="123"/>
        <v>5992535.4899999965</v>
      </c>
      <c r="AV59" s="311">
        <f t="shared" si="123"/>
        <v>0</v>
      </c>
      <c r="AW59" s="311">
        <f t="shared" si="123"/>
        <v>0</v>
      </c>
      <c r="AX59" s="311">
        <f t="shared" si="123"/>
        <v>0</v>
      </c>
      <c r="AY59" s="311">
        <f t="shared" si="123"/>
        <v>9964863.5911969952</v>
      </c>
      <c r="AZ59" s="311">
        <f t="shared" si="123"/>
        <v>0</v>
      </c>
      <c r="BA59" s="311">
        <f t="shared" si="123"/>
        <v>0</v>
      </c>
      <c r="BB59" s="311">
        <f t="shared" si="123"/>
        <v>0</v>
      </c>
      <c r="BC59" s="311">
        <f t="shared" si="123"/>
        <v>11143773.309999999</v>
      </c>
      <c r="BD59" s="311">
        <f t="shared" si="123"/>
        <v>0</v>
      </c>
      <c r="BE59" s="311">
        <f t="shared" si="123"/>
        <v>0</v>
      </c>
      <c r="BF59" s="311">
        <f t="shared" si="123"/>
        <v>0</v>
      </c>
      <c r="BG59" s="311">
        <f t="shared" si="123"/>
        <v>8136602.2479580687</v>
      </c>
      <c r="BH59" s="311">
        <f t="shared" si="123"/>
        <v>6029079.5579580693</v>
      </c>
      <c r="BI59" s="311">
        <f t="shared" si="123"/>
        <v>6021259.6799999988</v>
      </c>
      <c r="BJ59" s="311">
        <f t="shared" si="123"/>
        <v>12605720.150000002</v>
      </c>
      <c r="BK59" s="311">
        <f t="shared" si="123"/>
        <v>0</v>
      </c>
      <c r="BL59" s="311">
        <f t="shared" si="123"/>
        <v>0</v>
      </c>
      <c r="BM59" s="311">
        <f t="shared" si="123"/>
        <v>0</v>
      </c>
      <c r="BN59" s="311">
        <f t="shared" si="123"/>
        <v>25963295.499999996</v>
      </c>
      <c r="BO59" s="311">
        <f t="shared" si="123"/>
        <v>0</v>
      </c>
      <c r="BP59" s="311">
        <f t="shared" si="123"/>
        <v>0</v>
      </c>
      <c r="BQ59" s="311">
        <f t="shared" ref="BQ59:CK59" si="124">BQ58+BQ47+BQ13+BQ45</f>
        <v>0</v>
      </c>
      <c r="BR59" s="311">
        <f t="shared" si="124"/>
        <v>19553374.009999998</v>
      </c>
      <c r="BS59" s="311">
        <f t="shared" si="124"/>
        <v>65610.73</v>
      </c>
      <c r="BT59" s="311">
        <f t="shared" si="124"/>
        <v>0</v>
      </c>
      <c r="BU59" s="311">
        <f t="shared" si="124"/>
        <v>0</v>
      </c>
      <c r="BV59" s="311">
        <f t="shared" si="124"/>
        <v>20404493.799999997</v>
      </c>
      <c r="BW59" s="311">
        <f t="shared" si="124"/>
        <v>2126529.2643995676</v>
      </c>
      <c r="BX59" s="311">
        <f t="shared" si="124"/>
        <v>0</v>
      </c>
      <c r="BY59" s="311">
        <f t="shared" si="124"/>
        <v>0</v>
      </c>
      <c r="BZ59" s="311">
        <f t="shared" si="124"/>
        <v>22105252.660000004</v>
      </c>
      <c r="CA59" s="311">
        <f t="shared" si="124"/>
        <v>2659763.210547294</v>
      </c>
      <c r="CB59" s="311">
        <f t="shared" si="124"/>
        <v>0</v>
      </c>
      <c r="CC59" s="311">
        <f t="shared" si="124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1">
        <f t="shared" si="124"/>
        <v>17257121.709999993</v>
      </c>
      <c r="CI59" s="311">
        <f t="shared" si="124"/>
        <v>143425.125207</v>
      </c>
      <c r="CJ59" s="311">
        <f t="shared" si="124"/>
        <v>0</v>
      </c>
      <c r="CK59" s="311">
        <f t="shared" si="124"/>
        <v>0</v>
      </c>
      <c r="CL59" s="311">
        <f t="shared" ref="CL59:CS59" si="125">CL58+CL47+CL13+CL45</f>
        <v>19425056.510000002</v>
      </c>
      <c r="CM59" s="311">
        <f t="shared" si="125"/>
        <v>0</v>
      </c>
      <c r="CN59" s="311">
        <f t="shared" si="125"/>
        <v>0</v>
      </c>
      <c r="CO59" s="311">
        <f t="shared" si="125"/>
        <v>0</v>
      </c>
      <c r="CP59" s="311">
        <f t="shared" si="125"/>
        <v>44820260.720000006</v>
      </c>
      <c r="CQ59" s="311">
        <f t="shared" si="125"/>
        <v>146532.4</v>
      </c>
      <c r="CR59" s="311">
        <f t="shared" si="125"/>
        <v>0</v>
      </c>
      <c r="CS59" s="311">
        <f t="shared" si="125"/>
        <v>0</v>
      </c>
      <c r="CT59" s="312"/>
      <c r="CU59" s="312"/>
      <c r="CV59" s="312"/>
      <c r="CW59" s="312"/>
      <c r="CX59" s="312"/>
      <c r="CY59" s="312"/>
      <c r="CZ59" s="312"/>
      <c r="DA59" s="312"/>
      <c r="DB59" s="312"/>
      <c r="DC59" s="312"/>
      <c r="DD59" s="312"/>
      <c r="DE59" s="312"/>
      <c r="DF59" s="312"/>
      <c r="DG59" s="312"/>
      <c r="DH59" s="312"/>
      <c r="DI59" s="312"/>
      <c r="DJ59" s="312"/>
      <c r="DK59" s="312"/>
      <c r="DL59" s="312"/>
      <c r="DM59" s="312"/>
      <c r="DN59" s="312"/>
      <c r="DO59" s="312"/>
      <c r="DP59" s="312"/>
      <c r="DQ59" s="312"/>
      <c r="DR59" s="312"/>
      <c r="DS59" s="313">
        <f>DS13+DS45+DS47+DS58</f>
        <v>314753512.06249732</v>
      </c>
      <c r="DT59" s="313">
        <f>DT13+DT45+DT47+DT58</f>
        <v>87422113.69638671</v>
      </c>
      <c r="DU59" s="314">
        <f>DU13+DU45+DU47+DU58</f>
        <v>167524207.54141271</v>
      </c>
    </row>
    <row r="60" spans="1:125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608">
        <v>0.89100093955357473</v>
      </c>
      <c r="CI60" s="609"/>
      <c r="CJ60" s="609"/>
      <c r="CK60" s="610"/>
      <c r="CL60" s="565">
        <v>0.9</v>
      </c>
      <c r="CM60" s="566"/>
      <c r="CN60" s="566"/>
      <c r="CO60" s="567"/>
      <c r="CP60" s="565">
        <v>0.89999999999999991</v>
      </c>
      <c r="CQ60" s="566"/>
      <c r="CR60" s="566"/>
      <c r="CS60" s="567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</row>
    <row r="61" spans="1:125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605">
        <v>0.87172983433540296</v>
      </c>
      <c r="CI61" s="606"/>
      <c r="CJ61" s="606"/>
      <c r="CK61" s="607"/>
      <c r="CL61" s="558">
        <v>0.57735006603666861</v>
      </c>
      <c r="CM61" s="559"/>
      <c r="CN61" s="559"/>
      <c r="CO61" s="560"/>
      <c r="CP61" s="558">
        <v>0.82190400150149978</v>
      </c>
      <c r="CQ61" s="559"/>
      <c r="CR61" s="559"/>
      <c r="CS61" s="560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</row>
    <row r="62" spans="1:125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605">
        <v>0.9</v>
      </c>
      <c r="CI62" s="606"/>
      <c r="CJ62" s="606"/>
      <c r="CK62" s="607"/>
      <c r="CL62" s="558">
        <v>0.9</v>
      </c>
      <c r="CM62" s="559"/>
      <c r="CN62" s="559"/>
      <c r="CO62" s="560"/>
      <c r="CP62" s="558">
        <v>0.9</v>
      </c>
      <c r="CQ62" s="559"/>
      <c r="CR62" s="559"/>
      <c r="CS62" s="560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</row>
    <row r="63" spans="1:125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605">
        <v>0.89999999999999991</v>
      </c>
      <c r="CI63" s="606"/>
      <c r="CJ63" s="606"/>
      <c r="CK63" s="607"/>
      <c r="CL63" s="558">
        <v>0.90000000000000013</v>
      </c>
      <c r="CM63" s="559"/>
      <c r="CN63" s="559"/>
      <c r="CO63" s="560"/>
      <c r="CP63" s="558">
        <v>0.90000000000000024</v>
      </c>
      <c r="CQ63" s="559"/>
      <c r="CR63" s="559"/>
      <c r="CS63" s="560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</row>
    <row r="64" spans="1:125" ht="12.75" customHeight="1" x14ac:dyDescent="0.25"/>
    <row r="65" spans="4:97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  <c r="CH65" s="391">
        <v>0</v>
      </c>
      <c r="CI65" s="391">
        <v>0</v>
      </c>
      <c r="CL65" s="391">
        <v>0</v>
      </c>
      <c r="CM65" s="391">
        <v>0</v>
      </c>
      <c r="CP65" s="391">
        <v>0</v>
      </c>
      <c r="CQ65" s="391">
        <v>0</v>
      </c>
    </row>
    <row r="66" spans="4:97" x14ac:dyDescent="0.25">
      <c r="D66" s="115"/>
      <c r="E66" s="115"/>
      <c r="F66" s="115"/>
      <c r="G66" s="115"/>
      <c r="H66" s="115">
        <v>2018</v>
      </c>
      <c r="I66" s="115">
        <v>2019</v>
      </c>
      <c r="J66" s="115">
        <v>2020</v>
      </c>
      <c r="K66" s="115">
        <v>2021</v>
      </c>
      <c r="L66" s="115">
        <v>2022</v>
      </c>
      <c r="M66" s="115"/>
      <c r="N66" s="115"/>
      <c r="O66" s="115"/>
      <c r="P66" s="115"/>
      <c r="Q66" s="115"/>
      <c r="R66" s="115"/>
      <c r="S66" s="115"/>
      <c r="T66" s="115"/>
      <c r="U66" s="115"/>
      <c r="BV66" s="391">
        <v>0</v>
      </c>
      <c r="BW66" s="391">
        <v>0</v>
      </c>
      <c r="BX66" s="391">
        <v>0</v>
      </c>
      <c r="BY66" s="391">
        <v>0</v>
      </c>
      <c r="BZ66" s="391">
        <v>0</v>
      </c>
      <c r="CA66" s="391">
        <v>0</v>
      </c>
      <c r="CB66" s="391">
        <v>0</v>
      </c>
      <c r="CC66" s="391">
        <v>0</v>
      </c>
      <c r="CD66" s="391">
        <v>0</v>
      </c>
      <c r="CE66" s="391">
        <v>0</v>
      </c>
      <c r="CF66" s="391">
        <v>0</v>
      </c>
      <c r="CG66" s="391">
        <v>0</v>
      </c>
      <c r="CH66" s="391">
        <v>0</v>
      </c>
      <c r="CI66" s="391">
        <v>0</v>
      </c>
      <c r="CJ66" s="391">
        <v>0</v>
      </c>
      <c r="CK66" s="391">
        <v>0</v>
      </c>
      <c r="CL66" s="391">
        <v>11236172.530000001</v>
      </c>
      <c r="CM66" s="391">
        <v>0</v>
      </c>
      <c r="CN66" s="391">
        <v>0</v>
      </c>
      <c r="CO66" s="391">
        <v>0</v>
      </c>
      <c r="CP66" s="391">
        <v>44820260.720000006</v>
      </c>
      <c r="CQ66" s="391">
        <v>146532.4</v>
      </c>
      <c r="CR66" s="391">
        <v>0</v>
      </c>
      <c r="CS66" s="391">
        <v>0</v>
      </c>
    </row>
    <row r="67" spans="4:97" x14ac:dyDescent="0.25">
      <c r="F67" s="222" t="s">
        <v>125</v>
      </c>
    </row>
    <row r="68" spans="4:97" ht="13.25" customHeight="1" x14ac:dyDescent="0.25">
      <c r="F68" s="222" t="s">
        <v>126</v>
      </c>
      <c r="H68" s="426">
        <f>BV45*BV61</f>
        <v>15561813.087000003</v>
      </c>
      <c r="I68" s="426">
        <f>BZ45*BZ61</f>
        <v>14890762.251</v>
      </c>
      <c r="J68" s="426">
        <f>CD45*CD61</f>
        <v>13794016.868999999</v>
      </c>
      <c r="K68" s="426">
        <f>CH45*CH61</f>
        <v>12269556.908985389</v>
      </c>
      <c r="L68" s="426">
        <f>CL45*CL61</f>
        <v>9247238.3340000007</v>
      </c>
    </row>
    <row r="69" spans="4:97" x14ac:dyDescent="0.25">
      <c r="F69" s="222" t="s">
        <v>38</v>
      </c>
      <c r="H69" s="426">
        <f>BV58*BV63</f>
        <v>895214.73600000003</v>
      </c>
      <c r="I69" s="426">
        <f>BZ58*BZ63</f>
        <v>908274.25800000003</v>
      </c>
      <c r="J69" s="426">
        <f>CD58*CD63</f>
        <v>1192522.149</v>
      </c>
      <c r="K69" s="426">
        <f>CH58*CH63</f>
        <v>1400856.129</v>
      </c>
      <c r="L69" s="426">
        <f>CL58*CL63</f>
        <v>1443859.1460000002</v>
      </c>
    </row>
    <row r="70" spans="4:97" ht="13.25" customHeight="1" x14ac:dyDescent="0.25">
      <c r="F70" s="222" t="s">
        <v>35</v>
      </c>
      <c r="H70" s="426">
        <f>BV47*BV62</f>
        <v>643860.3060000001</v>
      </c>
      <c r="I70" s="426">
        <f>BZ47*BZ62</f>
        <v>274950.81900000008</v>
      </c>
      <c r="J70" s="426">
        <f>CD47*CD62</f>
        <v>239642.08199999999</v>
      </c>
      <c r="K70" s="426">
        <f>CH47*CH62</f>
        <v>669574.47600000002</v>
      </c>
      <c r="L70" s="426">
        <f>CL47*CL62</f>
        <v>495369.4499999999</v>
      </c>
    </row>
    <row r="71" spans="4:97" x14ac:dyDescent="0.25">
      <c r="F71" s="222" t="s">
        <v>127</v>
      </c>
      <c r="H71" s="426">
        <f>BV13*BV60</f>
        <v>1008065.9070000004</v>
      </c>
      <c r="I71" s="426">
        <f>BZ13*BZ60</f>
        <v>3227907.276000001</v>
      </c>
      <c r="J71" s="426">
        <f>CD13*CD60</f>
        <v>620899.29</v>
      </c>
      <c r="K71" s="426">
        <f>CH13*CH60</f>
        <v>785586.37782473746</v>
      </c>
      <c r="L71" s="426">
        <f>CL13*CL60</f>
        <v>1128299.2290000001</v>
      </c>
    </row>
    <row r="72" spans="4:97" x14ac:dyDescent="0.25">
      <c r="F72" s="222" t="s">
        <v>128</v>
      </c>
      <c r="H72" s="426">
        <f>SUM(H68:H71)</f>
        <v>18108954.036000006</v>
      </c>
      <c r="I72" s="426">
        <f>SUM(I68:I71)</f>
        <v>19301894.604000002</v>
      </c>
      <c r="J72" s="426">
        <f>SUM(J68:J71)</f>
        <v>15847080.390000001</v>
      </c>
      <c r="K72" s="426">
        <f>SUM(K68:K71)</f>
        <v>15125573.891810127</v>
      </c>
      <c r="L72" s="426">
        <f>SUM(L68:L71)</f>
        <v>12314766.159</v>
      </c>
      <c r="O72" s="427"/>
    </row>
    <row r="73" spans="4:97" x14ac:dyDescent="0.25">
      <c r="H73" s="427"/>
      <c r="I73" s="427"/>
      <c r="J73" s="427"/>
      <c r="K73" s="427"/>
      <c r="L73" s="427"/>
      <c r="O73" s="427"/>
    </row>
    <row r="74" spans="4:97" x14ac:dyDescent="0.25">
      <c r="F74" s="222" t="s">
        <v>125</v>
      </c>
      <c r="H74" s="115">
        <v>2018</v>
      </c>
      <c r="I74" s="115">
        <v>2019</v>
      </c>
      <c r="J74" s="115">
        <v>2020</v>
      </c>
      <c r="K74" s="115">
        <v>2021</v>
      </c>
      <c r="L74" s="115">
        <v>2022</v>
      </c>
      <c r="AU74" s="220"/>
      <c r="AV74" s="220"/>
      <c r="AW74" s="221"/>
      <c r="AX74" s="221"/>
      <c r="AY74" s="221"/>
      <c r="AZ74" s="221"/>
      <c r="BA74" s="221"/>
      <c r="BB74" s="221"/>
    </row>
    <row r="75" spans="4:97" x14ac:dyDescent="0.25">
      <c r="F75" s="222" t="s">
        <v>126</v>
      </c>
      <c r="H75" s="426">
        <f>H68+H$71*H68/(H$68+H$69)</f>
        <v>16515043.122996347</v>
      </c>
      <c r="I75" s="426">
        <f t="shared" ref="I75:L76" si="126">I68+I$71*I68/(I$68+I$69)</f>
        <v>17933099.661120422</v>
      </c>
      <c r="J75" s="426">
        <f t="shared" si="126"/>
        <v>14365509.411068803</v>
      </c>
      <c r="K75" s="426">
        <f t="shared" si="126"/>
        <v>12974641.440291166</v>
      </c>
      <c r="L75" s="426">
        <f t="shared" si="126"/>
        <v>10223157.962658316</v>
      </c>
      <c r="AU75" s="221"/>
      <c r="AV75" s="221"/>
      <c r="AW75" s="221"/>
      <c r="AX75" s="221"/>
      <c r="AY75" s="221"/>
      <c r="AZ75" s="221"/>
      <c r="BA75" s="221"/>
      <c r="BB75" s="221"/>
    </row>
    <row r="76" spans="4:97" x14ac:dyDescent="0.25">
      <c r="F76" s="222" t="s">
        <v>38</v>
      </c>
      <c r="H76" s="426">
        <f>H69+H$71*H69/(H$68+H$69)</f>
        <v>950050.60700365598</v>
      </c>
      <c r="I76" s="426">
        <f t="shared" si="126"/>
        <v>1093844.1238795791</v>
      </c>
      <c r="J76" s="426">
        <f t="shared" si="126"/>
        <v>1241928.896931197</v>
      </c>
      <c r="K76" s="426">
        <f t="shared" si="126"/>
        <v>1481357.9755189603</v>
      </c>
      <c r="L76" s="426">
        <f t="shared" si="126"/>
        <v>1596238.7463416855</v>
      </c>
    </row>
    <row r="77" spans="4:97" x14ac:dyDescent="0.25">
      <c r="F77" s="222" t="s">
        <v>35</v>
      </c>
      <c r="H77" s="426">
        <f>H70</f>
        <v>643860.3060000001</v>
      </c>
      <c r="I77" s="426">
        <f>I70</f>
        <v>274950.81900000008</v>
      </c>
      <c r="J77" s="426">
        <f>J70</f>
        <v>239642.08199999999</v>
      </c>
      <c r="K77" s="426">
        <f>K70</f>
        <v>669574.47600000002</v>
      </c>
      <c r="L77" s="426">
        <f>L70</f>
        <v>495369.4499999999</v>
      </c>
    </row>
    <row r="78" spans="4:97" x14ac:dyDescent="0.25">
      <c r="F78" s="222" t="s">
        <v>128</v>
      </c>
      <c r="H78" s="426">
        <f>SUM(H75:H77)</f>
        <v>18108954.036000006</v>
      </c>
      <c r="I78" s="426">
        <f>SUM(I75:I77)</f>
        <v>19301894.603999998</v>
      </c>
      <c r="J78" s="426">
        <f>SUM(J75:J77)</f>
        <v>15847080.390000001</v>
      </c>
      <c r="K78" s="426">
        <f>SUM(K75:K77)</f>
        <v>15125573.891810127</v>
      </c>
      <c r="L78" s="426">
        <f>SUM(L75:L77)</f>
        <v>12314766.159</v>
      </c>
    </row>
    <row r="79" spans="4:97" ht="13" x14ac:dyDescent="0.3">
      <c r="F79" s="1" t="s">
        <v>133</v>
      </c>
      <c r="H79" s="427">
        <f>H72-H78</f>
        <v>0</v>
      </c>
      <c r="I79" s="427">
        <f>I72-I78</f>
        <v>0</v>
      </c>
      <c r="J79" s="427">
        <f>J72-J78</f>
        <v>0</v>
      </c>
      <c r="K79" s="427">
        <f>K72-K78</f>
        <v>0</v>
      </c>
      <c r="L79" s="427">
        <f>L72-L78</f>
        <v>0</v>
      </c>
    </row>
    <row r="80" spans="4:97" ht="13" x14ac:dyDescent="0.3">
      <c r="F80" s="428" t="s">
        <v>125</v>
      </c>
      <c r="G80" s="428"/>
      <c r="H80" s="429" t="s">
        <v>129</v>
      </c>
      <c r="I80" s="429" t="s">
        <v>130</v>
      </c>
      <c r="J80" s="429" t="s">
        <v>131</v>
      </c>
      <c r="K80" s="429" t="s">
        <v>132</v>
      </c>
    </row>
    <row r="81" spans="6:45" ht="13.25" customHeight="1" x14ac:dyDescent="0.25">
      <c r="F81" s="222" t="s">
        <v>126</v>
      </c>
      <c r="H81" s="426">
        <f>H75/2+I75/2</f>
        <v>17224071.392058384</v>
      </c>
      <c r="I81" s="426">
        <f>I75/2+J75/2</f>
        <v>16149304.536094613</v>
      </c>
      <c r="J81" s="426">
        <f>J75/2+K75/2</f>
        <v>13670075.425679985</v>
      </c>
      <c r="K81" s="426">
        <f>K75/2+L75</f>
        <v>16710478.682803899</v>
      </c>
      <c r="L81" s="426"/>
      <c r="AO81"/>
      <c r="AS81"/>
    </row>
    <row r="82" spans="6:45" x14ac:dyDescent="0.25">
      <c r="F82" s="222" t="s">
        <v>38</v>
      </c>
      <c r="H82" s="426">
        <f t="shared" ref="H82:J83" si="127">H76/2+I76/2</f>
        <v>1021947.3654416176</v>
      </c>
      <c r="I82" s="426">
        <f t="shared" si="127"/>
        <v>1167886.5104053882</v>
      </c>
      <c r="J82" s="426">
        <f t="shared" si="127"/>
        <v>1361643.4362250785</v>
      </c>
      <c r="K82" s="426">
        <f>K76/2+L76</f>
        <v>2336917.7341011656</v>
      </c>
      <c r="L82" s="426"/>
      <c r="AO82"/>
      <c r="AS82"/>
    </row>
    <row r="83" spans="6:45" x14ac:dyDescent="0.25">
      <c r="F83" s="222" t="s">
        <v>35</v>
      </c>
      <c r="H83" s="426">
        <f t="shared" si="127"/>
        <v>459405.56250000012</v>
      </c>
      <c r="I83" s="426">
        <f t="shared" si="127"/>
        <v>257296.45050000004</v>
      </c>
      <c r="J83" s="426">
        <f t="shared" si="127"/>
        <v>454608.27899999998</v>
      </c>
      <c r="K83" s="426">
        <f>K77/2+L77</f>
        <v>830156.68799999985</v>
      </c>
      <c r="L83" s="426"/>
      <c r="AO83"/>
      <c r="AS83"/>
    </row>
    <row r="84" spans="6:45" x14ac:dyDescent="0.25">
      <c r="F84" s="222" t="s">
        <v>128</v>
      </c>
      <c r="H84" s="426">
        <f>SUM(H81:H83)</f>
        <v>18705424.32</v>
      </c>
      <c r="I84" s="426">
        <f>SUM(I81:I83)</f>
        <v>17574487.497000001</v>
      </c>
      <c r="J84" s="426">
        <f>SUM(J81:J83)</f>
        <v>15486327.140905064</v>
      </c>
      <c r="K84" s="426">
        <f>SUM(K81:K83)</f>
        <v>19877553.104905065</v>
      </c>
      <c r="L84" s="426"/>
      <c r="AO84"/>
      <c r="AS84"/>
    </row>
    <row r="85" spans="6:45" x14ac:dyDescent="0.25">
      <c r="H85" s="427">
        <v>0</v>
      </c>
      <c r="I85" s="427">
        <v>0</v>
      </c>
      <c r="J85" s="427">
        <v>-1566.6794709302485</v>
      </c>
      <c r="K85" s="427">
        <v>5008120.70852907</v>
      </c>
      <c r="AO85"/>
      <c r="AS85"/>
    </row>
    <row r="86" spans="6:45" x14ac:dyDescent="0.25">
      <c r="AO86"/>
      <c r="AS86"/>
    </row>
    <row r="87" spans="6:45" x14ac:dyDescent="0.25">
      <c r="AO87"/>
      <c r="AS87"/>
    </row>
    <row r="88" spans="6:45" x14ac:dyDescent="0.25">
      <c r="AO88"/>
      <c r="AS88"/>
    </row>
    <row r="89" spans="6:45" x14ac:dyDescent="0.25">
      <c r="AO89"/>
      <c r="AS89"/>
    </row>
    <row r="90" spans="6:45" x14ac:dyDescent="0.25">
      <c r="AO90"/>
      <c r="AS90"/>
    </row>
    <row r="91" spans="6:45" x14ac:dyDescent="0.25">
      <c r="AO91"/>
      <c r="AS91"/>
    </row>
    <row r="92" spans="6:45" x14ac:dyDescent="0.25">
      <c r="AO92"/>
      <c r="AS92"/>
    </row>
    <row r="93" spans="6:45" x14ac:dyDescent="0.25">
      <c r="AO93"/>
      <c r="AS93"/>
    </row>
    <row r="94" spans="6:45" x14ac:dyDescent="0.25">
      <c r="AO94"/>
      <c r="AS94"/>
    </row>
    <row r="95" spans="6:45" x14ac:dyDescent="0.25">
      <c r="AO95"/>
      <c r="AS95"/>
    </row>
    <row r="96" spans="6:45" x14ac:dyDescent="0.25">
      <c r="AO96"/>
      <c r="AS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48"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D3:D4"/>
    <mergeCell ref="E3:E4"/>
    <mergeCell ref="F3:F4"/>
    <mergeCell ref="G3:G4"/>
    <mergeCell ref="H3:H4"/>
    <mergeCell ref="I3:I4"/>
    <mergeCell ref="AA2:AD2"/>
    <mergeCell ref="AE2:AH2"/>
    <mergeCell ref="AI2:AL2"/>
    <mergeCell ref="AM2:AP2"/>
    <mergeCell ref="AQ2:AT2"/>
    <mergeCell ref="AU2:AX2"/>
    <mergeCell ref="P3:P4"/>
    <mergeCell ref="Q3:Q4"/>
    <mergeCell ref="CH2:CK2"/>
    <mergeCell ref="CL2:CO2"/>
    <mergeCell ref="DS2:DU2"/>
    <mergeCell ref="CP2:CS2"/>
    <mergeCell ref="AY2:BB2"/>
    <mergeCell ref="BC2:BF2"/>
    <mergeCell ref="BG2:BI2"/>
    <mergeCell ref="BJ2:BM2"/>
    <mergeCell ref="BN2:BQ2"/>
    <mergeCell ref="BR2:BU2"/>
    <mergeCell ref="BV2:BY2"/>
    <mergeCell ref="BZ2:CC2"/>
    <mergeCell ref="CD2:CG2"/>
    <mergeCell ref="R3:R4"/>
    <mergeCell ref="S3:S4"/>
    <mergeCell ref="T3:T4"/>
    <mergeCell ref="U3:U4"/>
    <mergeCell ref="J3:J4"/>
    <mergeCell ref="K3:K4"/>
    <mergeCell ref="L3:L4"/>
    <mergeCell ref="M3:M4"/>
    <mergeCell ref="N3:N4"/>
    <mergeCell ref="O3:O4"/>
    <mergeCell ref="AB3:AB4"/>
    <mergeCell ref="AC3:AC4"/>
    <mergeCell ref="AD3:AD4"/>
    <mergeCell ref="AE3:AE4"/>
    <mergeCell ref="AF3:AF4"/>
    <mergeCell ref="AG3:AG4"/>
    <mergeCell ref="V3:V4"/>
    <mergeCell ref="W3:W4"/>
    <mergeCell ref="X3:X4"/>
    <mergeCell ref="Y3:Y4"/>
    <mergeCell ref="Z3:Z4"/>
    <mergeCell ref="AA3:AA4"/>
    <mergeCell ref="AN3:AN4"/>
    <mergeCell ref="AO3:AO4"/>
    <mergeCell ref="AP3:AP4"/>
    <mergeCell ref="AQ3:AQ4"/>
    <mergeCell ref="AR3:AR4"/>
    <mergeCell ref="AS3:AS4"/>
    <mergeCell ref="AH3:AH4"/>
    <mergeCell ref="AI3:AI4"/>
    <mergeCell ref="AJ3:AJ4"/>
    <mergeCell ref="AK3:AK4"/>
    <mergeCell ref="AL3:AL4"/>
    <mergeCell ref="AM3:AM4"/>
    <mergeCell ref="AZ3:AZ4"/>
    <mergeCell ref="BA3:BA4"/>
    <mergeCell ref="BB3:BB4"/>
    <mergeCell ref="BC3:BC4"/>
    <mergeCell ref="BG3:BG4"/>
    <mergeCell ref="BH3:BH4"/>
    <mergeCell ref="AT3:AT4"/>
    <mergeCell ref="AU3:AU4"/>
    <mergeCell ref="AV3:AV4"/>
    <mergeCell ref="AW3:AW4"/>
    <mergeCell ref="AX3:AX4"/>
    <mergeCell ref="AY3:AY4"/>
    <mergeCell ref="BO3:BO4"/>
    <mergeCell ref="BP3:BP4"/>
    <mergeCell ref="BQ3:BQ4"/>
    <mergeCell ref="BR3:BR4"/>
    <mergeCell ref="BS3:BS4"/>
    <mergeCell ref="BT3:BT4"/>
    <mergeCell ref="BI3:BI4"/>
    <mergeCell ref="BJ3:BJ4"/>
    <mergeCell ref="BK3:BK4"/>
    <mergeCell ref="BL3:BL4"/>
    <mergeCell ref="BM3:BM4"/>
    <mergeCell ref="BN3:BN4"/>
    <mergeCell ref="CA3:CA4"/>
    <mergeCell ref="CB3:CB4"/>
    <mergeCell ref="CC3:CC4"/>
    <mergeCell ref="CD3:CD4"/>
    <mergeCell ref="CE3:CE4"/>
    <mergeCell ref="CF3:CF4"/>
    <mergeCell ref="BU3:BU4"/>
    <mergeCell ref="BV3:BV4"/>
    <mergeCell ref="BW3:BW4"/>
    <mergeCell ref="BX3:BX4"/>
    <mergeCell ref="BY3:BY4"/>
    <mergeCell ref="BZ3:BZ4"/>
    <mergeCell ref="CV3:CV4"/>
    <mergeCell ref="CP3:CP4"/>
    <mergeCell ref="CQ3:CQ4"/>
    <mergeCell ref="CR3:CR4"/>
    <mergeCell ref="CS3:CS4"/>
    <mergeCell ref="CG3:CG4"/>
    <mergeCell ref="CH3:CH4"/>
    <mergeCell ref="CI3:CI4"/>
    <mergeCell ref="CJ3:CJ4"/>
    <mergeCell ref="CK3:CK4"/>
    <mergeCell ref="CL3:CL4"/>
    <mergeCell ref="DS3:DS4"/>
    <mergeCell ref="DT3:DT4"/>
    <mergeCell ref="DU3:DU4"/>
    <mergeCell ref="DI3:DI4"/>
    <mergeCell ref="DJ3:DJ4"/>
    <mergeCell ref="DK3:DK4"/>
    <mergeCell ref="DL3:DL4"/>
    <mergeCell ref="DM3:DM4"/>
    <mergeCell ref="DN3:DN4"/>
    <mergeCell ref="DR3:DR4"/>
    <mergeCell ref="A5:A13"/>
    <mergeCell ref="A46:A47"/>
    <mergeCell ref="A48:A58"/>
    <mergeCell ref="A60:A63"/>
    <mergeCell ref="B60:C60"/>
    <mergeCell ref="D60:F60"/>
    <mergeCell ref="DO3:DO4"/>
    <mergeCell ref="DP3:DP4"/>
    <mergeCell ref="DQ3:DQ4"/>
    <mergeCell ref="DC3:DC4"/>
    <mergeCell ref="DD3:DD4"/>
    <mergeCell ref="DE3:DE4"/>
    <mergeCell ref="DF3:DF4"/>
    <mergeCell ref="DG3:DG4"/>
    <mergeCell ref="DH3:DH4"/>
    <mergeCell ref="CW3:CW4"/>
    <mergeCell ref="CX3:CX4"/>
    <mergeCell ref="CY3:CY4"/>
    <mergeCell ref="CZ3:CZ4"/>
    <mergeCell ref="DA3:DA4"/>
    <mergeCell ref="DB3:DB4"/>
    <mergeCell ref="CM3:CM4"/>
    <mergeCell ref="CN3:CN4"/>
    <mergeCell ref="CO3:CO4"/>
    <mergeCell ref="BN60:BQ60"/>
    <mergeCell ref="BR60:BU60"/>
    <mergeCell ref="BV60:BY60"/>
    <mergeCell ref="BZ60:CC60"/>
    <mergeCell ref="AE60:AH60"/>
    <mergeCell ref="AI60:AL60"/>
    <mergeCell ref="AM60:AP60"/>
    <mergeCell ref="AQ60:AT60"/>
    <mergeCell ref="AU60:AX60"/>
    <mergeCell ref="AY60:BB60"/>
    <mergeCell ref="B61:C61"/>
    <mergeCell ref="D61:F61"/>
    <mergeCell ref="G61:J61"/>
    <mergeCell ref="K61:N61"/>
    <mergeCell ref="O61:R61"/>
    <mergeCell ref="S61:V61"/>
    <mergeCell ref="W61:Z61"/>
    <mergeCell ref="BC60:BF60"/>
    <mergeCell ref="BJ60:BM60"/>
    <mergeCell ref="G60:J60"/>
    <mergeCell ref="K60:N60"/>
    <mergeCell ref="O60:R60"/>
    <mergeCell ref="S60:V60"/>
    <mergeCell ref="W60:Z60"/>
    <mergeCell ref="AA60:AD60"/>
    <mergeCell ref="BZ61:CC61"/>
    <mergeCell ref="AY61:BB61"/>
    <mergeCell ref="BC61:BF61"/>
    <mergeCell ref="BJ61:BM61"/>
    <mergeCell ref="BN61:BQ61"/>
    <mergeCell ref="BR61:BU61"/>
    <mergeCell ref="BV61:BY61"/>
    <mergeCell ref="AA61:AD61"/>
    <mergeCell ref="AE61:AH61"/>
    <mergeCell ref="AI61:AL61"/>
    <mergeCell ref="AM61:AP61"/>
    <mergeCell ref="AQ61:AT61"/>
    <mergeCell ref="AU61:AX61"/>
    <mergeCell ref="BC63:BF63"/>
    <mergeCell ref="BJ63:BM63"/>
    <mergeCell ref="BN62:BQ62"/>
    <mergeCell ref="BR62:BU62"/>
    <mergeCell ref="W62:Z62"/>
    <mergeCell ref="AA62:AD62"/>
    <mergeCell ref="AE62:AH62"/>
    <mergeCell ref="AI62:AL62"/>
    <mergeCell ref="AM62:AP62"/>
    <mergeCell ref="AQ62:AT62"/>
    <mergeCell ref="BZ62:CC62"/>
    <mergeCell ref="CD62:CG62"/>
    <mergeCell ref="CH62:CK62"/>
    <mergeCell ref="CL62:CO62"/>
    <mergeCell ref="CD61:CG61"/>
    <mergeCell ref="CH61:CK61"/>
    <mergeCell ref="B63:C63"/>
    <mergeCell ref="D63:F63"/>
    <mergeCell ref="G63:J63"/>
    <mergeCell ref="K63:N63"/>
    <mergeCell ref="O63:R63"/>
    <mergeCell ref="AU62:AX62"/>
    <mergeCell ref="AY62:BB62"/>
    <mergeCell ref="BC62:BF62"/>
    <mergeCell ref="BJ62:BM62"/>
    <mergeCell ref="B62:C62"/>
    <mergeCell ref="D62:F62"/>
    <mergeCell ref="G62:J62"/>
    <mergeCell ref="K62:N62"/>
    <mergeCell ref="O62:R62"/>
    <mergeCell ref="S62:V62"/>
    <mergeCell ref="AQ63:AT63"/>
    <mergeCell ref="AU63:AX63"/>
    <mergeCell ref="AY63:BB63"/>
    <mergeCell ref="CL61:CO61"/>
    <mergeCell ref="CD60:CG60"/>
    <mergeCell ref="CH60:CK60"/>
    <mergeCell ref="CL60:CO60"/>
    <mergeCell ref="CT3:CT4"/>
    <mergeCell ref="CU3:CU4"/>
    <mergeCell ref="BN63:BQ63"/>
    <mergeCell ref="S63:V63"/>
    <mergeCell ref="W63:Z63"/>
    <mergeCell ref="AA63:AD63"/>
    <mergeCell ref="AE63:AH63"/>
    <mergeCell ref="AI63:AL63"/>
    <mergeCell ref="AM63:AP63"/>
    <mergeCell ref="CP60:CS60"/>
    <mergeCell ref="CP61:CS61"/>
    <mergeCell ref="CP62:CS62"/>
    <mergeCell ref="CP63:CS63"/>
    <mergeCell ref="BR63:BU63"/>
    <mergeCell ref="BV63:BY63"/>
    <mergeCell ref="BZ63:CC63"/>
    <mergeCell ref="CD63:CG63"/>
    <mergeCell ref="CH63:CK63"/>
    <mergeCell ref="CL63:CO63"/>
    <mergeCell ref="BV62:BY6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5D852-B69A-47FF-B718-BE446BFEACAF}">
  <sheetPr>
    <tabColor rgb="FFFFFF00"/>
  </sheetPr>
  <dimension ref="A1:DZ426"/>
  <sheetViews>
    <sheetView workbookViewId="0">
      <pane xSplit="3" ySplit="4" topLeftCell="DP42" activePane="bottomRight" state="frozen"/>
      <selection pane="topRight" activeCell="D1" sqref="D1"/>
      <selection pane="bottomLeft" activeCell="A5" sqref="A5"/>
      <selection pane="bottomRight" activeCell="CL60" sqref="CL60:CS63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13.1796875" bestFit="1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11" width="17.08984375" bestFit="1" customWidth="1"/>
    <col min="12" max="12" width="16.0898437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5.36328125" customWidth="1"/>
    <col min="75" max="75" width="13.6328125" bestFit="1" customWidth="1"/>
    <col min="76" max="77" width="8.81640625" bestFit="1" customWidth="1"/>
    <col min="78" max="78" width="14.6328125" bestFit="1" customWidth="1"/>
    <col min="79" max="79" width="13.6328125" bestFit="1" customWidth="1"/>
    <col min="80" max="81" width="8.81640625" bestFit="1" customWidth="1"/>
    <col min="82" max="82" width="14.6328125" bestFit="1" customWidth="1"/>
    <col min="83" max="83" width="12.08984375" bestFit="1" customWidth="1"/>
    <col min="84" max="85" width="8.81640625" bestFit="1" customWidth="1"/>
    <col min="86" max="86" width="14.6328125" bestFit="1" customWidth="1"/>
    <col min="87" max="87" width="12.08984375" bestFit="1" customWidth="1"/>
    <col min="88" max="89" width="8.81640625" bestFit="1" customWidth="1"/>
    <col min="90" max="90" width="14.6328125" bestFit="1" customWidth="1"/>
    <col min="91" max="91" width="12.08984375" bestFit="1" customWidth="1"/>
    <col min="92" max="93" width="8.81640625" bestFit="1" customWidth="1"/>
    <col min="94" max="94" width="14.6328125" bestFit="1" customWidth="1"/>
    <col min="95" max="95" width="12.08984375" bestFit="1" customWidth="1"/>
    <col min="96" max="97" width="8.81640625" bestFit="1" customWidth="1"/>
    <col min="98" max="98" width="14.6328125" bestFit="1" customWidth="1"/>
    <col min="99" max="99" width="12.08984375" bestFit="1" customWidth="1"/>
    <col min="100" max="101" width="8.81640625" bestFit="1" customWidth="1"/>
    <col min="102" max="109" width="11.1796875" customWidth="1"/>
    <col min="110" max="110" width="11.1796875" bestFit="1" customWidth="1"/>
    <col min="111" max="111" width="13" customWidth="1"/>
    <col min="112" max="112" width="15.453125" customWidth="1"/>
    <col min="115" max="115" width="10.1796875" customWidth="1"/>
  </cols>
  <sheetData>
    <row r="1" spans="1:130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30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587">
        <v>2021</v>
      </c>
      <c r="CI2" s="588"/>
      <c r="CJ2" s="588"/>
      <c r="CK2" s="588"/>
      <c r="CL2" s="587">
        <v>2022</v>
      </c>
      <c r="CM2" s="588"/>
      <c r="CN2" s="588"/>
      <c r="CO2" s="588"/>
      <c r="CP2" s="587">
        <v>2023</v>
      </c>
      <c r="CQ2" s="588"/>
      <c r="CR2" s="588"/>
      <c r="CS2" s="588"/>
      <c r="CT2" s="587">
        <v>2024</v>
      </c>
      <c r="CU2" s="588"/>
      <c r="CV2" s="588"/>
      <c r="CW2" s="588"/>
      <c r="CX2" s="392"/>
      <c r="CY2" s="392"/>
      <c r="CZ2" s="392"/>
      <c r="DA2" s="392"/>
      <c r="DB2" s="392"/>
      <c r="DC2" s="392"/>
      <c r="DD2" s="392"/>
      <c r="DE2" s="392"/>
      <c r="DF2" s="392"/>
      <c r="DG2" s="392"/>
      <c r="DH2" s="392"/>
      <c r="DI2" s="392"/>
      <c r="DJ2" s="392"/>
      <c r="DK2" s="392"/>
      <c r="DL2" s="392"/>
      <c r="DM2" s="392"/>
      <c r="DN2" s="392"/>
      <c r="DO2" s="392"/>
      <c r="DP2" s="392"/>
      <c r="DQ2" s="392"/>
      <c r="DR2" s="392"/>
      <c r="DS2" s="392"/>
      <c r="DT2" s="392"/>
      <c r="DU2" s="392"/>
      <c r="DV2" s="392"/>
      <c r="DW2" s="392"/>
      <c r="DX2" s="611">
        <f>CT2</f>
        <v>2024</v>
      </c>
      <c r="DY2" s="612"/>
      <c r="DZ2" s="613"/>
    </row>
    <row r="3" spans="1:130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490" t="s">
        <v>5</v>
      </c>
      <c r="CI3" s="490" t="s">
        <v>124</v>
      </c>
      <c r="CJ3" s="490" t="s">
        <v>3</v>
      </c>
      <c r="CK3" s="490" t="s">
        <v>93</v>
      </c>
      <c r="CL3" s="490" t="s">
        <v>5</v>
      </c>
      <c r="CM3" s="490" t="s">
        <v>4</v>
      </c>
      <c r="CN3" s="490" t="s">
        <v>3</v>
      </c>
      <c r="CO3" s="490" t="s">
        <v>93</v>
      </c>
      <c r="CP3" s="490" t="s">
        <v>5</v>
      </c>
      <c r="CQ3" s="490" t="s">
        <v>4</v>
      </c>
      <c r="CR3" s="490" t="s">
        <v>3</v>
      </c>
      <c r="CS3" s="490" t="s">
        <v>93</v>
      </c>
      <c r="CT3" s="490" t="s">
        <v>5</v>
      </c>
      <c r="CU3" s="490" t="s">
        <v>4</v>
      </c>
      <c r="CV3" s="490" t="s">
        <v>3</v>
      </c>
      <c r="CW3" s="490" t="s">
        <v>93</v>
      </c>
      <c r="CX3" s="571" t="s">
        <v>63</v>
      </c>
      <c r="CY3" s="571" t="s">
        <v>71</v>
      </c>
      <c r="CZ3" s="571" t="s">
        <v>72</v>
      </c>
      <c r="DA3" s="571" t="s">
        <v>73</v>
      </c>
      <c r="DB3" s="571" t="s">
        <v>74</v>
      </c>
      <c r="DC3" s="571" t="s">
        <v>75</v>
      </c>
      <c r="DD3" s="571" t="s">
        <v>62</v>
      </c>
      <c r="DE3" s="571" t="s">
        <v>64</v>
      </c>
      <c r="DF3" s="571" t="s">
        <v>65</v>
      </c>
      <c r="DG3" s="571" t="s">
        <v>66</v>
      </c>
      <c r="DH3" s="571" t="s">
        <v>67</v>
      </c>
      <c r="DI3" s="571" t="s">
        <v>76</v>
      </c>
      <c r="DJ3" s="571" t="s">
        <v>77</v>
      </c>
      <c r="DK3" s="571" t="s">
        <v>78</v>
      </c>
      <c r="DL3" s="571" t="s">
        <v>79</v>
      </c>
      <c r="DM3" s="571" t="s">
        <v>108</v>
      </c>
      <c r="DN3" s="571" t="s">
        <v>98</v>
      </c>
      <c r="DO3" s="571" t="s">
        <v>99</v>
      </c>
      <c r="DP3" s="571" t="s">
        <v>100</v>
      </c>
      <c r="DQ3" s="571" t="s">
        <v>101</v>
      </c>
      <c r="DR3" s="571" t="s">
        <v>117</v>
      </c>
      <c r="DS3" s="571" t="s">
        <v>118</v>
      </c>
      <c r="DT3" s="571" t="s">
        <v>119</v>
      </c>
      <c r="DU3" s="571" t="s">
        <v>134</v>
      </c>
      <c r="DV3" s="571" t="s">
        <v>135</v>
      </c>
      <c r="DW3" s="571" t="s">
        <v>136</v>
      </c>
      <c r="DX3" s="490" t="s">
        <v>56</v>
      </c>
      <c r="DY3" s="490" t="s">
        <v>57</v>
      </c>
      <c r="DZ3" s="490" t="s">
        <v>58</v>
      </c>
    </row>
    <row r="4" spans="1:130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491"/>
      <c r="CM4" s="491"/>
      <c r="CN4" s="491"/>
      <c r="CO4" s="491"/>
      <c r="CP4" s="491"/>
      <c r="CQ4" s="491"/>
      <c r="CR4" s="491"/>
      <c r="CS4" s="491"/>
      <c r="CT4" s="491"/>
      <c r="CU4" s="491"/>
      <c r="CV4" s="491"/>
      <c r="CW4" s="491"/>
      <c r="CX4" s="572"/>
      <c r="CY4" s="572"/>
      <c r="CZ4" s="572"/>
      <c r="DA4" s="572"/>
      <c r="DB4" s="572"/>
      <c r="DC4" s="572"/>
      <c r="DD4" s="572"/>
      <c r="DE4" s="572"/>
      <c r="DF4" s="572"/>
      <c r="DG4" s="572"/>
      <c r="DH4" s="572"/>
      <c r="DI4" s="572"/>
      <c r="DJ4" s="572"/>
      <c r="DK4" s="572"/>
      <c r="DL4" s="572"/>
      <c r="DM4" s="572"/>
      <c r="DN4" s="572"/>
      <c r="DO4" s="572"/>
      <c r="DP4" s="572"/>
      <c r="DQ4" s="572"/>
      <c r="DR4" s="572"/>
      <c r="DS4" s="572"/>
      <c r="DT4" s="572"/>
      <c r="DU4" s="572"/>
      <c r="DV4" s="572"/>
      <c r="DW4" s="572"/>
      <c r="DX4" s="491"/>
      <c r="DY4" s="491"/>
      <c r="DZ4" s="491"/>
    </row>
    <row r="5" spans="1:130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290">
        <v>461340.9599999999</v>
      </c>
      <c r="CI5" s="290">
        <v>0</v>
      </c>
      <c r="CJ5" s="290"/>
      <c r="CK5" s="290"/>
      <c r="CL5" s="290">
        <v>954542.1</v>
      </c>
      <c r="CM5" s="290"/>
      <c r="CN5" s="290"/>
      <c r="CO5" s="290"/>
      <c r="CP5" s="290">
        <v>323521.71000000002</v>
      </c>
      <c r="CQ5" s="290"/>
      <c r="CR5" s="290"/>
      <c r="CS5" s="290"/>
      <c r="CT5" s="290">
        <v>212819</v>
      </c>
      <c r="CU5" s="290"/>
      <c r="CV5" s="290"/>
      <c r="CW5" s="290"/>
      <c r="CX5" s="321">
        <f t="shared" ref="CX5:CX12" si="0">IF(D5=0,0,2001-(D5-F5)*C5/D5)</f>
        <v>1999.6451111805941</v>
      </c>
      <c r="CY5" s="333">
        <f t="shared" ref="CY5:CY12" si="1">IF((1-($DX$2-$CX5)/$C5)&gt;0,(1-($DX$2-$CX5)/$C5),0)</f>
        <v>0</v>
      </c>
      <c r="CZ5" s="333">
        <f t="shared" ref="CZ5:CZ12" si="2">IF((1-($DX$2-G$2)/$C5)&gt;0,(1-($DX$2-G$2)/$C5),0)</f>
        <v>0</v>
      </c>
      <c r="DA5" s="333">
        <f t="shared" ref="DA5:DA12" si="3">IF((1-($DX$2-K$2)/$C5)&gt;0,(1-($DX$2-K$2)/$C5),0)</f>
        <v>0</v>
      </c>
      <c r="DB5" s="333">
        <f t="shared" ref="DB5:DB12" si="4">IF((1-($DX$2-O$2)/$C5)&gt;0,(1-($DX$2-O$2)/$C5),0)</f>
        <v>0</v>
      </c>
      <c r="DC5" s="333">
        <f t="shared" ref="DC5:DC12" si="5">IF((1-($DX$2-S$2)/$C5)&gt;0,(1-($DX$2-S$2)/$C5),0)</f>
        <v>0</v>
      </c>
      <c r="DD5" s="333">
        <f t="shared" ref="DD5:DD12" si="6">IF((1-($DX$2-W$2)/$C5)&gt;0,(1-($DX$2-W$2)/$C5),0)</f>
        <v>0</v>
      </c>
      <c r="DE5" s="333">
        <f t="shared" ref="DE5:DE12" si="7">IF((1-($DX$2-AA$2)/$C5)&gt;0,(1-($DX$2-AA$2)/$C5),0)</f>
        <v>0</v>
      </c>
      <c r="DF5" s="333">
        <f t="shared" ref="DF5:DF12" si="8">IF((1-($DX$2-AE$2)/$C5)&gt;0,(1-($DX$2-AE$2)/$C5),0)</f>
        <v>0</v>
      </c>
      <c r="DG5" s="333">
        <f t="shared" ref="DG5:DG12" si="9">IF((1-($DX$2-AI$2)/$C5)&gt;0,(1-($DX$2-AI$2)/$C5),0)</f>
        <v>0</v>
      </c>
      <c r="DH5" s="333">
        <f t="shared" ref="DH5:DH12" si="10">IF((1-($DX$2-AM$2)/$C5)&gt;0,(1-($DX$2-AM$2)/$C5),0)</f>
        <v>0</v>
      </c>
      <c r="DI5" s="333">
        <f t="shared" ref="DI5:DI12" si="11">IF((1-($DX$2-AQ$2)/$C5)&gt;0,(1-($DX$2-AQ$2)/$C5),0)</f>
        <v>0</v>
      </c>
      <c r="DJ5" s="333">
        <f t="shared" ref="DJ5:DJ12" si="12">IF((1-($DX$2-AU$2)/$C5)&gt;0,(1-($DX$2-AU$2)/$C5),0)</f>
        <v>0</v>
      </c>
      <c r="DK5" s="333">
        <f t="shared" ref="DK5:DK12" si="13">IF((1-($DX$2-AY$2)/$C5)&gt;0,(1-($DX$2-AY$2)/$C5),0)</f>
        <v>0</v>
      </c>
      <c r="DL5" s="333">
        <f t="shared" ref="DL5:DL12" si="14">IF((1-($DX$2-BC$2)/$C5)&gt;0,(1-($DX$2-BC$2)/$C5),0)</f>
        <v>0</v>
      </c>
      <c r="DM5" s="333">
        <f t="shared" ref="DM5:DM12" si="15">IF(BG5=0,0,1-($DX$2-(2014.5-(BG5-BI5)*C5/BG5))/C5)</f>
        <v>0</v>
      </c>
      <c r="DN5" s="333">
        <f t="shared" ref="DN5:DN12" si="16">IF((1-($DX$2-BJ$2)/$C5)&gt;0,(1-($DX$2-BJ$2)/$C5),0)</f>
        <v>0</v>
      </c>
      <c r="DO5" s="333">
        <f t="shared" ref="DO5:DO12" si="17">IF((1-($DX$2-BN$2)/$C5)&gt;0,(1-($DX$2-BN$2)/$C5),0)</f>
        <v>0</v>
      </c>
      <c r="DP5" s="333">
        <f t="shared" ref="DP5:DP12" si="18">IF((1-($DX$2-BR$2)/$C5)&gt;0,(1-($DX$2-BR$2)/$C5),0)</f>
        <v>0</v>
      </c>
      <c r="DQ5" s="333">
        <f t="shared" ref="DQ5:DQ12" si="19">IF((1-($DX$2-BV$2)/$C5)&gt;0,(1-($DX$2-BV$2)/$C5),0)</f>
        <v>0</v>
      </c>
      <c r="DR5" s="333">
        <f t="shared" ref="DR5:DR12" si="20">IF((1-($DX$2-BZ$2)/$C5)&gt;0,(1-($DX$2-BZ$2)/$C5),0)</f>
        <v>0</v>
      </c>
      <c r="DS5" s="333">
        <f t="shared" ref="DS5:DS12" si="21">IF((1-($DX$2-CD$2)/$C5)&gt;0,(1-($DX$2-CD$2)/$C5),0)</f>
        <v>0</v>
      </c>
      <c r="DT5" s="333">
        <f t="shared" ref="DT5:DT12" si="22">IF((1-($DX$2-CH$2)/$C5)&gt;0,(1-($DX$2-CH$2)/$C5),0)</f>
        <v>0.25</v>
      </c>
      <c r="DU5" s="333">
        <f>IF((1-($DX$2-CL$2)/$C5)&gt;0,(1-($DX$2-CL$2)/$C5),0)</f>
        <v>0.5</v>
      </c>
      <c r="DV5" s="333">
        <f>IF((1-($DX$2-CP$2)/$C5)&gt;0,(1-($DX$2-CP$2)/$C5),0)</f>
        <v>0.75</v>
      </c>
      <c r="DW5" s="333">
        <f>IF((1-($DX$2-CT$2)/$C5)&gt;0,(1-($DX$2-CT$2)/$C5),0)</f>
        <v>1</v>
      </c>
      <c r="DX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+(CH5-CI5-CJ5)*$CH$60+(CL5-CM5-CN5)*$CL$60+(CP5-CQ5-CR5)*$CP$60+(CT5-CU5-CV5)*$CT$60</f>
        <v>11092618.589541091</v>
      </c>
      <c r="DY5" s="334">
        <f>IF(CY5=0,D5-E5,0)+IF(CZ5=0,(G5-H5-I5)*G$60,0)+IF(DA5=0,(K5-L5-M5)*K$60,0)+IF(DB5=0,(O5-P5-Q5)*O$60,0)+IF(DC5=0,(S5-T5-U5)*S$60,0)+IF(DD5=0,(W5-X5-Y5)*W$60,0)+IF(DE5=0,(AA5-AB5-AC5)*AA$60,0)+IF(DF5=0,(AE5-AF5-AG5)*AE$60,0)+IF(DG5=0,(AI5-AJ5-AK5)*AI$60,0)+IF(DH5=0,(AM5-AN5-AO5)*AM$60,0)+IF(DI5=0,(AQ5-AR5-AS5)*$AQ$60,0)+IF(DJ5=0,(AU5-AV5-AW5)*$AU$60,0)+IF(DK5=0,(AY5-AZ5-BA5)*$AY$60,0)++IF(DL5=0,(BC5-BD5-BE5)*$BC$60,0)+IF(DM5=0,BG5,0)+IF(DN5=0,(BJ5-BK5-BL5)*$BJ$60,0)+IF(DO5=0,(BN5-BO5-BP5)*$BN$60,0)+IF(DP5=0,(BR5-BS5-BT5)*$BR$60,0)+IF(DQ5=0,(BV5-BW5-BX5)*$BV$60,0)+IF(DR5=0,(BZ5-CA5-CB5)*$BZ$60,0)+IF(DS5=0,(CD5-CE5-CF5)*$CD$60,0)+IF(DT5=0,(CH5-CI5-CJ5)*$CH$60,0)+IF(DU5=0,(CL5-CM5-CN5)*$CL$60,0)+IF(DV5=0,(CP5-CQ5-CR5)*$CP$60,0)+IF(DW5=0,(CT5-CU5-CV5)*$CT$60,0)</f>
        <v>9339768.8317265417</v>
      </c>
      <c r="DZ5" s="334">
        <f>(D5-E5)*CY5+((G5-H5-(I5-J5))*G$60)*CZ5+((K5-L5-(M5-N5))*K$60)*DA5+((O5-P5-(Q5-R5))*O$60)*DB5+((S5-T5-(U5-V5))*S$60)*DC5+((W5-X5-(Y5-Z5))*W$60)*DD5+((AA5-AB5-(AC5-AD5))*AA$60)*DE5+((AE5-AF5-(AG5-AH5))*AE$60)*DF5+((AI5-AJ5-(AK5-AL5))*AI$60)*DG5+((AM5-AN5-(AO5-AP5))*$AM$60)*DH5+((AQ5-AR5-(AS5-AT5))*$AQ$60)*DI5+((AU5-AV5-(AW5-AX5))*$AU$60)*DJ5+((AY5-AZ5-(BA5-BB5))*$AY$60)*DK5+((BC5-BD5-(BE5-BF5))*$BC$60)*DL5+((BJ5-BK5-(BL5-BM5))*$BJ$60)*DN5+(BG5-BH5)*DM5+((BN5-BO5-(BP5-BQ5))*$BN$60)*DO5+((BR5-BS5-(BT5-BU5))*$BR$60)*DP5+((BV5-BW5-(BX5-BY5))*$BV$60)*DQ5+((BZ5-CA5-(CB5-CC5))*$BZ$60)*DR5+((CD5-CE5-(CF5-CG5))*$CD$60)*DS5+((CH5-CI5-(CJ5-CK5))*$CH$60*DT5)+((CL5-CM5-(CN5-CO5))*$CL$60*DU5)+((CP5-CQ5-(CR5-CS5))*$CP$60*DV5)+((CT5-CU5-(CV5-CW5))*$CT$60*DW5)</f>
        <v>942222.00645363703</v>
      </c>
    </row>
    <row r="6" spans="1:130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290">
        <v>0</v>
      </c>
      <c r="CI6" s="290">
        <v>0</v>
      </c>
      <c r="CJ6" s="290"/>
      <c r="CK6" s="290"/>
      <c r="CL6" s="290">
        <v>0</v>
      </c>
      <c r="CM6" s="290"/>
      <c r="CN6" s="290"/>
      <c r="CO6" s="290"/>
      <c r="CP6" s="290">
        <v>0</v>
      </c>
      <c r="CQ6" s="290"/>
      <c r="CR6" s="290"/>
      <c r="CS6" s="290"/>
      <c r="CT6" s="290">
        <v>0</v>
      </c>
      <c r="CU6" s="290"/>
      <c r="CV6" s="290"/>
      <c r="CW6" s="290"/>
      <c r="CX6" s="321">
        <f t="shared" si="0"/>
        <v>2001</v>
      </c>
      <c r="CY6" s="333">
        <f t="shared" si="1"/>
        <v>0.97699999999999998</v>
      </c>
      <c r="CZ6" s="333">
        <f t="shared" si="2"/>
        <v>0.97799999999999998</v>
      </c>
      <c r="DA6" s="333">
        <f t="shared" si="3"/>
        <v>0.97899999999999998</v>
      </c>
      <c r="DB6" s="333">
        <f t="shared" si="4"/>
        <v>0.98</v>
      </c>
      <c r="DC6" s="333">
        <f t="shared" si="5"/>
        <v>0.98099999999999998</v>
      </c>
      <c r="DD6" s="333">
        <f t="shared" si="6"/>
        <v>0.98199999999999998</v>
      </c>
      <c r="DE6" s="333">
        <f t="shared" si="7"/>
        <v>0.98299999999999998</v>
      </c>
      <c r="DF6" s="333">
        <f t="shared" si="8"/>
        <v>0.98399999999999999</v>
      </c>
      <c r="DG6" s="333">
        <f t="shared" si="9"/>
        <v>0.98499999999999999</v>
      </c>
      <c r="DH6" s="333">
        <f t="shared" si="10"/>
        <v>0.98599999999999999</v>
      </c>
      <c r="DI6" s="333">
        <f t="shared" si="11"/>
        <v>0.98699999999999999</v>
      </c>
      <c r="DJ6" s="333">
        <f t="shared" si="12"/>
        <v>0.98799999999999999</v>
      </c>
      <c r="DK6" s="333">
        <f t="shared" si="13"/>
        <v>0.98899999999999999</v>
      </c>
      <c r="DL6" s="333">
        <f t="shared" si="14"/>
        <v>0.99</v>
      </c>
      <c r="DM6" s="333">
        <f t="shared" si="15"/>
        <v>0.99050000000000005</v>
      </c>
      <c r="DN6" s="333">
        <f t="shared" si="16"/>
        <v>0.99099999999999999</v>
      </c>
      <c r="DO6" s="333">
        <f t="shared" si="17"/>
        <v>0.99199999999999999</v>
      </c>
      <c r="DP6" s="333">
        <f t="shared" si="18"/>
        <v>0.99299999999999999</v>
      </c>
      <c r="DQ6" s="333">
        <f t="shared" si="19"/>
        <v>0.99399999999999999</v>
      </c>
      <c r="DR6" s="333">
        <f t="shared" si="20"/>
        <v>0.995</v>
      </c>
      <c r="DS6" s="333">
        <f t="shared" si="21"/>
        <v>0.996</v>
      </c>
      <c r="DT6" s="333">
        <f t="shared" si="22"/>
        <v>0.997</v>
      </c>
      <c r="DU6" s="333">
        <f t="shared" ref="DU6:DU12" si="23">IF((1-($DX$2-CL$2)/$C6)&gt;0,(1-($DX$2-CL$2)/$C6),0)</f>
        <v>0.998</v>
      </c>
      <c r="DV6" s="333">
        <f t="shared" ref="DV6:DV12" si="24">IF((1-($DX$2-CP$2)/$C6)&gt;0,(1-($DX$2-CP$2)/$C6),0)</f>
        <v>0.999</v>
      </c>
      <c r="DW6" s="333">
        <f t="shared" ref="DW6:DW12" si="25">IF((1-($DX$2-CT$2)/$C6)&gt;0,(1-($DX$2-CT$2)/$C6),0)</f>
        <v>1</v>
      </c>
      <c r="DX6" s="334">
        <f t="shared" ref="DX6:DX12" si="26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+(CH6-CI6-CJ6)*$CH$60+(CL6-CM6-CN6)*$CL$60+(CP6-CQ6-CR6)*$CP$60+(CT6-CU6-CV6)*$CT$60</f>
        <v>1314125.0854951243</v>
      </c>
      <c r="DY6" s="334">
        <f t="shared" ref="DY6:DY12" si="27">IF(CY6=0,D6-E6,0)+IF(CZ6=0,(G6-H6-I6)*G$60,0)+IF(DA6=0,(K6-L6-M6)*K$60,0)+IF(DB6=0,(O6-P6-Q6)*O$60,0)+IF(DC6=0,(S6-T6-U6)*S$60,0)+IF(DD6=0,(W6-X6-Y6)*W$60,0)+IF(DE6=0,(AA6-AB6-AC6)*AA$60,0)+IF(DF6=0,(AE6-AF6-AG6)*AE$60,0)+IF(DG6=0,(AI6-AJ6-AK6)*AI$60,0)+IF(DH6=0,(AM6-AN6-AO6)*AM$60,0)+IF(DI6=0,(AQ6-AR6-AS6)*$AQ$60,0)+IF(DJ6=0,(AU6-AV6-AW6)*$AU$60,0)+IF(DK6=0,(AY6-AZ6-BA6)*$AY$60,0)++IF(DL6=0,(BC6-BD6-BE6)*$BC$60,0)+IF(DM6=0,BG6,0)+IF(DN6=0,(BJ6-BK6-BL6)*$BJ$60,0)+IF(DO6=0,(BN6-BO6-BP6)*$BN$60,0)+IF(DP6=0,(BR6-BS6-BT6)*$BR$60,0)+IF(DQ6=0,(BV6-BW6-BX6)*$BV$60,0)+IF(DR6=0,(BZ6-CA6-CB6)*$BZ$60,0)+IF(DS6=0,(CD6-CE6-CF6)*$CD$60,0)+IF(DT6=0,(CH6-CI6-CJ6)*$CH$60,0)+IF(DU6=0,(CL6-CM6-CN6)*$CL$60,0)+IF(DV6=0,(CP6-CQ6-CR6)*$CP$60,0)+IF(DW6=0,(CT6-CU6-CV6)*$CT$60,0)</f>
        <v>0</v>
      </c>
      <c r="DZ6" s="334">
        <f t="shared" ref="DZ6:DZ12" si="28">(D6-E6)*CY6+((G6-H6-(I6-J6))*G$60)*CZ6+((K6-L6-(M6-N6))*K$60)*DA6+((O6-P6-(Q6-R6))*O$60)*DB6+((S6-T6-(U6-V6))*S$60)*DC6+((W6-X6-(Y6-Z6))*W$60)*DD6+((AA6-AB6-(AC6-AD6))*AA$60)*DE6+((AE6-AF6-(AG6-AH6))*AE$60)*DF6+((AI6-AJ6-(AK6-AL6))*AI$60)*DG6+((AM6-AN6-(AO6-AP6))*$AM$60)*DH6+((AQ6-AR6-(AS6-AT6))*$AQ$60)*DI6+((AU6-AV6-(AW6-AX6))*$AU$60)*DJ6+((AY6-AZ6-(BA6-BB6))*$AY$60)*DK6+((BC6-BD6-(BE6-BF6))*$BC$60)*DL6+((BJ6-BK6-(BL6-BM6))*$BJ$60)*DN6+(BG6-BH6)*DM6+((BN6-BO6-(BP6-BQ6))*$BN$60)*DO6+((BR6-BS6-(BT6-BU6))*$BR$60)*DP6+((BV6-BW6-(BX6-BY6))*$BV$60)*DQ6+((BZ6-CA6-(CB6-CC6))*$BZ$60)*DR6+((CD6-CE6-(CF6-CG6))*$CD$60)*DS6+((CH6-CI6-(CJ6-CK6))*$CH$60*DT6)+((CL6-CM6-(CN6-CO6))*$CL$60*DU6)+((CP6-CQ6-(CR6-CS6))*$CP$60*DV6)+((CT6-CU6-(CV6-CW6))*$CT$60*DW6)</f>
        <v>1300928.0628430925</v>
      </c>
    </row>
    <row r="7" spans="1:130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290">
        <v>224894.88999999998</v>
      </c>
      <c r="CI7" s="290">
        <v>0</v>
      </c>
      <c r="CJ7" s="290"/>
      <c r="CK7" s="290"/>
      <c r="CL7" s="290">
        <v>102170.87</v>
      </c>
      <c r="CM7" s="290"/>
      <c r="CN7" s="290"/>
      <c r="CO7" s="290"/>
      <c r="CP7" s="290">
        <v>24833</v>
      </c>
      <c r="CQ7" s="290"/>
      <c r="CR7" s="290"/>
      <c r="CS7" s="290"/>
      <c r="CT7" s="290">
        <v>130007</v>
      </c>
      <c r="CU7" s="290"/>
      <c r="CV7" s="290"/>
      <c r="CW7" s="290"/>
      <c r="CX7" s="321">
        <f t="shared" si="0"/>
        <v>1985.8657049273502</v>
      </c>
      <c r="CY7" s="333">
        <f t="shared" si="1"/>
        <v>4.664262318375445E-2</v>
      </c>
      <c r="CZ7" s="333">
        <f t="shared" si="2"/>
        <v>0.44999999999999996</v>
      </c>
      <c r="DA7" s="333">
        <f t="shared" si="3"/>
        <v>0.47499999999999998</v>
      </c>
      <c r="DB7" s="333">
        <f t="shared" si="4"/>
        <v>0.5</v>
      </c>
      <c r="DC7" s="333">
        <f t="shared" si="5"/>
        <v>0.52500000000000002</v>
      </c>
      <c r="DD7" s="333">
        <f t="shared" si="6"/>
        <v>0.55000000000000004</v>
      </c>
      <c r="DE7" s="333">
        <f t="shared" si="7"/>
        <v>0.57499999999999996</v>
      </c>
      <c r="DF7" s="333">
        <f t="shared" si="8"/>
        <v>0.6</v>
      </c>
      <c r="DG7" s="333">
        <f t="shared" si="9"/>
        <v>0.625</v>
      </c>
      <c r="DH7" s="333">
        <f t="shared" si="10"/>
        <v>0.65</v>
      </c>
      <c r="DI7" s="333">
        <f t="shared" si="11"/>
        <v>0.67500000000000004</v>
      </c>
      <c r="DJ7" s="333">
        <f t="shared" si="12"/>
        <v>0.7</v>
      </c>
      <c r="DK7" s="333">
        <f t="shared" si="13"/>
        <v>0.72499999999999998</v>
      </c>
      <c r="DL7" s="333">
        <f t="shared" si="14"/>
        <v>0.75</v>
      </c>
      <c r="DM7" s="333">
        <f t="shared" si="15"/>
        <v>0.76249999999999996</v>
      </c>
      <c r="DN7" s="333">
        <f t="shared" si="16"/>
        <v>0.77500000000000002</v>
      </c>
      <c r="DO7" s="333">
        <f t="shared" si="17"/>
        <v>0.8</v>
      </c>
      <c r="DP7" s="333">
        <f t="shared" si="18"/>
        <v>0.82499999999999996</v>
      </c>
      <c r="DQ7" s="333">
        <f t="shared" si="19"/>
        <v>0.85</v>
      </c>
      <c r="DR7" s="333">
        <f t="shared" si="20"/>
        <v>0.875</v>
      </c>
      <c r="DS7" s="333">
        <f t="shared" si="21"/>
        <v>0.9</v>
      </c>
      <c r="DT7" s="333">
        <f t="shared" si="22"/>
        <v>0.92500000000000004</v>
      </c>
      <c r="DU7" s="333">
        <f t="shared" si="23"/>
        <v>0.95</v>
      </c>
      <c r="DV7" s="333">
        <f t="shared" si="24"/>
        <v>0.97499999999999998</v>
      </c>
      <c r="DW7" s="333">
        <f t="shared" si="25"/>
        <v>1</v>
      </c>
      <c r="DX7" s="334">
        <f t="shared" si="26"/>
        <v>2092576.2829245096</v>
      </c>
      <c r="DY7" s="334">
        <f t="shared" si="27"/>
        <v>0</v>
      </c>
      <c r="DZ7" s="334">
        <f t="shared" si="28"/>
        <v>841275.34953536501</v>
      </c>
    </row>
    <row r="8" spans="1:130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290">
        <v>3954.7</v>
      </c>
      <c r="CI8" s="290">
        <v>0</v>
      </c>
      <c r="CJ8" s="290"/>
      <c r="CK8" s="290"/>
      <c r="CL8" s="290">
        <v>0</v>
      </c>
      <c r="CM8" s="290"/>
      <c r="CN8" s="290"/>
      <c r="CO8" s="290"/>
      <c r="CP8" s="290">
        <v>0</v>
      </c>
      <c r="CQ8" s="290"/>
      <c r="CR8" s="290"/>
      <c r="CS8" s="290"/>
      <c r="CT8" s="290">
        <v>0</v>
      </c>
      <c r="CU8" s="290"/>
      <c r="CV8" s="290"/>
      <c r="CW8" s="290"/>
      <c r="CX8" s="321">
        <f t="shared" si="0"/>
        <v>1994.501126969511</v>
      </c>
      <c r="CY8" s="333">
        <f t="shared" si="1"/>
        <v>0</v>
      </c>
      <c r="CZ8" s="333">
        <f t="shared" si="2"/>
        <v>0</v>
      </c>
      <c r="DA8" s="333">
        <f t="shared" si="3"/>
        <v>0</v>
      </c>
      <c r="DB8" s="333">
        <f t="shared" si="4"/>
        <v>0</v>
      </c>
      <c r="DC8" s="333">
        <f t="shared" si="5"/>
        <v>0</v>
      </c>
      <c r="DD8" s="333">
        <f t="shared" si="6"/>
        <v>0</v>
      </c>
      <c r="DE8" s="333">
        <f t="shared" si="7"/>
        <v>0</v>
      </c>
      <c r="DF8" s="333">
        <f t="shared" si="8"/>
        <v>0</v>
      </c>
      <c r="DG8" s="333">
        <f t="shared" si="9"/>
        <v>0</v>
      </c>
      <c r="DH8" s="333">
        <f t="shared" si="10"/>
        <v>0</v>
      </c>
      <c r="DI8" s="333">
        <f t="shared" si="11"/>
        <v>0</v>
      </c>
      <c r="DJ8" s="333">
        <f t="shared" si="12"/>
        <v>0</v>
      </c>
      <c r="DK8" s="333">
        <f t="shared" si="13"/>
        <v>0</v>
      </c>
      <c r="DL8" s="333">
        <f t="shared" si="14"/>
        <v>0</v>
      </c>
      <c r="DM8" s="333">
        <f t="shared" si="15"/>
        <v>0</v>
      </c>
      <c r="DN8" s="333">
        <f t="shared" si="16"/>
        <v>0</v>
      </c>
      <c r="DO8" s="333">
        <f t="shared" si="17"/>
        <v>0</v>
      </c>
      <c r="DP8" s="333">
        <f t="shared" si="18"/>
        <v>0</v>
      </c>
      <c r="DQ8" s="333">
        <f t="shared" si="19"/>
        <v>0.1428571428571429</v>
      </c>
      <c r="DR8" s="333">
        <f t="shared" si="20"/>
        <v>0.2857142857142857</v>
      </c>
      <c r="DS8" s="333">
        <f t="shared" si="21"/>
        <v>0.4285714285714286</v>
      </c>
      <c r="DT8" s="333">
        <f t="shared" si="22"/>
        <v>0.5714285714285714</v>
      </c>
      <c r="DU8" s="333">
        <f t="shared" si="23"/>
        <v>0.7142857142857143</v>
      </c>
      <c r="DV8" s="333">
        <f t="shared" si="24"/>
        <v>0.85714285714285721</v>
      </c>
      <c r="DW8" s="333">
        <f t="shared" si="25"/>
        <v>1</v>
      </c>
      <c r="DX8" s="334">
        <f t="shared" si="26"/>
        <v>1056082.4702948339</v>
      </c>
      <c r="DY8" s="334">
        <f t="shared" si="27"/>
        <v>1044291.8698791814</v>
      </c>
      <c r="DZ8" s="334">
        <f t="shared" si="28"/>
        <v>4375.4976660871553</v>
      </c>
    </row>
    <row r="9" spans="1:130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290">
        <v>150207.26999999999</v>
      </c>
      <c r="CI9" s="290">
        <v>0</v>
      </c>
      <c r="CJ9" s="290"/>
      <c r="CK9" s="290"/>
      <c r="CL9" s="290">
        <v>196952.84</v>
      </c>
      <c r="CM9" s="290"/>
      <c r="CN9" s="290"/>
      <c r="CO9" s="290"/>
      <c r="CP9" s="290">
        <v>695929</v>
      </c>
      <c r="CQ9" s="290"/>
      <c r="CR9" s="290"/>
      <c r="CS9" s="290"/>
      <c r="CT9" s="290">
        <v>372310</v>
      </c>
      <c r="CU9" s="290"/>
      <c r="CV9" s="290"/>
      <c r="CW9" s="290"/>
      <c r="CX9" s="321">
        <f t="shared" si="0"/>
        <v>1997.9397485452369</v>
      </c>
      <c r="CY9" s="333">
        <f t="shared" si="1"/>
        <v>0</v>
      </c>
      <c r="CZ9" s="333">
        <f t="shared" si="2"/>
        <v>0</v>
      </c>
      <c r="DA9" s="333">
        <f t="shared" si="3"/>
        <v>0</v>
      </c>
      <c r="DB9" s="333">
        <f t="shared" si="4"/>
        <v>0</v>
      </c>
      <c r="DC9" s="333">
        <f t="shared" si="5"/>
        <v>0</v>
      </c>
      <c r="DD9" s="333">
        <f t="shared" si="6"/>
        <v>0</v>
      </c>
      <c r="DE9" s="333">
        <f t="shared" si="7"/>
        <v>0</v>
      </c>
      <c r="DF9" s="333">
        <f t="shared" si="8"/>
        <v>0</v>
      </c>
      <c r="DG9" s="333">
        <f t="shared" si="9"/>
        <v>0</v>
      </c>
      <c r="DH9" s="333">
        <f t="shared" si="10"/>
        <v>0</v>
      </c>
      <c r="DI9" s="333">
        <f t="shared" si="11"/>
        <v>0</v>
      </c>
      <c r="DJ9" s="333">
        <f t="shared" si="12"/>
        <v>0</v>
      </c>
      <c r="DK9" s="333">
        <f t="shared" si="13"/>
        <v>0</v>
      </c>
      <c r="DL9" s="333">
        <f t="shared" si="14"/>
        <v>0</v>
      </c>
      <c r="DM9" s="333">
        <f t="shared" si="15"/>
        <v>0</v>
      </c>
      <c r="DN9" s="333">
        <f t="shared" si="16"/>
        <v>0</v>
      </c>
      <c r="DO9" s="333">
        <f t="shared" si="17"/>
        <v>0</v>
      </c>
      <c r="DP9" s="333">
        <f t="shared" si="18"/>
        <v>0</v>
      </c>
      <c r="DQ9" s="333">
        <f t="shared" si="19"/>
        <v>0</v>
      </c>
      <c r="DR9" s="333">
        <f t="shared" si="20"/>
        <v>0</v>
      </c>
      <c r="DS9" s="333">
        <f t="shared" si="21"/>
        <v>0</v>
      </c>
      <c r="DT9" s="333">
        <f t="shared" si="22"/>
        <v>0.25</v>
      </c>
      <c r="DU9" s="333">
        <f t="shared" si="23"/>
        <v>0.5</v>
      </c>
      <c r="DV9" s="333">
        <f t="shared" si="24"/>
        <v>0.75</v>
      </c>
      <c r="DW9" s="333">
        <f t="shared" si="25"/>
        <v>1</v>
      </c>
      <c r="DX9" s="334">
        <f t="shared" si="26"/>
        <v>3459256.9993069661</v>
      </c>
      <c r="DY9" s="334">
        <f t="shared" si="27"/>
        <v>2186749.5246091885</v>
      </c>
      <c r="DZ9" s="334">
        <f t="shared" si="28"/>
        <v>926918.55767444428</v>
      </c>
    </row>
    <row r="10" spans="1:130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290">
        <v>0</v>
      </c>
      <c r="CI10" s="290">
        <v>0</v>
      </c>
      <c r="CJ10" s="290"/>
      <c r="CK10" s="290"/>
      <c r="CL10" s="290">
        <v>0</v>
      </c>
      <c r="CM10" s="290"/>
      <c r="CN10" s="290"/>
      <c r="CO10" s="290"/>
      <c r="CP10" s="290">
        <v>0</v>
      </c>
      <c r="CQ10" s="290"/>
      <c r="CR10" s="290"/>
      <c r="CS10" s="290"/>
      <c r="CT10" s="290">
        <v>0</v>
      </c>
      <c r="CU10" s="290"/>
      <c r="CV10" s="290"/>
      <c r="CW10" s="290"/>
      <c r="CX10" s="321">
        <f t="shared" si="0"/>
        <v>1996.8815287911268</v>
      </c>
      <c r="CY10" s="333">
        <f t="shared" si="1"/>
        <v>0</v>
      </c>
      <c r="CZ10" s="333">
        <f t="shared" si="2"/>
        <v>0</v>
      </c>
      <c r="DA10" s="333">
        <f t="shared" si="3"/>
        <v>0</v>
      </c>
      <c r="DB10" s="333">
        <f t="shared" si="4"/>
        <v>0</v>
      </c>
      <c r="DC10" s="333">
        <f t="shared" si="5"/>
        <v>0</v>
      </c>
      <c r="DD10" s="333">
        <f t="shared" si="6"/>
        <v>0</v>
      </c>
      <c r="DE10" s="333">
        <f t="shared" si="7"/>
        <v>0</v>
      </c>
      <c r="DF10" s="333">
        <f t="shared" si="8"/>
        <v>0</v>
      </c>
      <c r="DG10" s="333">
        <f t="shared" si="9"/>
        <v>0</v>
      </c>
      <c r="DH10" s="333">
        <f t="shared" si="10"/>
        <v>0</v>
      </c>
      <c r="DI10" s="333">
        <f t="shared" si="11"/>
        <v>0</v>
      </c>
      <c r="DJ10" s="333">
        <f t="shared" si="12"/>
        <v>0</v>
      </c>
      <c r="DK10" s="333">
        <f t="shared" si="13"/>
        <v>0</v>
      </c>
      <c r="DL10" s="333">
        <f t="shared" si="14"/>
        <v>0</v>
      </c>
      <c r="DM10" s="333">
        <f t="shared" si="15"/>
        <v>0</v>
      </c>
      <c r="DN10" s="333">
        <f t="shared" si="16"/>
        <v>0</v>
      </c>
      <c r="DO10" s="333">
        <f t="shared" si="17"/>
        <v>0</v>
      </c>
      <c r="DP10" s="333">
        <f t="shared" si="18"/>
        <v>0</v>
      </c>
      <c r="DQ10" s="333">
        <f t="shared" si="19"/>
        <v>0</v>
      </c>
      <c r="DR10" s="333">
        <f t="shared" si="20"/>
        <v>0</v>
      </c>
      <c r="DS10" s="333">
        <f t="shared" si="21"/>
        <v>0.19999999999999996</v>
      </c>
      <c r="DT10" s="333">
        <f t="shared" si="22"/>
        <v>0.4</v>
      </c>
      <c r="DU10" s="333">
        <f t="shared" si="23"/>
        <v>0.6</v>
      </c>
      <c r="DV10" s="333">
        <f t="shared" si="24"/>
        <v>0.8</v>
      </c>
      <c r="DW10" s="333">
        <f t="shared" si="25"/>
        <v>1</v>
      </c>
      <c r="DX10" s="334">
        <f t="shared" si="26"/>
        <v>2106488.1793448166</v>
      </c>
      <c r="DY10" s="334">
        <f t="shared" si="27"/>
        <v>2008410.6793448166</v>
      </c>
      <c r="DZ10" s="334">
        <f t="shared" si="28"/>
        <v>19615.5</v>
      </c>
    </row>
    <row r="11" spans="1:130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290">
        <v>0</v>
      </c>
      <c r="CI11" s="290">
        <v>0</v>
      </c>
      <c r="CJ11" s="290"/>
      <c r="CK11" s="290"/>
      <c r="CL11" s="290">
        <v>0</v>
      </c>
      <c r="CM11" s="290"/>
      <c r="CN11" s="290"/>
      <c r="CO11" s="290"/>
      <c r="CP11" s="290">
        <v>0</v>
      </c>
      <c r="CQ11" s="290"/>
      <c r="CR11" s="290"/>
      <c r="CS11" s="290"/>
      <c r="CT11" s="290">
        <v>0</v>
      </c>
      <c r="CU11" s="290"/>
      <c r="CV11" s="290"/>
      <c r="CW11" s="290"/>
      <c r="CX11" s="321">
        <f t="shared" si="0"/>
        <v>0</v>
      </c>
      <c r="CY11" s="333">
        <f t="shared" si="1"/>
        <v>0</v>
      </c>
      <c r="CZ11" s="333">
        <f t="shared" si="2"/>
        <v>0</v>
      </c>
      <c r="DA11" s="333">
        <f t="shared" si="3"/>
        <v>0</v>
      </c>
      <c r="DB11" s="333">
        <f t="shared" si="4"/>
        <v>0</v>
      </c>
      <c r="DC11" s="333">
        <f t="shared" si="5"/>
        <v>0</v>
      </c>
      <c r="DD11" s="333">
        <f t="shared" si="6"/>
        <v>0</v>
      </c>
      <c r="DE11" s="333">
        <f t="shared" si="7"/>
        <v>0</v>
      </c>
      <c r="DF11" s="333">
        <f t="shared" si="8"/>
        <v>0</v>
      </c>
      <c r="DG11" s="333">
        <f t="shared" si="9"/>
        <v>0</v>
      </c>
      <c r="DH11" s="333">
        <f t="shared" si="10"/>
        <v>0</v>
      </c>
      <c r="DI11" s="333">
        <f t="shared" si="11"/>
        <v>0</v>
      </c>
      <c r="DJ11" s="333">
        <f t="shared" si="12"/>
        <v>0</v>
      </c>
      <c r="DK11" s="333">
        <f t="shared" si="13"/>
        <v>0</v>
      </c>
      <c r="DL11" s="333">
        <f t="shared" si="14"/>
        <v>0</v>
      </c>
      <c r="DM11" s="333">
        <f t="shared" si="15"/>
        <v>0</v>
      </c>
      <c r="DN11" s="333">
        <f t="shared" si="16"/>
        <v>0</v>
      </c>
      <c r="DO11" s="333">
        <f t="shared" si="17"/>
        <v>0</v>
      </c>
      <c r="DP11" s="333">
        <f t="shared" si="18"/>
        <v>0.125</v>
      </c>
      <c r="DQ11" s="333">
        <f t="shared" si="19"/>
        <v>0.25</v>
      </c>
      <c r="DR11" s="333">
        <f t="shared" si="20"/>
        <v>0.375</v>
      </c>
      <c r="DS11" s="333">
        <f t="shared" si="21"/>
        <v>0.5</v>
      </c>
      <c r="DT11" s="333">
        <f t="shared" si="22"/>
        <v>0.625</v>
      </c>
      <c r="DU11" s="333">
        <f t="shared" si="23"/>
        <v>0.75</v>
      </c>
      <c r="DV11" s="333">
        <f t="shared" si="24"/>
        <v>0.875</v>
      </c>
      <c r="DW11" s="333">
        <f t="shared" si="25"/>
        <v>1</v>
      </c>
      <c r="DX11" s="334">
        <f t="shared" si="26"/>
        <v>160060.38764167234</v>
      </c>
      <c r="DY11" s="334">
        <f t="shared" si="27"/>
        <v>160060.38764167234</v>
      </c>
      <c r="DZ11" s="334">
        <f t="shared" si="28"/>
        <v>0</v>
      </c>
    </row>
    <row r="12" spans="1:130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291">
        <v>41291.910000000003</v>
      </c>
      <c r="CI12" s="290">
        <v>0</v>
      </c>
      <c r="CJ12" s="291"/>
      <c r="CK12" s="291"/>
      <c r="CL12" s="290">
        <v>0</v>
      </c>
      <c r="CM12" s="290"/>
      <c r="CN12" s="291"/>
      <c r="CO12" s="291"/>
      <c r="CP12" s="290">
        <v>27275.83</v>
      </c>
      <c r="CQ12" s="290"/>
      <c r="CR12" s="291"/>
      <c r="CS12" s="291"/>
      <c r="CT12" s="290">
        <v>188440.37</v>
      </c>
      <c r="CU12" s="290"/>
      <c r="CV12" s="291"/>
      <c r="CW12" s="291"/>
      <c r="CX12" s="321">
        <f t="shared" si="0"/>
        <v>1992.645817714536</v>
      </c>
      <c r="CY12" s="333">
        <f t="shared" si="1"/>
        <v>0</v>
      </c>
      <c r="CZ12" s="333">
        <f t="shared" si="2"/>
        <v>0</v>
      </c>
      <c r="DA12" s="333">
        <f t="shared" si="3"/>
        <v>0</v>
      </c>
      <c r="DB12" s="333">
        <f t="shared" si="4"/>
        <v>0</v>
      </c>
      <c r="DC12" s="333">
        <f t="shared" si="5"/>
        <v>0</v>
      </c>
      <c r="DD12" s="348">
        <f t="shared" si="6"/>
        <v>0</v>
      </c>
      <c r="DE12" s="333">
        <f t="shared" si="7"/>
        <v>0</v>
      </c>
      <c r="DF12" s="333">
        <f t="shared" si="8"/>
        <v>5.8823529411764719E-2</v>
      </c>
      <c r="DG12" s="333">
        <f t="shared" si="9"/>
        <v>0.11764705882352944</v>
      </c>
      <c r="DH12" s="333">
        <f t="shared" si="10"/>
        <v>0.17647058823529416</v>
      </c>
      <c r="DI12" s="333">
        <f t="shared" si="11"/>
        <v>0.23529411764705888</v>
      </c>
      <c r="DJ12" s="333">
        <f t="shared" si="12"/>
        <v>0.29411764705882348</v>
      </c>
      <c r="DK12" s="333">
        <f t="shared" si="13"/>
        <v>0.3529411764705882</v>
      </c>
      <c r="DL12" s="333">
        <f t="shared" si="14"/>
        <v>0.41176470588235292</v>
      </c>
      <c r="DM12" s="333">
        <f t="shared" si="15"/>
        <v>0</v>
      </c>
      <c r="DN12" s="333">
        <f t="shared" si="16"/>
        <v>0.47058823529411764</v>
      </c>
      <c r="DO12" s="333">
        <f t="shared" si="17"/>
        <v>0.52941176470588236</v>
      </c>
      <c r="DP12" s="333">
        <f t="shared" si="18"/>
        <v>0.58823529411764708</v>
      </c>
      <c r="DQ12" s="333">
        <f t="shared" si="19"/>
        <v>0.64705882352941169</v>
      </c>
      <c r="DR12" s="333">
        <f t="shared" si="20"/>
        <v>0.70588235294117641</v>
      </c>
      <c r="DS12" s="333">
        <f t="shared" si="21"/>
        <v>0.76470588235294112</v>
      </c>
      <c r="DT12" s="333">
        <f t="shared" si="22"/>
        <v>0.82352941176470584</v>
      </c>
      <c r="DU12" s="333">
        <f t="shared" si="23"/>
        <v>0.88235294117647056</v>
      </c>
      <c r="DV12" s="333">
        <f t="shared" si="24"/>
        <v>0.94117647058823528</v>
      </c>
      <c r="DW12" s="333">
        <f t="shared" si="25"/>
        <v>1</v>
      </c>
      <c r="DX12" s="334">
        <f t="shared" si="26"/>
        <v>1198231.2677361334</v>
      </c>
      <c r="DY12" s="334">
        <f t="shared" si="27"/>
        <v>913687.47658722766</v>
      </c>
      <c r="DZ12" s="334">
        <f t="shared" si="28"/>
        <v>238403.50130004343</v>
      </c>
    </row>
    <row r="13" spans="1:130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9">SUM(E5:E12)</f>
        <v>0</v>
      </c>
      <c r="F13" s="296">
        <f t="shared" si="29"/>
        <v>3156823.1414713804</v>
      </c>
      <c r="G13" s="296">
        <f t="shared" si="29"/>
        <v>266106.52899199998</v>
      </c>
      <c r="H13" s="296">
        <f t="shared" si="29"/>
        <v>0</v>
      </c>
      <c r="I13" s="296">
        <f t="shared" si="29"/>
        <v>0</v>
      </c>
      <c r="J13" s="296">
        <f t="shared" si="29"/>
        <v>0</v>
      </c>
      <c r="K13" s="296">
        <f t="shared" si="29"/>
        <v>107260.34</v>
      </c>
      <c r="L13" s="296">
        <f t="shared" si="29"/>
        <v>0</v>
      </c>
      <c r="M13" s="296">
        <f t="shared" si="29"/>
        <v>0</v>
      </c>
      <c r="N13" s="296">
        <f t="shared" si="29"/>
        <v>0</v>
      </c>
      <c r="O13" s="296">
        <f t="shared" si="29"/>
        <v>170017.04106100003</v>
      </c>
      <c r="P13" s="296">
        <f t="shared" si="29"/>
        <v>0</v>
      </c>
      <c r="Q13" s="296">
        <f t="shared" si="29"/>
        <v>0</v>
      </c>
      <c r="R13" s="296">
        <f t="shared" si="29"/>
        <v>0</v>
      </c>
      <c r="S13" s="296">
        <f t="shared" si="29"/>
        <v>141552.63</v>
      </c>
      <c r="T13" s="296">
        <f t="shared" si="29"/>
        <v>0</v>
      </c>
      <c r="U13" s="296">
        <f t="shared" si="29"/>
        <v>0</v>
      </c>
      <c r="V13" s="296">
        <f t="shared" si="29"/>
        <v>0</v>
      </c>
      <c r="W13" s="296">
        <f t="shared" si="29"/>
        <v>334246.14000000007</v>
      </c>
      <c r="X13" s="296">
        <f t="shared" si="29"/>
        <v>0</v>
      </c>
      <c r="Y13" s="296">
        <f t="shared" si="29"/>
        <v>0</v>
      </c>
      <c r="Z13" s="296">
        <f t="shared" si="29"/>
        <v>0</v>
      </c>
      <c r="AA13" s="296">
        <f t="shared" si="29"/>
        <v>167868.13</v>
      </c>
      <c r="AB13" s="296">
        <f t="shared" si="29"/>
        <v>0</v>
      </c>
      <c r="AC13" s="296">
        <f t="shared" si="29"/>
        <v>0</v>
      </c>
      <c r="AD13" s="296">
        <f t="shared" si="29"/>
        <v>0</v>
      </c>
      <c r="AE13" s="296">
        <f t="shared" si="29"/>
        <v>132511.28</v>
      </c>
      <c r="AF13" s="296">
        <f t="shared" si="29"/>
        <v>0</v>
      </c>
      <c r="AG13" s="296">
        <f t="shared" si="29"/>
        <v>0</v>
      </c>
      <c r="AH13" s="296">
        <f t="shared" si="29"/>
        <v>0</v>
      </c>
      <c r="AI13" s="296">
        <f t="shared" si="29"/>
        <v>323314.10387699993</v>
      </c>
      <c r="AJ13" s="296">
        <f t="shared" si="29"/>
        <v>0</v>
      </c>
      <c r="AK13" s="296">
        <f t="shared" si="29"/>
        <v>0</v>
      </c>
      <c r="AL13" s="296">
        <f t="shared" si="29"/>
        <v>0</v>
      </c>
      <c r="AM13" s="296">
        <f t="shared" si="29"/>
        <v>91335.93</v>
      </c>
      <c r="AN13" s="296">
        <f t="shared" si="29"/>
        <v>0</v>
      </c>
      <c r="AO13" s="296">
        <f t="shared" si="29"/>
        <v>0</v>
      </c>
      <c r="AP13" s="296">
        <f t="shared" si="29"/>
        <v>0</v>
      </c>
      <c r="AQ13" s="296">
        <f t="shared" si="29"/>
        <v>243514.73</v>
      </c>
      <c r="AR13" s="296">
        <f t="shared" si="29"/>
        <v>0</v>
      </c>
      <c r="AS13" s="296">
        <f t="shared" si="29"/>
        <v>0</v>
      </c>
      <c r="AT13" s="296">
        <f t="shared" si="29"/>
        <v>0</v>
      </c>
      <c r="AU13" s="296">
        <f t="shared" si="29"/>
        <v>0</v>
      </c>
      <c r="AV13" s="296">
        <f t="shared" si="29"/>
        <v>0</v>
      </c>
      <c r="AW13" s="296">
        <f t="shared" si="29"/>
        <v>0</v>
      </c>
      <c r="AX13" s="296">
        <f t="shared" si="29"/>
        <v>0</v>
      </c>
      <c r="AY13" s="296">
        <f t="shared" si="29"/>
        <v>56420.78</v>
      </c>
      <c r="AZ13" s="296">
        <f t="shared" si="29"/>
        <v>0</v>
      </c>
      <c r="BA13" s="296">
        <f t="shared" si="29"/>
        <v>0</v>
      </c>
      <c r="BB13" s="296">
        <f t="shared" si="29"/>
        <v>0</v>
      </c>
      <c r="BC13" s="296">
        <f t="shared" si="29"/>
        <v>1275811.54</v>
      </c>
      <c r="BD13" s="296">
        <f t="shared" si="29"/>
        <v>0</v>
      </c>
      <c r="BE13" s="296">
        <f t="shared" si="29"/>
        <v>0</v>
      </c>
      <c r="BF13" s="296">
        <f t="shared" si="29"/>
        <v>0</v>
      </c>
      <c r="BG13" s="296">
        <f t="shared" si="29"/>
        <v>940000</v>
      </c>
      <c r="BH13" s="296">
        <f t="shared" si="29"/>
        <v>0</v>
      </c>
      <c r="BI13" s="296">
        <f t="shared" si="29"/>
        <v>940000</v>
      </c>
      <c r="BJ13" s="296">
        <f t="shared" si="29"/>
        <v>917175.86</v>
      </c>
      <c r="BK13" s="296">
        <f t="shared" si="29"/>
        <v>0</v>
      </c>
      <c r="BL13" s="296">
        <f t="shared" si="29"/>
        <v>0</v>
      </c>
      <c r="BM13" s="296">
        <f t="shared" si="29"/>
        <v>0</v>
      </c>
      <c r="BN13" s="296">
        <f t="shared" si="29"/>
        <v>1105575.6700000002</v>
      </c>
      <c r="BO13" s="296">
        <f t="shared" si="29"/>
        <v>0</v>
      </c>
      <c r="BP13" s="296">
        <f t="shared" si="29"/>
        <v>0</v>
      </c>
      <c r="BQ13" s="296">
        <f t="shared" ref="BQ13:CK13" si="30">SUM(BQ5:BQ12)</f>
        <v>0</v>
      </c>
      <c r="BR13" s="296">
        <f t="shared" si="30"/>
        <v>1102455.8699999996</v>
      </c>
      <c r="BS13" s="296">
        <f t="shared" si="30"/>
        <v>0</v>
      </c>
      <c r="BT13" s="296">
        <f t="shared" si="30"/>
        <v>0</v>
      </c>
      <c r="BU13" s="296">
        <f t="shared" si="30"/>
        <v>0</v>
      </c>
      <c r="BV13" s="296">
        <f t="shared" si="30"/>
        <v>1120073.2300000004</v>
      </c>
      <c r="BW13" s="296">
        <f t="shared" si="30"/>
        <v>0</v>
      </c>
      <c r="BX13" s="296">
        <f t="shared" si="30"/>
        <v>0</v>
      </c>
      <c r="BY13" s="296">
        <f t="shared" si="30"/>
        <v>0</v>
      </c>
      <c r="BZ13" s="296">
        <f t="shared" si="30"/>
        <v>3586563.6400000011</v>
      </c>
      <c r="CA13" s="296">
        <f t="shared" si="30"/>
        <v>0</v>
      </c>
      <c r="CB13" s="296">
        <f t="shared" si="30"/>
        <v>0</v>
      </c>
      <c r="CC13" s="296">
        <f t="shared" si="30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6">
        <f t="shared" si="30"/>
        <v>881689.72999999986</v>
      </c>
      <c r="CI13" s="296">
        <f t="shared" si="30"/>
        <v>0</v>
      </c>
      <c r="CJ13" s="296">
        <f t="shared" si="30"/>
        <v>0</v>
      </c>
      <c r="CK13" s="296">
        <f t="shared" si="30"/>
        <v>0</v>
      </c>
      <c r="CL13" s="296">
        <f t="shared" ref="CL13:CW13" si="31">SUM(CL5:CL12)</f>
        <v>1253665.81</v>
      </c>
      <c r="CM13" s="296">
        <f t="shared" si="31"/>
        <v>0</v>
      </c>
      <c r="CN13" s="296">
        <f t="shared" si="31"/>
        <v>0</v>
      </c>
      <c r="CO13" s="296">
        <f t="shared" si="31"/>
        <v>0</v>
      </c>
      <c r="CP13" s="296">
        <f t="shared" si="31"/>
        <v>1071559.54</v>
      </c>
      <c r="CQ13" s="296">
        <f t="shared" si="31"/>
        <v>0</v>
      </c>
      <c r="CR13" s="296">
        <f t="shared" si="31"/>
        <v>0</v>
      </c>
      <c r="CS13" s="296">
        <f t="shared" si="31"/>
        <v>0</v>
      </c>
      <c r="CT13" s="296">
        <f t="shared" si="31"/>
        <v>903576.37</v>
      </c>
      <c r="CU13" s="296">
        <f t="shared" si="31"/>
        <v>0</v>
      </c>
      <c r="CV13" s="296">
        <f t="shared" si="31"/>
        <v>0</v>
      </c>
      <c r="CW13" s="296">
        <f t="shared" si="31"/>
        <v>0</v>
      </c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7"/>
      <c r="DO13" s="297"/>
      <c r="DP13" s="297"/>
      <c r="DQ13" s="297"/>
      <c r="DR13" s="297"/>
      <c r="DS13" s="297"/>
      <c r="DT13" s="297"/>
      <c r="DU13" s="297"/>
      <c r="DV13" s="297"/>
      <c r="DW13" s="297"/>
      <c r="DX13" s="298">
        <f>SUM(DX5:DX12)</f>
        <v>22479439.262285147</v>
      </c>
      <c r="DY13" s="298">
        <f>SUM(DY5:DY12)</f>
        <v>15652968.769788628</v>
      </c>
      <c r="DZ13" s="298">
        <f>SUM(DZ5:DZ12)</f>
        <v>4273738.47547267</v>
      </c>
    </row>
    <row r="14" spans="1:130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0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3"/>
      <c r="DV14" s="333"/>
      <c r="DW14" s="333"/>
      <c r="DX14" s="334"/>
      <c r="DY14" s="334"/>
      <c r="DZ14" s="334"/>
    </row>
    <row r="15" spans="1:130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290">
        <v>0</v>
      </c>
      <c r="CI15" s="290">
        <v>0</v>
      </c>
      <c r="CJ15" s="290"/>
      <c r="CK15" s="290"/>
      <c r="CL15" s="290">
        <v>0</v>
      </c>
      <c r="CM15" s="290"/>
      <c r="CN15" s="290"/>
      <c r="CO15" s="290"/>
      <c r="CP15" s="290">
        <v>0</v>
      </c>
      <c r="CQ15" s="290"/>
      <c r="CR15" s="290"/>
      <c r="CS15" s="290"/>
      <c r="CT15" s="290">
        <v>0</v>
      </c>
      <c r="CU15" s="290"/>
      <c r="CV15" s="290"/>
      <c r="CW15" s="290"/>
      <c r="CX15" s="321">
        <f>IF(D15=0,0,2001-(D15-F15)*C15/D15)</f>
        <v>0</v>
      </c>
      <c r="CY15" s="333">
        <f>IF((1-($DX$2-$CX15)/$C15)&gt;0,(1-($DX$2-$CX15)/$C15),0)</f>
        <v>0</v>
      </c>
      <c r="CZ15" s="333">
        <f>IF((1-($DX$2-G$2)/$C15)&gt;0,(1-($DX$2-G$2)/$C15),0)</f>
        <v>0.26666666666666672</v>
      </c>
      <c r="DA15" s="333">
        <f>IF((1-($DX$2-K$2)/$C15)&gt;0,(1-($DX$2-K$2)/$C15),0)</f>
        <v>0.30000000000000004</v>
      </c>
      <c r="DB15" s="333">
        <f>IF((1-($DX$2-O$2)/$C15)&gt;0,(1-($DX$2-O$2)/$C15),0)</f>
        <v>0.33333333333333337</v>
      </c>
      <c r="DC15" s="333">
        <f>IF((1-($DX$2-S$2)/$C15)&gt;0,(1-($DX$2-S$2)/$C15),0)</f>
        <v>0.3666666666666667</v>
      </c>
      <c r="DD15" s="333">
        <f>IF((1-($DX$2-W$2)/$C15)&gt;0,(1-($DX$2-W$2)/$C15),0)</f>
        <v>0.4</v>
      </c>
      <c r="DE15" s="333">
        <f>IF((1-($DX$2-AA$2)/$C15)&gt;0,(1-($DX$2-AA$2)/$C15),0)</f>
        <v>0.43333333333333335</v>
      </c>
      <c r="DF15" s="333">
        <f>IF((1-($DX$2-AE$2)/$C15)&gt;0,(1-($DX$2-AE$2)/$C15),0)</f>
        <v>0.46666666666666667</v>
      </c>
      <c r="DG15" s="333">
        <f>IF((1-($DX$2-AI$2)/$C15)&gt;0,(1-($DX$2-AI$2)/$C15),0)</f>
        <v>0.5</v>
      </c>
      <c r="DH15" s="333">
        <f>IF((1-($DX$2-AM$2)/$C15)&gt;0,(1-($DX$2-AM$2)/$C15),0)</f>
        <v>0.53333333333333333</v>
      </c>
      <c r="DI15" s="333">
        <f>IF((1-($DX$2-AQ$2)/$C15)&gt;0,(1-($DX$2-AQ$2)/$C15),0)</f>
        <v>0.56666666666666665</v>
      </c>
      <c r="DJ15" s="333">
        <f>IF((1-($DX$2-AU$2)/$C15)&gt;0,(1-($DX$2-AU$2)/$C15),0)</f>
        <v>0.6</v>
      </c>
      <c r="DK15" s="333">
        <f>IF((1-($DX$2-AY$2)/$C15)&gt;0,(1-($DX$2-AY$2)/$C15),0)</f>
        <v>0.6333333333333333</v>
      </c>
      <c r="DL15" s="333">
        <f>IF((1-($DX$2-BC$2)/$C15)&gt;0,(1-($DX$2-BC$2)/$C15),0)</f>
        <v>0.66666666666666674</v>
      </c>
      <c r="DM15" s="333">
        <f>IF(BG15=0,0,1-($DX$2-(2014.5-(BG15-BI15)*C15/BG15))/C15)</f>
        <v>0</v>
      </c>
      <c r="DN15" s="333">
        <f>IF((1-($DX$2-BJ$2)/$C15)&gt;0,(1-($DX$2-BJ$2)/$C15),0)</f>
        <v>0.7</v>
      </c>
      <c r="DO15" s="333">
        <f>IF((1-($DX$2-BN$2)/$C15)&gt;0,(1-($DX$2-BN$2)/$C15),0)</f>
        <v>0.73333333333333339</v>
      </c>
      <c r="DP15" s="333">
        <f>IF((1-($DX$2-BR$2)/$C15)&gt;0,(1-($DX$2-BR$2)/$C15),0)</f>
        <v>0.76666666666666661</v>
      </c>
      <c r="DQ15" s="333">
        <f>IF((1-($DX$2-BV$2)/$C15)&gt;0,(1-($DX$2-BV$2)/$C15),0)</f>
        <v>0.8</v>
      </c>
      <c r="DR15" s="333">
        <f>IF((1-($DX$2-BZ$2)/$C15)&gt;0,(1-($DX$2-BZ$2)/$C15),0)</f>
        <v>0.83333333333333337</v>
      </c>
      <c r="DS15" s="333">
        <f>IF((1-($DX$2-CD$2)/$C15)&gt;0,(1-($DX$2-CD$2)/$C15),0)</f>
        <v>0.8666666666666667</v>
      </c>
      <c r="DT15" s="333">
        <f>IF((1-($DX$2-CH$2)/$C15)&gt;0,(1-($DX$2-CH$2)/$C15),0)</f>
        <v>0.9</v>
      </c>
      <c r="DU15" s="333">
        <f>IF((1-($DX$2-CL$2)/$C15)&gt;0,(1-($DX$2-CL$2)/$C15),0)</f>
        <v>0.93333333333333335</v>
      </c>
      <c r="DV15" s="333">
        <f t="shared" ref="DV15:DV17" si="32">IF((1-($DX$2-CP$2)/$C15)&gt;0,(1-($DX$2-CP$2)/$C15),0)</f>
        <v>0.96666666666666667</v>
      </c>
      <c r="DW15" s="333">
        <f t="shared" ref="DW15:DW17" si="33">IF((1-($DX$2-CT$2)/$C15)&gt;0,(1-($DX$2-CT$2)/$C15),0)</f>
        <v>1</v>
      </c>
      <c r="DX15" s="334">
        <f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+(CD15-CE15-CF15)*$CD$61+(CH15-CI15-CJ15)*$CH$61+(CL15-CM15-CN15)*$CL$61+(CP15-CQ15-CR15)*$CP$61+(CT15-CU15-CV15)*$CT$61</f>
        <v>2170367.98068809</v>
      </c>
      <c r="DY15" s="334">
        <f>IF(CY15=0,D15-E15,0)+IF(CZ15=0,(G15-H15-I15)*G$61,0)+IF(DA15=0,(K15-L15-M15)*K$61,0)+IF(DB15=0,(O15-P15-Q15)*O$61,0)+IF(DC15=0,(S15-T15-U15)*S$61,0)+IF(DD15=0,(W15-X15-Y15)*W$61,0)+IF(DE15=0,(AA15-AB15-AC15)*AA$61,0)+IF(DF15=0,(AE15-AF15-AG15)*AE$61,0)+IF(DG15=0,(AI15-AJ15-AK15)*AI$61,0)+IF(DH15=0,(AM15-AN15-AO15)*AM$61,0)+IF(DI15=0,(AQ15-AR15-AS15)*$AQ$61,0)+IF(DJ15=0,(AU15-AV15-AW15)*$AU$61,0)+IF(DK15=0,(AY15-AZ15-BA15)*$AY$61,0)++IF(DL15=0,(BC15-BD15-BE15)*$BC$61,0)+IF(DM15=0,BG15,0)+IF(DN15=0,(BJ15-BK15-BL15)*$BJ$61,0)+IF(DO15=0,(BN15-BO15-BP15)*$BN$61,0)+IF(DP15=0,(BR15-BS15-BT15)*$BR$61,0)+IF(DQ15=0,(BV15-BW15-BX15)*$BV$61,0)+IF(DR15=0,(BZ15-CA15-CB15)*$BZ$61,0)+IF(DS15=0,(CD15-CE15-CF15)*$CD$61,0)+IF(DT15=0,(CH15-CI15-CJ15)*$CH$61,0)+IF(DU15=0,(CL15-CM15-CN15)*$CL$61,0)+IF(DV15=0,(CP15-CQ15-CR15)*$CP$61,0)+IF(DW15=0,(CT15-CU15-CV15)*$CT$61,0)</f>
        <v>0</v>
      </c>
      <c r="DZ15" s="334">
        <f>(D15-E15)*CY15+((G15-H15-(I15-J15))*G$61)*CZ15+((K15-L15-(M15-N15))*K$61)*DA15+((O15-P15-(Q15-R15))*O$61)*DB15+((S15-T15-(U15-V15))*S$61)*DC15+((W15-X15-(Y15-Z15))*W$61)*DD15+((AA15-AB15-(AC15-AD15))*AA$61)*DE15+((AE15-AF15-(AG15-AH15))*AE$61)*DF15+((AI15-AJ15-(AK15-AL15))*AI$61)*DG15+((AM15-AN15-(AO15-AP15))*$AM$61)*DH15+((AQ15-AR15-(AS15-AT15))*$AQ$61)*DI15+((AU15-AV15-(AW15-AX15))*$AU$61)*DJ15+((AY15-AZ15-(BA15-BB15))*$AY$61)*DK15+((BC15-BD15-(BE15-BF15))*$BC$61)*DL15+((BJ15-BK15-(BL15-BM15))*$BJ$61)*DN15+(BG15-BH15)*DM15+((BN15-BO15-(BP15-BQ15))*$BN$61)*DO15+((BR15-BS15-(BT15-BU15))*$BR$61)*DP15+((BV15-BW15-(BX15-BY15))*$BV$61)*DQ15+((BZ15-CA15-(CB15-CC15))*$BZ$61)*DR15+((CD15-CE15-(CF15-CG15))*$CD$61)*DS15+((CH15-CI15-(CJ15-CK15))*$CH$61*DT15)+((CL15-CM15-(CN15-CO15))*$CL$61*DU15)+((CP15-CQ15-(CR15-CS15))*$CP$61*DV15)+((CT15-CU15-(CV15-CW15))*$CT$61*DW15)</f>
        <v>1591603.1858379329</v>
      </c>
    </row>
    <row r="16" spans="1:130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290">
        <v>0</v>
      </c>
      <c r="CI16" s="290">
        <v>0</v>
      </c>
      <c r="CJ16" s="290"/>
      <c r="CK16" s="290"/>
      <c r="CL16" s="290">
        <v>0</v>
      </c>
      <c r="CM16" s="290"/>
      <c r="CN16" s="290"/>
      <c r="CO16" s="290"/>
      <c r="CP16" s="290">
        <v>0</v>
      </c>
      <c r="CQ16" s="290"/>
      <c r="CR16" s="290"/>
      <c r="CS16" s="290"/>
      <c r="CT16" s="290">
        <v>0</v>
      </c>
      <c r="CU16" s="290"/>
      <c r="CV16" s="290"/>
      <c r="CW16" s="290"/>
      <c r="CX16" s="321">
        <f>IF(D16=0,0,2001-(D16-F16)*C16/D16)</f>
        <v>0</v>
      </c>
      <c r="CY16" s="333">
        <f>IF((1-($DX$2-$CX16)/$C16)&gt;0,(1-($DX$2-$CX16)/$C16),0)</f>
        <v>0</v>
      </c>
      <c r="CZ16" s="333">
        <f>IF((1-($DX$2-G$2)/$C16)&gt;0,(1-($DX$2-G$2)/$C16),0)</f>
        <v>0.26666666666666672</v>
      </c>
      <c r="DA16" s="333">
        <f>IF((1-($DX$2-K$2)/$C16)&gt;0,(1-($DX$2-K$2)/$C16),0)</f>
        <v>0.30000000000000004</v>
      </c>
      <c r="DB16" s="333">
        <f>IF((1-($DX$2-O$2)/$C16)&gt;0,(1-($DX$2-O$2)/$C16),0)</f>
        <v>0.33333333333333337</v>
      </c>
      <c r="DC16" s="333">
        <f>IF((1-($DX$2-S$2)/$C16)&gt;0,(1-($DX$2-S$2)/$C16),0)</f>
        <v>0.3666666666666667</v>
      </c>
      <c r="DD16" s="333">
        <f>IF((1-($DX$2-W$2)/$C16)&gt;0,(1-($DX$2-W$2)/$C16),0)</f>
        <v>0.4</v>
      </c>
      <c r="DE16" s="333">
        <f>IF((1-($DX$2-AA$2)/$C16)&gt;0,(1-($DX$2-AA$2)/$C16),0)</f>
        <v>0.43333333333333335</v>
      </c>
      <c r="DF16" s="333">
        <f>IF((1-($DX$2-AE$2)/$C16)&gt;0,(1-($DX$2-AE$2)/$C16),0)</f>
        <v>0.46666666666666667</v>
      </c>
      <c r="DG16" s="333">
        <f>IF((1-($DX$2-AI$2)/$C16)&gt;0,(1-($DX$2-AI$2)/$C16),0)</f>
        <v>0.5</v>
      </c>
      <c r="DH16" s="333">
        <f>IF((1-($DX$2-AM$2)/$C16)&gt;0,(1-($DX$2-AM$2)/$C16),0)</f>
        <v>0.53333333333333333</v>
      </c>
      <c r="DI16" s="333">
        <f>IF((1-($DX$2-AQ$2)/$C16)&gt;0,(1-($DX$2-AQ$2)/$C16),0)</f>
        <v>0.56666666666666665</v>
      </c>
      <c r="DJ16" s="333">
        <f>IF((1-($DX$2-AU$2)/$C16)&gt;0,(1-($DX$2-AU$2)/$C16),0)</f>
        <v>0.6</v>
      </c>
      <c r="DK16" s="333">
        <f>IF((1-($DX$2-AY$2)/$C16)&gt;0,(1-($DX$2-AY$2)/$C16),0)</f>
        <v>0.6333333333333333</v>
      </c>
      <c r="DL16" s="333">
        <f>IF((1-($DX$2-BC$2)/$C16)&gt;0,(1-($DX$2-BC$2)/$C16),0)</f>
        <v>0.66666666666666674</v>
      </c>
      <c r="DM16" s="333">
        <f>IF(BG16=0,0,1-($DX$2-(2014.5-(BG16-BI16)*C16/BG16))/C16)</f>
        <v>0</v>
      </c>
      <c r="DN16" s="333">
        <f>IF((1-($DX$2-BJ$2)/$C16)&gt;0,(1-($DX$2-BJ$2)/$C16),0)</f>
        <v>0.7</v>
      </c>
      <c r="DO16" s="333">
        <f>IF((1-($DX$2-BN$2)/$C16)&gt;0,(1-($DX$2-BN$2)/$C16),0)</f>
        <v>0.73333333333333339</v>
      </c>
      <c r="DP16" s="333">
        <f>IF((1-($DX$2-BR$2)/$C16)&gt;0,(1-($DX$2-BR$2)/$C16),0)</f>
        <v>0.76666666666666661</v>
      </c>
      <c r="DQ16" s="333">
        <f>IF((1-($DX$2-BV$2)/$C16)&gt;0,(1-($DX$2-BV$2)/$C16),0)</f>
        <v>0.8</v>
      </c>
      <c r="DR16" s="333">
        <f>IF((1-($DX$2-BZ$2)/$C16)&gt;0,(1-($DX$2-BZ$2)/$C16),0)</f>
        <v>0.83333333333333337</v>
      </c>
      <c r="DS16" s="333">
        <f>IF((1-($DX$2-CD$2)/$C16)&gt;0,(1-($DX$2-CD$2)/$C16),0)</f>
        <v>0.8666666666666667</v>
      </c>
      <c r="DT16" s="333">
        <f>IF((1-($DX$2-CH$2)/$C16)&gt;0,(1-($DX$2-CH$2)/$C16),0)</f>
        <v>0.9</v>
      </c>
      <c r="DU16" s="333">
        <f>IF((1-($DX$2-CL$2)/$C16)&gt;0,(1-($DX$2-CL$2)/$C16),0)</f>
        <v>0.93333333333333335</v>
      </c>
      <c r="DV16" s="333">
        <f t="shared" si="32"/>
        <v>0.96666666666666667</v>
      </c>
      <c r="DW16" s="333">
        <f t="shared" si="33"/>
        <v>1</v>
      </c>
      <c r="DX16" s="334">
        <f t="shared" ref="DX16:DX44" si="34">D16-E16+(G16-H16-I16)*G$61+(K16-L16-M16)*K$61+(O16-P16-Q16)*O$61+(S16-T16-U16)*S$61+(W16-X16-Y16)*W$61+(AA16-AB16-AC16)*AA$61+(AE16-AF16-AG16)*AE$61+(AI16-AJ16-AK16)*AI$61+(AM16-AN16-AO16)*AM$61+(AQ16-AR16-AS16)*$AQ$61+(AU16-AV16-AW16)*$AU$61+(AY16-AZ16-BA16)*$AY$61+(BC16-BD16-BE16)*$BC$61+BG16+(BJ16-BK16-BL16)*$BJ$61+(BN16-BO16-BP16)*$BN$61+(BR16-BS16-BT16)*$BR$61+(BV16-BW16-BX16)*$BV$61+(BZ16-CA16-CB16)*$BZ$61+(CD16-CE16-CF16)*$CD$61+(CH16-CI16-CJ16)*$CH$61+(CL16-CM16-CN16)*$CL$61+(CP16-CQ16-CR16)*$CP$61+(CT16-CU16-CV16)*$CT$61</f>
        <v>2088630.1130731143</v>
      </c>
      <c r="DY16" s="334">
        <f t="shared" ref="DY16:DY44" si="35">IF(CY16=0,D16-E16,0)+IF(CZ16=0,(G16-H16-I16)*G$61,0)+IF(DA16=0,(K16-L16-M16)*K$61,0)+IF(DB16=0,(O16-P16-Q16)*O$61,0)+IF(DC16=0,(S16-T16-U16)*S$61,0)+IF(DD16=0,(W16-X16-Y16)*W$61,0)+IF(DE16=0,(AA16-AB16-AC16)*AA$61,0)+IF(DF16=0,(AE16-AF16-AG16)*AE$61,0)+IF(DG16=0,(AI16-AJ16-AK16)*AI$61,0)+IF(DH16=0,(AM16-AN16-AO16)*AM$61,0)+IF(DI16=0,(AQ16-AR16-AS16)*$AQ$61,0)+IF(DJ16=0,(AU16-AV16-AW16)*$AU$61,0)+IF(DK16=0,(AY16-AZ16-BA16)*$AY$61,0)++IF(DL16=0,(BC16-BD16-BE16)*$BC$61,0)+IF(DM16=0,BG16,0)+IF(DN16=0,(BJ16-BK16-BL16)*$BJ$61,0)+IF(DO16=0,(BN16-BO16-BP16)*$BN$61,0)+IF(DP16=0,(BR16-BS16-BT16)*$BR$61,0)+IF(DQ16=0,(BV16-BW16-BX16)*$BV$61,0)+IF(DR16=0,(BZ16-CA16-CB16)*$BZ$61,0)+IF(DS16=0,(CD16-CE16-CF16)*$CD$61,0)+IF(DT16=0,(CH16-CI16-CJ16)*$CH$61,0)+IF(DU16=0,(CL16-CM16-CN16)*$CL$61,0)+IF(DV16=0,(CP16-CQ16-CR16)*$CP$61,0)+IF(DW16=0,(CT16-CU16-CV16)*$CT$61,0)</f>
        <v>0</v>
      </c>
      <c r="DZ16" s="334">
        <f t="shared" ref="DZ16:DZ44" si="36">(D16-E16)*CY16+((G16-H16-(I16-J16))*G$61)*CZ16+((K16-L16-(M16-N16))*K$61)*DA16+((O16-P16-(Q16-R16))*O$61)*DB16+((S16-T16-(U16-V16))*S$61)*DC16+((W16-X16-(Y16-Z16))*W$61)*DD16+((AA16-AB16-(AC16-AD16))*AA$61)*DE16+((AE16-AF16-(AG16-AH16))*AE$61)*DF16+((AI16-AJ16-(AK16-AL16))*AI$61)*DG16+((AM16-AN16-(AO16-AP16))*$AM$61)*DH16+((AQ16-AR16-(AS16-AT16))*$AQ$61)*DI16+((AU16-AV16-(AW16-AX16))*$AU$61)*DJ16+((AY16-AZ16-(BA16-BB16))*$AY$61)*DK16+((BC16-BD16-(BE16-BF16))*$BC$61)*DL16+((BJ16-BK16-(BL16-BM16))*$BJ$61)*DN16+(BG16-BH16)*DM16+((BN16-BO16-(BP16-BQ16))*$BN$61)*DO16+((BR16-BS16-(BT16-BU16))*$BR$61)*DP16+((BV16-BW16-(BX16-BY16))*$BV$61)*DQ16+((BZ16-CA16-(CB16-CC16))*$BZ$61)*DR16+((CD16-CE16-(CF16-CG16))*$CD$61)*DS16+((CH16-CI16-(CJ16-CK16))*$CH$61*DT16)+((CL16-CM16-(CN16-CO16))*$CL$61*DU16)+((CP16-CQ16-(CR16-CS16))*$CP$61*DV16)+((CT16-CU16-(CV16-CW16))*$CT$61*DW16)</f>
        <v>1531662.082920284</v>
      </c>
    </row>
    <row r="17" spans="1:130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290">
        <v>0</v>
      </c>
      <c r="CI17" s="290">
        <v>0</v>
      </c>
      <c r="CJ17" s="290"/>
      <c r="CK17" s="290"/>
      <c r="CL17" s="290">
        <v>0</v>
      </c>
      <c r="CM17" s="290"/>
      <c r="CN17" s="290"/>
      <c r="CO17" s="290"/>
      <c r="CP17" s="290">
        <v>0</v>
      </c>
      <c r="CQ17" s="290"/>
      <c r="CR17" s="290"/>
      <c r="CS17" s="290"/>
      <c r="CT17" s="290">
        <v>0</v>
      </c>
      <c r="CU17" s="290"/>
      <c r="CV17" s="290"/>
      <c r="CW17" s="290"/>
      <c r="CX17" s="321">
        <f>IF(D17=0,0,2001-(D17-F17)*C17/D17)</f>
        <v>0</v>
      </c>
      <c r="CY17" s="333">
        <f>IF((1-($DX$2-$CX17)/$C17)&gt;0,(1-($DX$2-$CX17)/$C17),0)</f>
        <v>0</v>
      </c>
      <c r="CZ17" s="333">
        <f>IF((1-($DX$2-G$2)/$C17)&gt;0,(1-($DX$2-G$2)/$C17),0)</f>
        <v>0.26666666666666672</v>
      </c>
      <c r="DA17" s="333">
        <f>IF((1-($DX$2-K$2)/$C17)&gt;0,(1-($DX$2-K$2)/$C17),0)</f>
        <v>0.30000000000000004</v>
      </c>
      <c r="DB17" s="333">
        <f>IF((1-($DX$2-O$2)/$C17)&gt;0,(1-($DX$2-O$2)/$C17),0)</f>
        <v>0.33333333333333337</v>
      </c>
      <c r="DC17" s="333">
        <f>IF((1-($DX$2-S$2)/$C17)&gt;0,(1-($DX$2-S$2)/$C17),0)</f>
        <v>0.3666666666666667</v>
      </c>
      <c r="DD17" s="333">
        <f>IF((1-($DX$2-W$2)/$C17)&gt;0,(1-($DX$2-W$2)/$C17),0)</f>
        <v>0.4</v>
      </c>
      <c r="DE17" s="333">
        <f>IF((1-($DX$2-AA$2)/$C17)&gt;0,(1-($DX$2-AA$2)/$C17),0)</f>
        <v>0.43333333333333335</v>
      </c>
      <c r="DF17" s="333">
        <f>IF((1-($DX$2-AE$2)/$C17)&gt;0,(1-($DX$2-AE$2)/$C17),0)</f>
        <v>0.46666666666666667</v>
      </c>
      <c r="DG17" s="333">
        <f>IF((1-($DX$2-AI$2)/$C17)&gt;0,(1-($DX$2-AI$2)/$C17),0)</f>
        <v>0.5</v>
      </c>
      <c r="DH17" s="333">
        <f>IF((1-($DX$2-AM$2)/$C17)&gt;0,(1-($DX$2-AM$2)/$C17),0)</f>
        <v>0.53333333333333333</v>
      </c>
      <c r="DI17" s="333">
        <f>IF((1-($DX$2-AQ$2)/$C17)&gt;0,(1-($DX$2-AQ$2)/$C17),0)</f>
        <v>0.56666666666666665</v>
      </c>
      <c r="DJ17" s="333">
        <f>IF((1-($DX$2-AU$2)/$C17)&gt;0,(1-($DX$2-AU$2)/$C17),0)</f>
        <v>0.6</v>
      </c>
      <c r="DK17" s="333">
        <f>IF((1-($DX$2-AY$2)/$C17)&gt;0,(1-($DX$2-AY$2)/$C17),0)</f>
        <v>0.6333333333333333</v>
      </c>
      <c r="DL17" s="333">
        <f>IF((1-($DX$2-BC$2)/$C17)&gt;0,(1-($DX$2-BC$2)/$C17),0)</f>
        <v>0.66666666666666674</v>
      </c>
      <c r="DM17" s="333">
        <f>IF(BG17=0,0,1-($DX$2-(2014.5-(BG17-BI17)*C17/BG17))/C17)</f>
        <v>0</v>
      </c>
      <c r="DN17" s="333">
        <f>IF((1-($DX$2-BJ$2)/$C17)&gt;0,(1-($DX$2-BJ$2)/$C17),0)</f>
        <v>0.7</v>
      </c>
      <c r="DO17" s="333">
        <f>IF((1-($DX$2-BN$2)/$C17)&gt;0,(1-($DX$2-BN$2)/$C17),0)</f>
        <v>0.73333333333333339</v>
      </c>
      <c r="DP17" s="333">
        <f>IF((1-($DX$2-BR$2)/$C17)&gt;0,(1-($DX$2-BR$2)/$C17),0)</f>
        <v>0.76666666666666661</v>
      </c>
      <c r="DQ17" s="333">
        <f>IF((1-($DX$2-BV$2)/$C17)&gt;0,(1-($DX$2-BV$2)/$C17),0)</f>
        <v>0.8</v>
      </c>
      <c r="DR17" s="333">
        <f>IF((1-($DX$2-BZ$2)/$C17)&gt;0,(1-($DX$2-BZ$2)/$C17),0)</f>
        <v>0.83333333333333337</v>
      </c>
      <c r="DS17" s="333">
        <f>IF((1-($DX$2-CD$2)/$C17)&gt;0,(1-($DX$2-CD$2)/$C17),0)</f>
        <v>0.8666666666666667</v>
      </c>
      <c r="DT17" s="333">
        <f>IF((1-($DX$2-CH$2)/$C17)&gt;0,(1-($DX$2-CH$2)/$C17),0)</f>
        <v>0.9</v>
      </c>
      <c r="DU17" s="333">
        <f>IF((1-($DX$2-CL$2)/$C17)&gt;0,(1-($DX$2-CL$2)/$C17),0)</f>
        <v>0.93333333333333335</v>
      </c>
      <c r="DV17" s="333">
        <f t="shared" si="32"/>
        <v>0.96666666666666667</v>
      </c>
      <c r="DW17" s="333">
        <f t="shared" si="33"/>
        <v>1</v>
      </c>
      <c r="DX17" s="334">
        <f t="shared" si="34"/>
        <v>7229414.3872795496</v>
      </c>
      <c r="DY17" s="334">
        <f t="shared" si="35"/>
        <v>0</v>
      </c>
      <c r="DZ17" s="334">
        <f t="shared" si="36"/>
        <v>5306828.1558432598</v>
      </c>
    </row>
    <row r="18" spans="1:130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290"/>
      <c r="CI18" s="290">
        <v>0</v>
      </c>
      <c r="CJ18" s="290"/>
      <c r="CK18" s="290"/>
      <c r="CL18" s="290">
        <v>0</v>
      </c>
      <c r="CM18" s="290"/>
      <c r="CN18" s="290"/>
      <c r="CO18" s="290"/>
      <c r="CP18" s="290">
        <v>0</v>
      </c>
      <c r="CQ18" s="290"/>
      <c r="CR18" s="290"/>
      <c r="CS18" s="290"/>
      <c r="CT18" s="290">
        <v>0</v>
      </c>
      <c r="CU18" s="290"/>
      <c r="CV18" s="290"/>
      <c r="CW18" s="290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3"/>
      <c r="DT18" s="333"/>
      <c r="DU18" s="333"/>
      <c r="DV18" s="333"/>
      <c r="DW18" s="333"/>
      <c r="DX18" s="334"/>
      <c r="DY18" s="334"/>
      <c r="DZ18" s="334"/>
    </row>
    <row r="19" spans="1:130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290">
        <v>1243715.8800000001</v>
      </c>
      <c r="CI19" s="290">
        <v>34705.049949699998</v>
      </c>
      <c r="CJ19" s="290"/>
      <c r="CK19" s="290"/>
      <c r="CL19" s="290">
        <v>3004303.8000000007</v>
      </c>
      <c r="CM19" s="290"/>
      <c r="CN19" s="290"/>
      <c r="CO19" s="290"/>
      <c r="CP19" s="290">
        <v>7357711.6000000034</v>
      </c>
      <c r="CQ19" s="290">
        <v>97723.59</v>
      </c>
      <c r="CR19" s="290"/>
      <c r="CS19" s="290"/>
      <c r="CT19" s="290">
        <v>7174924.1800000016</v>
      </c>
      <c r="CU19" s="290">
        <v>869316.76</v>
      </c>
      <c r="CV19" s="290"/>
      <c r="CW19" s="290"/>
      <c r="CX19" s="321">
        <f t="shared" ref="CX19:CX31" si="37">IF(D19=0,0,2001-(D19-F19)*C19/D19)</f>
        <v>1987.6168208038905</v>
      </c>
      <c r="CY19" s="333">
        <f t="shared" ref="CY19:CY31" si="38">IF((1-($DX$2-$CX19)/$C19)&gt;0,(1-($DX$2-$CX19)/$C19),0)</f>
        <v>0</v>
      </c>
      <c r="CZ19" s="333">
        <f t="shared" ref="CZ19:CZ31" si="39">IF((1-($DX$2-G$2)/$C19)&gt;0,(1-($DX$2-G$2)/$C19),0)</f>
        <v>0.26666666666666672</v>
      </c>
      <c r="DA19" s="333">
        <f t="shared" ref="DA19:DA31" si="40">IF((1-($DX$2-K$2)/$C19)&gt;0,(1-($DX$2-K$2)/$C19),0)</f>
        <v>0.30000000000000004</v>
      </c>
      <c r="DB19" s="333">
        <f t="shared" ref="DB19:DB31" si="41">IF((1-($DX$2-O$2)/$C19)&gt;0,(1-($DX$2-O$2)/$C19),0)</f>
        <v>0.33333333333333337</v>
      </c>
      <c r="DC19" s="333">
        <f t="shared" ref="DC19:DC31" si="42">IF((1-($DX$2-S$2)/$C19)&gt;0,(1-($DX$2-S$2)/$C19),0)</f>
        <v>0.3666666666666667</v>
      </c>
      <c r="DD19" s="333">
        <f t="shared" ref="DD19:DD31" si="43">IF((1-($DX$2-W$2)/$C19)&gt;0,(1-($DX$2-W$2)/$C19),0)</f>
        <v>0.4</v>
      </c>
      <c r="DE19" s="333">
        <f t="shared" ref="DE19:DE31" si="44">IF((1-($DX$2-AA$2)/$C19)&gt;0,(1-($DX$2-AA$2)/$C19),0)</f>
        <v>0.43333333333333335</v>
      </c>
      <c r="DF19" s="333">
        <f t="shared" ref="DF19:DF31" si="45">IF((1-($DX$2-AE$2)/$C19)&gt;0,(1-($DX$2-AE$2)/$C19),0)</f>
        <v>0.46666666666666667</v>
      </c>
      <c r="DG19" s="333">
        <f t="shared" ref="DG19:DG31" si="46">IF((1-($DX$2-AI$2)/$C19)&gt;0,(1-($DX$2-AI$2)/$C19),0)</f>
        <v>0.5</v>
      </c>
      <c r="DH19" s="333">
        <f t="shared" ref="DH19:DH31" si="47">IF((1-($DX$2-AM$2)/$C19)&gt;0,(1-($DX$2-AM$2)/$C19),0)</f>
        <v>0.53333333333333333</v>
      </c>
      <c r="DI19" s="333">
        <f t="shared" ref="DI19:DI31" si="48">IF((1-($DX$2-AQ$2)/$C19)&gt;0,(1-($DX$2-AQ$2)/$C19),0)</f>
        <v>0.56666666666666665</v>
      </c>
      <c r="DJ19" s="333">
        <f t="shared" ref="DJ19:DJ31" si="49">IF((1-($DX$2-AU$2)/$C19)&gt;0,(1-($DX$2-AU$2)/$C19),0)</f>
        <v>0.6</v>
      </c>
      <c r="DK19" s="333">
        <f t="shared" ref="DK19:DK31" si="50">IF((1-($DX$2-AY$2)/$C19)&gt;0,(1-($DX$2-AY$2)/$C19),0)</f>
        <v>0.6333333333333333</v>
      </c>
      <c r="DL19" s="333">
        <f t="shared" ref="DL19:DL31" si="51">IF((1-($DX$2-BC$2)/$C19)&gt;0,(1-($DX$2-BC$2)/$C19),0)</f>
        <v>0.66666666666666674</v>
      </c>
      <c r="DM19" s="333">
        <f t="shared" ref="DM19:DM31" si="52">IF(BG19=0,0,1-($DX$2-(2014.5-(BG19-BI19)*C19/BG19))/C19)</f>
        <v>0.35506997735957002</v>
      </c>
      <c r="DN19" s="333">
        <f t="shared" ref="DN19:DN31" si="53">IF((1-($DX$2-BJ$2)/$C19)&gt;0,(1-($DX$2-BJ$2)/$C19),0)</f>
        <v>0.7</v>
      </c>
      <c r="DO19" s="333">
        <f t="shared" ref="DO19:DO31" si="54">IF((1-($DX$2-BN$2)/$C19)&gt;0,(1-($DX$2-BN$2)/$C19),0)</f>
        <v>0.73333333333333339</v>
      </c>
      <c r="DP19" s="333">
        <f t="shared" ref="DP19:DP31" si="55">IF((1-($DX$2-BR$2)/$C19)&gt;0,(1-($DX$2-BR$2)/$C19),0)</f>
        <v>0.76666666666666661</v>
      </c>
      <c r="DQ19" s="333">
        <f t="shared" ref="DQ19:DQ31" si="56">IF((1-($DX$2-BV$2)/$C19)&gt;0,(1-($DX$2-BV$2)/$C19),0)</f>
        <v>0.8</v>
      </c>
      <c r="DR19" s="333">
        <f t="shared" ref="DR19:DR31" si="57">IF((1-($DX$2-BZ$2)/$C19)&gt;0,(1-($DX$2-BZ$2)/$C19),0)</f>
        <v>0.83333333333333337</v>
      </c>
      <c r="DS19" s="333">
        <f t="shared" ref="DS19:DS31" si="58">IF((1-($DX$2-CD$2)/$C19)&gt;0,(1-($DX$2-CD$2)/$C19),0)</f>
        <v>0.8666666666666667</v>
      </c>
      <c r="DT19" s="333">
        <f t="shared" ref="DT19:DT31" si="59">IF((1-($DX$2-CH$2)/$C19)&gt;0,(1-($DX$2-CH$2)/$C19),0)</f>
        <v>0.9</v>
      </c>
      <c r="DU19" s="333">
        <f t="shared" ref="DU19:DU31" si="60">IF((1-($DX$2-CL$2)/$C19)&gt;0,(1-($DX$2-CL$2)/$C19),0)</f>
        <v>0.93333333333333335</v>
      </c>
      <c r="DV19" s="333">
        <f t="shared" ref="DV19:DV31" si="61">IF((1-($DX$2-CP$2)/$C19)&gt;0,(1-($DX$2-CP$2)/$C19),0)</f>
        <v>0.96666666666666667</v>
      </c>
      <c r="DW19" s="333">
        <f t="shared" ref="DW19:DW31" si="62">IF((1-($DX$2-CT$2)/$C19)&gt;0,(1-($DX$2-CT$2)/$C19),0)</f>
        <v>1</v>
      </c>
      <c r="DX19" s="334">
        <f t="shared" si="34"/>
        <v>61339423.794265956</v>
      </c>
      <c r="DY19" s="334">
        <f t="shared" si="35"/>
        <v>20631115.423739497</v>
      </c>
      <c r="DZ19" s="334">
        <f t="shared" si="36"/>
        <v>28464099.353267383</v>
      </c>
    </row>
    <row r="20" spans="1:130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290">
        <v>1453339.2800000005</v>
      </c>
      <c r="CI20" s="290">
        <v>27821.311839000002</v>
      </c>
      <c r="CJ20" s="290"/>
      <c r="CK20" s="290"/>
      <c r="CL20" s="290">
        <v>1233452.23</v>
      </c>
      <c r="CM20" s="290"/>
      <c r="CN20" s="290"/>
      <c r="CO20" s="290"/>
      <c r="CP20" s="290">
        <v>1726610.3399999994</v>
      </c>
      <c r="CQ20" s="290"/>
      <c r="CR20" s="290"/>
      <c r="CS20" s="290"/>
      <c r="CT20" s="290">
        <v>2337956.8699999987</v>
      </c>
      <c r="CU20" s="290">
        <v>4989.49</v>
      </c>
      <c r="CV20" s="290"/>
      <c r="CW20" s="290"/>
      <c r="CX20" s="321">
        <f t="shared" si="37"/>
        <v>1987.6165577130359</v>
      </c>
      <c r="CY20" s="333">
        <f t="shared" si="38"/>
        <v>0</v>
      </c>
      <c r="CZ20" s="333">
        <f t="shared" si="39"/>
        <v>0.26666666666666672</v>
      </c>
      <c r="DA20" s="333">
        <f t="shared" si="40"/>
        <v>0.30000000000000004</v>
      </c>
      <c r="DB20" s="333">
        <f t="shared" si="41"/>
        <v>0.33333333333333337</v>
      </c>
      <c r="DC20" s="333">
        <f t="shared" si="42"/>
        <v>0.3666666666666667</v>
      </c>
      <c r="DD20" s="333">
        <f t="shared" si="43"/>
        <v>0.4</v>
      </c>
      <c r="DE20" s="333">
        <f t="shared" si="44"/>
        <v>0.43333333333333335</v>
      </c>
      <c r="DF20" s="333">
        <f t="shared" si="45"/>
        <v>0.46666666666666667</v>
      </c>
      <c r="DG20" s="333">
        <f t="shared" si="46"/>
        <v>0.5</v>
      </c>
      <c r="DH20" s="333">
        <f t="shared" si="47"/>
        <v>0.53333333333333333</v>
      </c>
      <c r="DI20" s="333">
        <f t="shared" si="48"/>
        <v>0.56666666666666665</v>
      </c>
      <c r="DJ20" s="333">
        <f t="shared" si="49"/>
        <v>0.6</v>
      </c>
      <c r="DK20" s="333">
        <f t="shared" si="50"/>
        <v>0.6333333333333333</v>
      </c>
      <c r="DL20" s="333">
        <f t="shared" si="51"/>
        <v>0.66666666666666674</v>
      </c>
      <c r="DM20" s="333">
        <f t="shared" si="52"/>
        <v>0</v>
      </c>
      <c r="DN20" s="333">
        <f t="shared" si="53"/>
        <v>0.7</v>
      </c>
      <c r="DO20" s="333">
        <f t="shared" si="54"/>
        <v>0.73333333333333339</v>
      </c>
      <c r="DP20" s="333">
        <f t="shared" si="55"/>
        <v>0.76666666666666661</v>
      </c>
      <c r="DQ20" s="333">
        <f t="shared" si="56"/>
        <v>0.8</v>
      </c>
      <c r="DR20" s="333">
        <f t="shared" si="57"/>
        <v>0.83333333333333337</v>
      </c>
      <c r="DS20" s="333">
        <f t="shared" si="58"/>
        <v>0.8666666666666667</v>
      </c>
      <c r="DT20" s="333">
        <f t="shared" si="59"/>
        <v>0.9</v>
      </c>
      <c r="DU20" s="333">
        <f t="shared" si="60"/>
        <v>0.93333333333333335</v>
      </c>
      <c r="DV20" s="333">
        <f t="shared" si="61"/>
        <v>0.96666666666666667</v>
      </c>
      <c r="DW20" s="333">
        <f t="shared" si="62"/>
        <v>1</v>
      </c>
      <c r="DX20" s="334">
        <f t="shared" si="34"/>
        <v>36680863.063950174</v>
      </c>
      <c r="DY20" s="334">
        <f t="shared" si="35"/>
        <v>20319163.888809633</v>
      </c>
      <c r="DZ20" s="334">
        <f t="shared" si="36"/>
        <v>12491615.878453393</v>
      </c>
    </row>
    <row r="21" spans="1:130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290">
        <v>0</v>
      </c>
      <c r="CI21" s="290">
        <v>0</v>
      </c>
      <c r="CJ21" s="290"/>
      <c r="CK21" s="290"/>
      <c r="CL21" s="290">
        <v>0</v>
      </c>
      <c r="CM21" s="290"/>
      <c r="CN21" s="290"/>
      <c r="CO21" s="290"/>
      <c r="CP21" s="290">
        <v>0</v>
      </c>
      <c r="CQ21" s="290"/>
      <c r="CR21" s="290"/>
      <c r="CS21" s="290"/>
      <c r="CT21" s="290">
        <v>0</v>
      </c>
      <c r="CU21" s="290"/>
      <c r="CV21" s="290"/>
      <c r="CW21" s="290"/>
      <c r="CX21" s="321">
        <f t="shared" si="37"/>
        <v>1987.6167726485194</v>
      </c>
      <c r="CY21" s="333">
        <f t="shared" si="38"/>
        <v>0</v>
      </c>
      <c r="CZ21" s="333">
        <f t="shared" si="39"/>
        <v>0.26666666666666672</v>
      </c>
      <c r="DA21" s="333">
        <f t="shared" si="40"/>
        <v>0.30000000000000004</v>
      </c>
      <c r="DB21" s="333">
        <f t="shared" si="41"/>
        <v>0.33333333333333337</v>
      </c>
      <c r="DC21" s="333">
        <f t="shared" si="42"/>
        <v>0.3666666666666667</v>
      </c>
      <c r="DD21" s="333">
        <f t="shared" si="43"/>
        <v>0.4</v>
      </c>
      <c r="DE21" s="333">
        <f t="shared" si="44"/>
        <v>0.43333333333333335</v>
      </c>
      <c r="DF21" s="333">
        <f t="shared" si="45"/>
        <v>0.46666666666666667</v>
      </c>
      <c r="DG21" s="333">
        <f t="shared" si="46"/>
        <v>0.5</v>
      </c>
      <c r="DH21" s="333">
        <f t="shared" si="47"/>
        <v>0.53333333333333333</v>
      </c>
      <c r="DI21" s="333">
        <f t="shared" si="48"/>
        <v>0.56666666666666665</v>
      </c>
      <c r="DJ21" s="333">
        <f t="shared" si="49"/>
        <v>0.6</v>
      </c>
      <c r="DK21" s="333">
        <f t="shared" si="50"/>
        <v>0.6333333333333333</v>
      </c>
      <c r="DL21" s="333">
        <f t="shared" si="51"/>
        <v>0.66666666666666674</v>
      </c>
      <c r="DM21" s="333">
        <f t="shared" si="52"/>
        <v>0.3833334037639512</v>
      </c>
      <c r="DN21" s="333">
        <f t="shared" si="53"/>
        <v>0.7</v>
      </c>
      <c r="DO21" s="333">
        <f t="shared" si="54"/>
        <v>0.73333333333333339</v>
      </c>
      <c r="DP21" s="333">
        <f t="shared" si="55"/>
        <v>0.76666666666666661</v>
      </c>
      <c r="DQ21" s="333">
        <f t="shared" si="56"/>
        <v>0.8</v>
      </c>
      <c r="DR21" s="333">
        <f t="shared" si="57"/>
        <v>0.83333333333333337</v>
      </c>
      <c r="DS21" s="333">
        <f t="shared" si="58"/>
        <v>0.8666666666666667</v>
      </c>
      <c r="DT21" s="333">
        <f t="shared" si="59"/>
        <v>0.9</v>
      </c>
      <c r="DU21" s="333">
        <f t="shared" si="60"/>
        <v>0.93333333333333335</v>
      </c>
      <c r="DV21" s="333">
        <f t="shared" si="61"/>
        <v>0.96666666666666667</v>
      </c>
      <c r="DW21" s="333">
        <f t="shared" si="62"/>
        <v>1</v>
      </c>
      <c r="DX21" s="334">
        <f t="shared" si="34"/>
        <v>220572.67704669843</v>
      </c>
      <c r="DY21" s="334">
        <f t="shared" si="35"/>
        <v>149580.82704669842</v>
      </c>
      <c r="DZ21" s="334">
        <f t="shared" si="36"/>
        <v>27213.547499999862</v>
      </c>
    </row>
    <row r="22" spans="1:130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290">
        <v>651665.85</v>
      </c>
      <c r="CI22" s="290">
        <v>4568.1160339999997</v>
      </c>
      <c r="CJ22" s="290"/>
      <c r="CK22" s="290"/>
      <c r="CL22" s="290">
        <v>121215.21</v>
      </c>
      <c r="CM22" s="290"/>
      <c r="CN22" s="290"/>
      <c r="CO22" s="290"/>
      <c r="CP22" s="290">
        <v>17110513.980000004</v>
      </c>
      <c r="CQ22" s="290"/>
      <c r="CR22" s="290"/>
      <c r="CS22" s="290"/>
      <c r="CT22" s="290">
        <v>1072951.01</v>
      </c>
      <c r="CU22" s="290">
        <v>277047.57</v>
      </c>
      <c r="CV22" s="290"/>
      <c r="CW22" s="290"/>
      <c r="CX22" s="321">
        <f t="shared" si="37"/>
        <v>0</v>
      </c>
      <c r="CY22" s="333">
        <f t="shared" si="38"/>
        <v>0</v>
      </c>
      <c r="CZ22" s="333">
        <f t="shared" si="39"/>
        <v>0.26666666666666672</v>
      </c>
      <c r="DA22" s="333">
        <f t="shared" si="40"/>
        <v>0.30000000000000004</v>
      </c>
      <c r="DB22" s="333">
        <f t="shared" si="41"/>
        <v>0.33333333333333337</v>
      </c>
      <c r="DC22" s="333">
        <f t="shared" si="42"/>
        <v>0.3666666666666667</v>
      </c>
      <c r="DD22" s="333">
        <f t="shared" si="43"/>
        <v>0.4</v>
      </c>
      <c r="DE22" s="333">
        <f t="shared" si="44"/>
        <v>0.43333333333333335</v>
      </c>
      <c r="DF22" s="333">
        <f t="shared" si="45"/>
        <v>0.46666666666666667</v>
      </c>
      <c r="DG22" s="333">
        <f t="shared" si="46"/>
        <v>0.5</v>
      </c>
      <c r="DH22" s="333">
        <f t="shared" si="47"/>
        <v>0.53333333333333333</v>
      </c>
      <c r="DI22" s="333">
        <f t="shared" si="48"/>
        <v>0.56666666666666665</v>
      </c>
      <c r="DJ22" s="333">
        <f t="shared" si="49"/>
        <v>0.6</v>
      </c>
      <c r="DK22" s="333">
        <f t="shared" si="50"/>
        <v>0.6333333333333333</v>
      </c>
      <c r="DL22" s="333">
        <f t="shared" si="51"/>
        <v>0.66666666666666674</v>
      </c>
      <c r="DM22" s="333">
        <f t="shared" si="52"/>
        <v>0</v>
      </c>
      <c r="DN22" s="333">
        <f t="shared" si="53"/>
        <v>0.7</v>
      </c>
      <c r="DO22" s="333">
        <f t="shared" si="54"/>
        <v>0.73333333333333339</v>
      </c>
      <c r="DP22" s="333">
        <f t="shared" si="55"/>
        <v>0.76666666666666661</v>
      </c>
      <c r="DQ22" s="333">
        <f t="shared" si="56"/>
        <v>0.8</v>
      </c>
      <c r="DR22" s="333">
        <f t="shared" si="57"/>
        <v>0.83333333333333337</v>
      </c>
      <c r="DS22" s="333">
        <f t="shared" si="58"/>
        <v>0.8666666666666667</v>
      </c>
      <c r="DT22" s="333">
        <f t="shared" si="59"/>
        <v>0.9</v>
      </c>
      <c r="DU22" s="333">
        <f t="shared" si="60"/>
        <v>0.93333333333333335</v>
      </c>
      <c r="DV22" s="333">
        <f t="shared" si="61"/>
        <v>0.96666666666666667</v>
      </c>
      <c r="DW22" s="333">
        <f t="shared" si="62"/>
        <v>1</v>
      </c>
      <c r="DX22" s="334">
        <f t="shared" si="34"/>
        <v>19043123.431516945</v>
      </c>
      <c r="DY22" s="334">
        <f t="shared" si="35"/>
        <v>0</v>
      </c>
      <c r="DZ22" s="334">
        <f t="shared" si="36"/>
        <v>17497894.569617148</v>
      </c>
    </row>
    <row r="23" spans="1:130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290">
        <v>228894.65</v>
      </c>
      <c r="CI23" s="290">
        <v>0</v>
      </c>
      <c r="CJ23" s="290"/>
      <c r="CK23" s="290"/>
      <c r="CL23" s="290">
        <v>429753.95999999996</v>
      </c>
      <c r="CM23" s="290"/>
      <c r="CN23" s="290"/>
      <c r="CO23" s="290"/>
      <c r="CP23" s="290">
        <v>613343.15</v>
      </c>
      <c r="CQ23" s="290"/>
      <c r="CR23" s="290"/>
      <c r="CS23" s="290"/>
      <c r="CT23" s="290">
        <v>96864.66</v>
      </c>
      <c r="CU23" s="290">
        <v>5774.91</v>
      </c>
      <c r="CV23" s="290"/>
      <c r="CW23" s="290"/>
      <c r="CX23" s="321">
        <f t="shared" si="37"/>
        <v>0</v>
      </c>
      <c r="CY23" s="333">
        <f t="shared" si="38"/>
        <v>0</v>
      </c>
      <c r="CZ23" s="333">
        <f t="shared" si="39"/>
        <v>0.26666666666666672</v>
      </c>
      <c r="DA23" s="333">
        <f t="shared" si="40"/>
        <v>0.30000000000000004</v>
      </c>
      <c r="DB23" s="333">
        <f t="shared" si="41"/>
        <v>0.33333333333333337</v>
      </c>
      <c r="DC23" s="333">
        <f t="shared" si="42"/>
        <v>0.3666666666666667</v>
      </c>
      <c r="DD23" s="333">
        <f t="shared" si="43"/>
        <v>0.4</v>
      </c>
      <c r="DE23" s="333">
        <f t="shared" si="44"/>
        <v>0.43333333333333335</v>
      </c>
      <c r="DF23" s="333">
        <f t="shared" si="45"/>
        <v>0.46666666666666667</v>
      </c>
      <c r="DG23" s="333">
        <f t="shared" si="46"/>
        <v>0.5</v>
      </c>
      <c r="DH23" s="333">
        <f t="shared" si="47"/>
        <v>0.53333333333333333</v>
      </c>
      <c r="DI23" s="333">
        <f t="shared" si="48"/>
        <v>0.56666666666666665</v>
      </c>
      <c r="DJ23" s="333">
        <f t="shared" si="49"/>
        <v>0.6</v>
      </c>
      <c r="DK23" s="333">
        <f t="shared" si="50"/>
        <v>0.6333333333333333</v>
      </c>
      <c r="DL23" s="333">
        <f t="shared" si="51"/>
        <v>0.66666666666666674</v>
      </c>
      <c r="DM23" s="333">
        <f t="shared" si="52"/>
        <v>0</v>
      </c>
      <c r="DN23" s="333">
        <f t="shared" si="53"/>
        <v>0.7</v>
      </c>
      <c r="DO23" s="333">
        <f t="shared" si="54"/>
        <v>0.73333333333333339</v>
      </c>
      <c r="DP23" s="333">
        <f t="shared" si="55"/>
        <v>0.76666666666666661</v>
      </c>
      <c r="DQ23" s="333">
        <f t="shared" si="56"/>
        <v>0.8</v>
      </c>
      <c r="DR23" s="333">
        <f t="shared" si="57"/>
        <v>0.83333333333333337</v>
      </c>
      <c r="DS23" s="333">
        <f t="shared" si="58"/>
        <v>0.8666666666666667</v>
      </c>
      <c r="DT23" s="333">
        <f t="shared" si="59"/>
        <v>0.9</v>
      </c>
      <c r="DU23" s="333">
        <f t="shared" si="60"/>
        <v>0.93333333333333335</v>
      </c>
      <c r="DV23" s="333">
        <f t="shared" si="61"/>
        <v>0.96666666666666667</v>
      </c>
      <c r="DW23" s="333">
        <f t="shared" si="62"/>
        <v>1</v>
      </c>
      <c r="DX23" s="334">
        <f t="shared" si="34"/>
        <v>4908348.4590740157</v>
      </c>
      <c r="DY23" s="334">
        <f t="shared" si="35"/>
        <v>0</v>
      </c>
      <c r="DZ23" s="334">
        <f t="shared" si="36"/>
        <v>3807102.604844721</v>
      </c>
    </row>
    <row r="24" spans="1:130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290">
        <v>0</v>
      </c>
      <c r="CI24" s="290">
        <v>0</v>
      </c>
      <c r="CJ24" s="290"/>
      <c r="CK24" s="290"/>
      <c r="CL24" s="290">
        <v>0</v>
      </c>
      <c r="CM24" s="290"/>
      <c r="CN24" s="290"/>
      <c r="CO24" s="290"/>
      <c r="CP24" s="290">
        <v>0</v>
      </c>
      <c r="CQ24" s="290"/>
      <c r="CR24" s="290"/>
      <c r="CS24" s="290"/>
      <c r="CT24" s="290">
        <v>0</v>
      </c>
      <c r="CU24" s="290"/>
      <c r="CV24" s="290"/>
      <c r="CW24" s="290"/>
      <c r="CX24" s="321">
        <f t="shared" si="37"/>
        <v>0</v>
      </c>
      <c r="CY24" s="333">
        <f t="shared" si="38"/>
        <v>0</v>
      </c>
      <c r="CZ24" s="333">
        <f t="shared" si="39"/>
        <v>0.26666666666666672</v>
      </c>
      <c r="DA24" s="333">
        <f t="shared" si="40"/>
        <v>0.30000000000000004</v>
      </c>
      <c r="DB24" s="333">
        <f t="shared" si="41"/>
        <v>0.33333333333333337</v>
      </c>
      <c r="DC24" s="333">
        <f t="shared" si="42"/>
        <v>0.3666666666666667</v>
      </c>
      <c r="DD24" s="333">
        <f t="shared" si="43"/>
        <v>0.4</v>
      </c>
      <c r="DE24" s="333">
        <f t="shared" si="44"/>
        <v>0.43333333333333335</v>
      </c>
      <c r="DF24" s="333">
        <f t="shared" si="45"/>
        <v>0.46666666666666667</v>
      </c>
      <c r="DG24" s="333">
        <f t="shared" si="46"/>
        <v>0.5</v>
      </c>
      <c r="DH24" s="333">
        <f t="shared" si="47"/>
        <v>0.53333333333333333</v>
      </c>
      <c r="DI24" s="333">
        <f t="shared" si="48"/>
        <v>0.56666666666666665</v>
      </c>
      <c r="DJ24" s="333">
        <f t="shared" si="49"/>
        <v>0.6</v>
      </c>
      <c r="DK24" s="333">
        <f t="shared" si="50"/>
        <v>0.6333333333333333</v>
      </c>
      <c r="DL24" s="333">
        <f t="shared" si="51"/>
        <v>0.66666666666666674</v>
      </c>
      <c r="DM24" s="333">
        <f t="shared" si="52"/>
        <v>0</v>
      </c>
      <c r="DN24" s="333">
        <f t="shared" si="53"/>
        <v>0.7</v>
      </c>
      <c r="DO24" s="333">
        <f t="shared" si="54"/>
        <v>0.73333333333333339</v>
      </c>
      <c r="DP24" s="333">
        <f t="shared" si="55"/>
        <v>0.76666666666666661</v>
      </c>
      <c r="DQ24" s="333">
        <f t="shared" si="56"/>
        <v>0.8</v>
      </c>
      <c r="DR24" s="333">
        <f t="shared" si="57"/>
        <v>0.83333333333333337</v>
      </c>
      <c r="DS24" s="333">
        <f t="shared" si="58"/>
        <v>0.8666666666666667</v>
      </c>
      <c r="DT24" s="333">
        <f t="shared" si="59"/>
        <v>0.9</v>
      </c>
      <c r="DU24" s="333">
        <f t="shared" si="60"/>
        <v>0.93333333333333335</v>
      </c>
      <c r="DV24" s="333">
        <f t="shared" si="61"/>
        <v>0.96666666666666667</v>
      </c>
      <c r="DW24" s="333">
        <f t="shared" si="62"/>
        <v>1</v>
      </c>
      <c r="DX24" s="334">
        <f t="shared" si="34"/>
        <v>0</v>
      </c>
      <c r="DY24" s="334">
        <f t="shared" si="35"/>
        <v>0</v>
      </c>
      <c r="DZ24" s="334">
        <f t="shared" si="36"/>
        <v>0</v>
      </c>
    </row>
    <row r="25" spans="1:130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290">
        <v>0</v>
      </c>
      <c r="CI25" s="290">
        <v>0</v>
      </c>
      <c r="CJ25" s="290"/>
      <c r="CK25" s="290"/>
      <c r="CL25" s="290">
        <v>76613.399999999994</v>
      </c>
      <c r="CM25" s="290"/>
      <c r="CN25" s="290"/>
      <c r="CO25" s="290"/>
      <c r="CP25" s="290">
        <v>5879472.1299999999</v>
      </c>
      <c r="CQ25" s="290"/>
      <c r="CR25" s="290"/>
      <c r="CS25" s="290"/>
      <c r="CT25" s="290">
        <v>0</v>
      </c>
      <c r="CU25" s="290"/>
      <c r="CV25" s="290"/>
      <c r="CW25" s="290"/>
      <c r="CX25" s="321">
        <f t="shared" si="37"/>
        <v>1983.0579643777135</v>
      </c>
      <c r="CY25" s="333">
        <f t="shared" si="38"/>
        <v>0</v>
      </c>
      <c r="CZ25" s="333">
        <f t="shared" si="39"/>
        <v>0.26666666666666672</v>
      </c>
      <c r="DA25" s="333">
        <f t="shared" si="40"/>
        <v>0.30000000000000004</v>
      </c>
      <c r="DB25" s="333">
        <f t="shared" si="41"/>
        <v>0.33333333333333337</v>
      </c>
      <c r="DC25" s="333">
        <f t="shared" si="42"/>
        <v>0.3666666666666667</v>
      </c>
      <c r="DD25" s="333">
        <f t="shared" si="43"/>
        <v>0.4</v>
      </c>
      <c r="DE25" s="333">
        <f t="shared" si="44"/>
        <v>0.43333333333333335</v>
      </c>
      <c r="DF25" s="333">
        <f t="shared" si="45"/>
        <v>0.46666666666666667</v>
      </c>
      <c r="DG25" s="333">
        <f t="shared" si="46"/>
        <v>0.5</v>
      </c>
      <c r="DH25" s="333">
        <f t="shared" si="47"/>
        <v>0.53333333333333333</v>
      </c>
      <c r="DI25" s="333">
        <f t="shared" si="48"/>
        <v>0.56666666666666665</v>
      </c>
      <c r="DJ25" s="333">
        <f t="shared" si="49"/>
        <v>0.6</v>
      </c>
      <c r="DK25" s="333">
        <f t="shared" si="50"/>
        <v>0.6333333333333333</v>
      </c>
      <c r="DL25" s="333">
        <f t="shared" si="51"/>
        <v>0.66666666666666674</v>
      </c>
      <c r="DM25" s="333">
        <f t="shared" si="52"/>
        <v>0.23576094194191533</v>
      </c>
      <c r="DN25" s="333">
        <f t="shared" si="53"/>
        <v>0.7</v>
      </c>
      <c r="DO25" s="333">
        <f t="shared" si="54"/>
        <v>0.73333333333333339</v>
      </c>
      <c r="DP25" s="333">
        <f t="shared" si="55"/>
        <v>0.76666666666666661</v>
      </c>
      <c r="DQ25" s="333">
        <f t="shared" si="56"/>
        <v>0.8</v>
      </c>
      <c r="DR25" s="333">
        <f t="shared" si="57"/>
        <v>0.83333333333333337</v>
      </c>
      <c r="DS25" s="333">
        <f t="shared" si="58"/>
        <v>0.8666666666666667</v>
      </c>
      <c r="DT25" s="333">
        <f t="shared" si="59"/>
        <v>0.9</v>
      </c>
      <c r="DU25" s="333">
        <f t="shared" si="60"/>
        <v>0.93333333333333335</v>
      </c>
      <c r="DV25" s="333">
        <f t="shared" si="61"/>
        <v>0.96666666666666667</v>
      </c>
      <c r="DW25" s="333">
        <f t="shared" si="62"/>
        <v>1</v>
      </c>
      <c r="DX25" s="334">
        <f t="shared" si="34"/>
        <v>14991084.429816797</v>
      </c>
      <c r="DY25" s="334">
        <f t="shared" si="35"/>
        <v>5501374.3444445133</v>
      </c>
      <c r="DZ25" s="334">
        <f t="shared" si="36"/>
        <v>7413521.6035166532</v>
      </c>
    </row>
    <row r="26" spans="1:130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290">
        <v>0</v>
      </c>
      <c r="CI26" s="290">
        <v>0</v>
      </c>
      <c r="CJ26" s="290"/>
      <c r="CK26" s="290"/>
      <c r="CL26" s="290">
        <v>0</v>
      </c>
      <c r="CM26" s="290"/>
      <c r="CN26" s="290"/>
      <c r="CO26" s="290"/>
      <c r="CP26" s="290">
        <v>0</v>
      </c>
      <c r="CQ26" s="290"/>
      <c r="CR26" s="290"/>
      <c r="CS26" s="290"/>
      <c r="CT26" s="290">
        <v>0</v>
      </c>
      <c r="CU26" s="290"/>
      <c r="CV26" s="290"/>
      <c r="CW26" s="290"/>
      <c r="CX26" s="321">
        <f t="shared" si="37"/>
        <v>0</v>
      </c>
      <c r="CY26" s="333">
        <f t="shared" si="38"/>
        <v>0</v>
      </c>
      <c r="CZ26" s="333">
        <f t="shared" si="39"/>
        <v>0.26666666666666672</v>
      </c>
      <c r="DA26" s="333">
        <f t="shared" si="40"/>
        <v>0.30000000000000004</v>
      </c>
      <c r="DB26" s="333">
        <f t="shared" si="41"/>
        <v>0.33333333333333337</v>
      </c>
      <c r="DC26" s="333">
        <f t="shared" si="42"/>
        <v>0.3666666666666667</v>
      </c>
      <c r="DD26" s="333">
        <f t="shared" si="43"/>
        <v>0.4</v>
      </c>
      <c r="DE26" s="333">
        <f t="shared" si="44"/>
        <v>0.43333333333333335</v>
      </c>
      <c r="DF26" s="333">
        <f t="shared" si="45"/>
        <v>0.46666666666666667</v>
      </c>
      <c r="DG26" s="333">
        <f t="shared" si="46"/>
        <v>0.5</v>
      </c>
      <c r="DH26" s="333">
        <f t="shared" si="47"/>
        <v>0.53333333333333333</v>
      </c>
      <c r="DI26" s="333">
        <f t="shared" si="48"/>
        <v>0.56666666666666665</v>
      </c>
      <c r="DJ26" s="333">
        <f t="shared" si="49"/>
        <v>0.6</v>
      </c>
      <c r="DK26" s="333">
        <f t="shared" si="50"/>
        <v>0.6333333333333333</v>
      </c>
      <c r="DL26" s="333">
        <f t="shared" si="51"/>
        <v>0.66666666666666674</v>
      </c>
      <c r="DM26" s="333">
        <f t="shared" si="52"/>
        <v>0.437457412495731</v>
      </c>
      <c r="DN26" s="333">
        <f t="shared" si="53"/>
        <v>0.7</v>
      </c>
      <c r="DO26" s="333">
        <f t="shared" si="54"/>
        <v>0.73333333333333339</v>
      </c>
      <c r="DP26" s="333">
        <f t="shared" si="55"/>
        <v>0.76666666666666661</v>
      </c>
      <c r="DQ26" s="333">
        <f t="shared" si="56"/>
        <v>0.8</v>
      </c>
      <c r="DR26" s="333">
        <f t="shared" si="57"/>
        <v>0.83333333333333337</v>
      </c>
      <c r="DS26" s="333">
        <f t="shared" si="58"/>
        <v>0.8666666666666667</v>
      </c>
      <c r="DT26" s="333">
        <f t="shared" si="59"/>
        <v>0.9</v>
      </c>
      <c r="DU26" s="333">
        <f t="shared" si="60"/>
        <v>0.93333333333333335</v>
      </c>
      <c r="DV26" s="333">
        <f t="shared" si="61"/>
        <v>0.96666666666666667</v>
      </c>
      <c r="DW26" s="333">
        <f t="shared" si="62"/>
        <v>1</v>
      </c>
      <c r="DX26" s="334">
        <f t="shared" si="34"/>
        <v>2503042.5259680757</v>
      </c>
      <c r="DY26" s="334">
        <f t="shared" si="35"/>
        <v>0</v>
      </c>
      <c r="DZ26" s="334">
        <f t="shared" si="36"/>
        <v>0</v>
      </c>
    </row>
    <row r="27" spans="1:130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290">
        <v>0</v>
      </c>
      <c r="CI27" s="290">
        <v>0</v>
      </c>
      <c r="CJ27" s="290"/>
      <c r="CK27" s="290"/>
      <c r="CL27" s="290">
        <v>0</v>
      </c>
      <c r="CM27" s="290"/>
      <c r="CN27" s="290"/>
      <c r="CO27" s="290"/>
      <c r="CP27" s="290">
        <v>0</v>
      </c>
      <c r="CQ27" s="290"/>
      <c r="CR27" s="290"/>
      <c r="CS27" s="290"/>
      <c r="CT27" s="290">
        <v>0</v>
      </c>
      <c r="CU27" s="290"/>
      <c r="CV27" s="290"/>
      <c r="CW27" s="290"/>
      <c r="CX27" s="321">
        <f t="shared" si="37"/>
        <v>0</v>
      </c>
      <c r="CY27" s="333">
        <f t="shared" si="38"/>
        <v>0</v>
      </c>
      <c r="CZ27" s="333">
        <f t="shared" si="39"/>
        <v>0.26666666666666672</v>
      </c>
      <c r="DA27" s="333">
        <f t="shared" si="40"/>
        <v>0.30000000000000004</v>
      </c>
      <c r="DB27" s="333">
        <f t="shared" si="41"/>
        <v>0.33333333333333337</v>
      </c>
      <c r="DC27" s="333">
        <f t="shared" si="42"/>
        <v>0.3666666666666667</v>
      </c>
      <c r="DD27" s="333">
        <f t="shared" si="43"/>
        <v>0.4</v>
      </c>
      <c r="DE27" s="333">
        <f t="shared" si="44"/>
        <v>0.43333333333333335</v>
      </c>
      <c r="DF27" s="333">
        <f t="shared" si="45"/>
        <v>0.46666666666666667</v>
      </c>
      <c r="DG27" s="333">
        <f t="shared" si="46"/>
        <v>0.5</v>
      </c>
      <c r="DH27" s="333">
        <f t="shared" si="47"/>
        <v>0.53333333333333333</v>
      </c>
      <c r="DI27" s="333">
        <f t="shared" si="48"/>
        <v>0.56666666666666665</v>
      </c>
      <c r="DJ27" s="333">
        <f t="shared" si="49"/>
        <v>0.6</v>
      </c>
      <c r="DK27" s="333">
        <f t="shared" si="50"/>
        <v>0.6333333333333333</v>
      </c>
      <c r="DL27" s="333">
        <f t="shared" si="51"/>
        <v>0.66666666666666674</v>
      </c>
      <c r="DM27" s="333">
        <f t="shared" si="52"/>
        <v>0</v>
      </c>
      <c r="DN27" s="333">
        <f t="shared" si="53"/>
        <v>0.7</v>
      </c>
      <c r="DO27" s="333">
        <f t="shared" si="54"/>
        <v>0.73333333333333339</v>
      </c>
      <c r="DP27" s="333">
        <f t="shared" si="55"/>
        <v>0.76666666666666661</v>
      </c>
      <c r="DQ27" s="333">
        <f t="shared" si="56"/>
        <v>0.8</v>
      </c>
      <c r="DR27" s="333">
        <f t="shared" si="57"/>
        <v>0.83333333333333337</v>
      </c>
      <c r="DS27" s="333">
        <f t="shared" si="58"/>
        <v>0.8666666666666667</v>
      </c>
      <c r="DT27" s="333">
        <f t="shared" si="59"/>
        <v>0.9</v>
      </c>
      <c r="DU27" s="333">
        <f t="shared" si="60"/>
        <v>0.93333333333333335</v>
      </c>
      <c r="DV27" s="333">
        <f t="shared" si="61"/>
        <v>0.96666666666666667</v>
      </c>
      <c r="DW27" s="333">
        <f t="shared" si="62"/>
        <v>1</v>
      </c>
      <c r="DX27" s="334">
        <f t="shared" si="34"/>
        <v>0</v>
      </c>
      <c r="DY27" s="334">
        <f t="shared" si="35"/>
        <v>0</v>
      </c>
      <c r="DZ27" s="334">
        <f t="shared" si="36"/>
        <v>0</v>
      </c>
    </row>
    <row r="28" spans="1:130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290">
        <v>0</v>
      </c>
      <c r="CI28" s="290">
        <v>0</v>
      </c>
      <c r="CJ28" s="290"/>
      <c r="CK28" s="290"/>
      <c r="CL28" s="290">
        <v>0</v>
      </c>
      <c r="CM28" s="290"/>
      <c r="CN28" s="290"/>
      <c r="CO28" s="290"/>
      <c r="CP28" s="290">
        <v>0</v>
      </c>
      <c r="CQ28" s="290"/>
      <c r="CR28" s="290"/>
      <c r="CS28" s="290"/>
      <c r="CT28" s="290">
        <v>0</v>
      </c>
      <c r="CU28" s="290"/>
      <c r="CV28" s="290"/>
      <c r="CW28" s="290"/>
      <c r="CX28" s="321">
        <f t="shared" si="37"/>
        <v>0</v>
      </c>
      <c r="CY28" s="333">
        <f t="shared" si="38"/>
        <v>0</v>
      </c>
      <c r="CZ28" s="333">
        <f t="shared" si="39"/>
        <v>0.26666666666666672</v>
      </c>
      <c r="DA28" s="333">
        <f t="shared" si="40"/>
        <v>0.30000000000000004</v>
      </c>
      <c r="DB28" s="333">
        <f t="shared" si="41"/>
        <v>0.33333333333333337</v>
      </c>
      <c r="DC28" s="333">
        <f t="shared" si="42"/>
        <v>0.3666666666666667</v>
      </c>
      <c r="DD28" s="333">
        <f t="shared" si="43"/>
        <v>0.4</v>
      </c>
      <c r="DE28" s="333">
        <f t="shared" si="44"/>
        <v>0.43333333333333335</v>
      </c>
      <c r="DF28" s="333">
        <f t="shared" si="45"/>
        <v>0.46666666666666667</v>
      </c>
      <c r="DG28" s="333">
        <f t="shared" si="46"/>
        <v>0.5</v>
      </c>
      <c r="DH28" s="333">
        <f t="shared" si="47"/>
        <v>0.53333333333333333</v>
      </c>
      <c r="DI28" s="333">
        <f t="shared" si="48"/>
        <v>0.56666666666666665</v>
      </c>
      <c r="DJ28" s="333">
        <f t="shared" si="49"/>
        <v>0.6</v>
      </c>
      <c r="DK28" s="333">
        <f t="shared" si="50"/>
        <v>0.6333333333333333</v>
      </c>
      <c r="DL28" s="333">
        <f t="shared" si="51"/>
        <v>0.66666666666666674</v>
      </c>
      <c r="DM28" s="333">
        <f t="shared" si="52"/>
        <v>0</v>
      </c>
      <c r="DN28" s="333">
        <f t="shared" si="53"/>
        <v>0.7</v>
      </c>
      <c r="DO28" s="333">
        <f t="shared" si="54"/>
        <v>0.73333333333333339</v>
      </c>
      <c r="DP28" s="333">
        <f t="shared" si="55"/>
        <v>0.76666666666666661</v>
      </c>
      <c r="DQ28" s="333">
        <f t="shared" si="56"/>
        <v>0.8</v>
      </c>
      <c r="DR28" s="333">
        <f t="shared" si="57"/>
        <v>0.83333333333333337</v>
      </c>
      <c r="DS28" s="333">
        <f t="shared" si="58"/>
        <v>0.8666666666666667</v>
      </c>
      <c r="DT28" s="333">
        <f t="shared" si="59"/>
        <v>0.9</v>
      </c>
      <c r="DU28" s="333">
        <f t="shared" si="60"/>
        <v>0.93333333333333335</v>
      </c>
      <c r="DV28" s="333">
        <f t="shared" si="61"/>
        <v>0.96666666666666667</v>
      </c>
      <c r="DW28" s="333">
        <f t="shared" si="62"/>
        <v>1</v>
      </c>
      <c r="DX28" s="334">
        <f t="shared" si="34"/>
        <v>12610.54608680449</v>
      </c>
      <c r="DY28" s="334">
        <f t="shared" si="35"/>
        <v>0</v>
      </c>
      <c r="DZ28" s="334">
        <f t="shared" si="36"/>
        <v>7986.6791883095102</v>
      </c>
    </row>
    <row r="29" spans="1:130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290">
        <v>2447494.7299999995</v>
      </c>
      <c r="CI29" s="290">
        <v>9332.3399969999991</v>
      </c>
      <c r="CJ29" s="290"/>
      <c r="CK29" s="290"/>
      <c r="CL29" s="290">
        <v>2423874.1799999992</v>
      </c>
      <c r="CM29" s="290"/>
      <c r="CN29" s="290"/>
      <c r="CO29" s="290"/>
      <c r="CP29" s="290">
        <v>1323873.800000001</v>
      </c>
      <c r="CQ29" s="290">
        <v>9996.4699999999993</v>
      </c>
      <c r="CR29" s="290"/>
      <c r="CS29" s="290"/>
      <c r="CT29" s="290">
        <v>2685218.95</v>
      </c>
      <c r="CU29" s="290">
        <v>327952.12000000005</v>
      </c>
      <c r="CV29" s="290"/>
      <c r="CW29" s="290"/>
      <c r="CX29" s="321">
        <f t="shared" si="37"/>
        <v>1990.0430180109104</v>
      </c>
      <c r="CY29" s="333">
        <f t="shared" si="38"/>
        <v>0</v>
      </c>
      <c r="CZ29" s="333">
        <f t="shared" si="39"/>
        <v>0.26666666666666672</v>
      </c>
      <c r="DA29" s="333">
        <f t="shared" si="40"/>
        <v>0.30000000000000004</v>
      </c>
      <c r="DB29" s="333">
        <f t="shared" si="41"/>
        <v>0.33333333333333337</v>
      </c>
      <c r="DC29" s="333">
        <f t="shared" si="42"/>
        <v>0.3666666666666667</v>
      </c>
      <c r="DD29" s="333">
        <f t="shared" si="43"/>
        <v>0.4</v>
      </c>
      <c r="DE29" s="333">
        <f t="shared" si="44"/>
        <v>0.43333333333333335</v>
      </c>
      <c r="DF29" s="333">
        <f t="shared" si="45"/>
        <v>0.46666666666666667</v>
      </c>
      <c r="DG29" s="333">
        <f t="shared" si="46"/>
        <v>0.5</v>
      </c>
      <c r="DH29" s="333">
        <f t="shared" si="47"/>
        <v>0.53333333333333333</v>
      </c>
      <c r="DI29" s="333">
        <f t="shared" si="48"/>
        <v>0.56666666666666665</v>
      </c>
      <c r="DJ29" s="333">
        <f t="shared" si="49"/>
        <v>0.6</v>
      </c>
      <c r="DK29" s="333">
        <f t="shared" si="50"/>
        <v>0.6333333333333333</v>
      </c>
      <c r="DL29" s="333">
        <f t="shared" si="51"/>
        <v>0.66666666666666674</v>
      </c>
      <c r="DM29" s="333">
        <f t="shared" si="52"/>
        <v>0.437457412495731</v>
      </c>
      <c r="DN29" s="333">
        <f t="shared" si="53"/>
        <v>0.7</v>
      </c>
      <c r="DO29" s="333">
        <f t="shared" si="54"/>
        <v>0.73333333333333339</v>
      </c>
      <c r="DP29" s="333">
        <f t="shared" si="55"/>
        <v>0.76666666666666661</v>
      </c>
      <c r="DQ29" s="333">
        <f t="shared" si="56"/>
        <v>0.8</v>
      </c>
      <c r="DR29" s="333">
        <f t="shared" si="57"/>
        <v>0.83333333333333337</v>
      </c>
      <c r="DS29" s="333">
        <f t="shared" si="58"/>
        <v>0.8666666666666667</v>
      </c>
      <c r="DT29" s="333">
        <f t="shared" si="59"/>
        <v>0.9</v>
      </c>
      <c r="DU29" s="333">
        <f t="shared" si="60"/>
        <v>0.93333333333333335</v>
      </c>
      <c r="DV29" s="333">
        <f t="shared" si="61"/>
        <v>0.96666666666666667</v>
      </c>
      <c r="DW29" s="333">
        <f t="shared" si="62"/>
        <v>1</v>
      </c>
      <c r="DX29" s="334">
        <f t="shared" si="34"/>
        <v>29854413.951517172</v>
      </c>
      <c r="DY29" s="334">
        <f t="shared" si="35"/>
        <v>3799108.6462719133</v>
      </c>
      <c r="DZ29" s="334">
        <f t="shared" si="36"/>
        <v>19578701.99995625</v>
      </c>
    </row>
    <row r="30" spans="1:130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290">
        <v>1270655.6599999995</v>
      </c>
      <c r="CI30" s="290">
        <v>21137.23675</v>
      </c>
      <c r="CJ30" s="290"/>
      <c r="CK30" s="290"/>
      <c r="CL30" s="290">
        <v>1640369.1900000006</v>
      </c>
      <c r="CM30" s="290"/>
      <c r="CN30" s="290"/>
      <c r="CO30" s="290"/>
      <c r="CP30" s="290">
        <v>558797.26000000013</v>
      </c>
      <c r="CQ30" s="290"/>
      <c r="CR30" s="290"/>
      <c r="CS30" s="290"/>
      <c r="CT30" s="290">
        <v>828077.88000000012</v>
      </c>
      <c r="CU30" s="290">
        <v>6128.38</v>
      </c>
      <c r="CV30" s="290"/>
      <c r="CW30" s="290"/>
      <c r="CX30" s="321">
        <f t="shared" si="37"/>
        <v>1990.0418779969095</v>
      </c>
      <c r="CY30" s="333">
        <f t="shared" si="38"/>
        <v>0</v>
      </c>
      <c r="CZ30" s="333">
        <f t="shared" si="39"/>
        <v>0.26666666666666672</v>
      </c>
      <c r="DA30" s="333">
        <f t="shared" si="40"/>
        <v>0.30000000000000004</v>
      </c>
      <c r="DB30" s="333">
        <f t="shared" si="41"/>
        <v>0.33333333333333337</v>
      </c>
      <c r="DC30" s="333">
        <f t="shared" si="42"/>
        <v>0.3666666666666667</v>
      </c>
      <c r="DD30" s="333">
        <f t="shared" si="43"/>
        <v>0.4</v>
      </c>
      <c r="DE30" s="333">
        <f t="shared" si="44"/>
        <v>0.43333333333333335</v>
      </c>
      <c r="DF30" s="333">
        <f t="shared" si="45"/>
        <v>0.46666666666666667</v>
      </c>
      <c r="DG30" s="333">
        <f t="shared" si="46"/>
        <v>0.5</v>
      </c>
      <c r="DH30" s="333">
        <f t="shared" si="47"/>
        <v>0.53333333333333333</v>
      </c>
      <c r="DI30" s="333">
        <f t="shared" si="48"/>
        <v>0.56666666666666665</v>
      </c>
      <c r="DJ30" s="333">
        <f t="shared" si="49"/>
        <v>0.6</v>
      </c>
      <c r="DK30" s="333">
        <f t="shared" si="50"/>
        <v>0.6333333333333333</v>
      </c>
      <c r="DL30" s="333">
        <f t="shared" si="51"/>
        <v>0.66666666666666674</v>
      </c>
      <c r="DM30" s="333">
        <f t="shared" si="52"/>
        <v>0</v>
      </c>
      <c r="DN30" s="333">
        <f t="shared" si="53"/>
        <v>0.7</v>
      </c>
      <c r="DO30" s="333">
        <f t="shared" si="54"/>
        <v>0.73333333333333339</v>
      </c>
      <c r="DP30" s="333">
        <f t="shared" si="55"/>
        <v>0.76666666666666661</v>
      </c>
      <c r="DQ30" s="333">
        <f t="shared" si="56"/>
        <v>0.8</v>
      </c>
      <c r="DR30" s="333">
        <f t="shared" si="57"/>
        <v>0.83333333333333337</v>
      </c>
      <c r="DS30" s="333">
        <f t="shared" si="58"/>
        <v>0.8666666666666667</v>
      </c>
      <c r="DT30" s="333">
        <f t="shared" si="59"/>
        <v>0.9</v>
      </c>
      <c r="DU30" s="333">
        <f t="shared" si="60"/>
        <v>0.93333333333333335</v>
      </c>
      <c r="DV30" s="333">
        <f t="shared" si="61"/>
        <v>0.96666666666666667</v>
      </c>
      <c r="DW30" s="333">
        <f t="shared" si="62"/>
        <v>1</v>
      </c>
      <c r="DX30" s="334">
        <f t="shared" si="34"/>
        <v>17860269.801050235</v>
      </c>
      <c r="DY30" s="334">
        <f t="shared" si="35"/>
        <v>3801860.6462719133</v>
      </c>
      <c r="DZ30" s="334">
        <f t="shared" si="36"/>
        <v>10561991.69074926</v>
      </c>
    </row>
    <row r="31" spans="1:130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290">
        <v>226390.16000000006</v>
      </c>
      <c r="CI31" s="290">
        <v>0</v>
      </c>
      <c r="CJ31" s="290"/>
      <c r="CK31" s="290"/>
      <c r="CL31" s="290">
        <v>367558.94000000006</v>
      </c>
      <c r="CM31" s="290"/>
      <c r="CN31" s="290"/>
      <c r="CO31" s="290"/>
      <c r="CP31" s="290">
        <v>338991.51</v>
      </c>
      <c r="CQ31" s="290"/>
      <c r="CR31" s="290"/>
      <c r="CS31" s="290"/>
      <c r="CT31" s="290">
        <v>300152.33000000007</v>
      </c>
      <c r="CU31" s="290"/>
      <c r="CV31" s="290"/>
      <c r="CW31" s="290"/>
      <c r="CX31" s="321">
        <f t="shared" si="37"/>
        <v>0</v>
      </c>
      <c r="CY31" s="333">
        <f t="shared" si="38"/>
        <v>0</v>
      </c>
      <c r="CZ31" s="333">
        <f t="shared" si="39"/>
        <v>0.26666666666666672</v>
      </c>
      <c r="DA31" s="333">
        <f t="shared" si="40"/>
        <v>0.30000000000000004</v>
      </c>
      <c r="DB31" s="333">
        <f t="shared" si="41"/>
        <v>0.33333333333333337</v>
      </c>
      <c r="DC31" s="333">
        <f t="shared" si="42"/>
        <v>0.3666666666666667</v>
      </c>
      <c r="DD31" s="333">
        <f t="shared" si="43"/>
        <v>0.4</v>
      </c>
      <c r="DE31" s="333">
        <f t="shared" si="44"/>
        <v>0.43333333333333335</v>
      </c>
      <c r="DF31" s="333">
        <f t="shared" si="45"/>
        <v>0.46666666666666667</v>
      </c>
      <c r="DG31" s="333">
        <f t="shared" si="46"/>
        <v>0.5</v>
      </c>
      <c r="DH31" s="333">
        <f t="shared" si="47"/>
        <v>0.53333333333333333</v>
      </c>
      <c r="DI31" s="333">
        <f t="shared" si="48"/>
        <v>0.56666666666666665</v>
      </c>
      <c r="DJ31" s="333">
        <f t="shared" si="49"/>
        <v>0.6</v>
      </c>
      <c r="DK31" s="333">
        <f t="shared" si="50"/>
        <v>0.6333333333333333</v>
      </c>
      <c r="DL31" s="333">
        <f t="shared" si="51"/>
        <v>0.66666666666666674</v>
      </c>
      <c r="DM31" s="333">
        <f t="shared" si="52"/>
        <v>0</v>
      </c>
      <c r="DN31" s="333">
        <f t="shared" si="53"/>
        <v>0.7</v>
      </c>
      <c r="DO31" s="333">
        <f t="shared" si="54"/>
        <v>0.73333333333333339</v>
      </c>
      <c r="DP31" s="333">
        <f t="shared" si="55"/>
        <v>0.76666666666666661</v>
      </c>
      <c r="DQ31" s="333">
        <f t="shared" si="56"/>
        <v>0.8</v>
      </c>
      <c r="DR31" s="333">
        <f t="shared" si="57"/>
        <v>0.83333333333333337</v>
      </c>
      <c r="DS31" s="333">
        <f t="shared" si="58"/>
        <v>0.8666666666666667</v>
      </c>
      <c r="DT31" s="333">
        <f t="shared" si="59"/>
        <v>0.9</v>
      </c>
      <c r="DU31" s="333">
        <f t="shared" si="60"/>
        <v>0.93333333333333335</v>
      </c>
      <c r="DV31" s="333">
        <f t="shared" si="61"/>
        <v>0.96666666666666667</v>
      </c>
      <c r="DW31" s="333">
        <f t="shared" si="62"/>
        <v>1</v>
      </c>
      <c r="DX31" s="334">
        <f t="shared" si="34"/>
        <v>2378321.4707186711</v>
      </c>
      <c r="DY31" s="334">
        <f t="shared" si="35"/>
        <v>0</v>
      </c>
      <c r="DZ31" s="334">
        <f t="shared" si="36"/>
        <v>2028311.2192517575</v>
      </c>
    </row>
    <row r="32" spans="1:130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>
        <v>0</v>
      </c>
      <c r="CJ32" s="290"/>
      <c r="CK32" s="290"/>
      <c r="CL32" s="290">
        <v>0</v>
      </c>
      <c r="CM32" s="290"/>
      <c r="CN32" s="290"/>
      <c r="CO32" s="290"/>
      <c r="CP32" s="290">
        <v>0</v>
      </c>
      <c r="CQ32" s="290"/>
      <c r="CR32" s="290"/>
      <c r="CS32" s="290"/>
      <c r="CT32" s="290">
        <v>0</v>
      </c>
      <c r="CU32" s="290"/>
      <c r="CV32" s="290"/>
      <c r="CW32" s="290"/>
      <c r="CX32" s="333"/>
      <c r="CY32" s="333"/>
      <c r="CZ32" s="333"/>
      <c r="DA32" s="333"/>
      <c r="DB32" s="333"/>
      <c r="DC32" s="333"/>
      <c r="DD32" s="333"/>
      <c r="DE32" s="333"/>
      <c r="DF32" s="333"/>
      <c r="DG32" s="333"/>
      <c r="DH32" s="333"/>
      <c r="DI32" s="333"/>
      <c r="DJ32" s="333"/>
      <c r="DK32" s="333"/>
      <c r="DL32" s="333"/>
      <c r="DM32" s="333"/>
      <c r="DN32" s="333"/>
      <c r="DO32" s="333"/>
      <c r="DP32" s="333"/>
      <c r="DQ32" s="333"/>
      <c r="DR32" s="333"/>
      <c r="DS32" s="333"/>
      <c r="DT32" s="333"/>
      <c r="DU32" s="333"/>
      <c r="DV32" s="333"/>
      <c r="DW32" s="333"/>
      <c r="DX32" s="334"/>
      <c r="DY32" s="334"/>
      <c r="DZ32" s="334"/>
    </row>
    <row r="33" spans="1:130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290">
        <v>3914894.2299999944</v>
      </c>
      <c r="CI33" s="290">
        <v>35647.347027299998</v>
      </c>
      <c r="CJ33" s="290"/>
      <c r="CK33" s="290"/>
      <c r="CL33" s="290">
        <v>4296729.32</v>
      </c>
      <c r="CM33" s="290"/>
      <c r="CN33" s="290"/>
      <c r="CO33" s="290"/>
      <c r="CP33" s="290">
        <v>4006016.3400000045</v>
      </c>
      <c r="CQ33" s="290">
        <v>38812.339999999997</v>
      </c>
      <c r="CR33" s="290"/>
      <c r="CS33" s="290"/>
      <c r="CT33" s="290">
        <v>5248523.8599999975</v>
      </c>
      <c r="CU33" s="290">
        <v>412781.24</v>
      </c>
      <c r="CV33" s="290"/>
      <c r="CW33" s="290"/>
      <c r="CX33" s="321">
        <f>IF(D33=0,0,2001-(D33-F33)*C33/D33)</f>
        <v>0</v>
      </c>
      <c r="CY33" s="333">
        <f>IF((1-($DX$2-$CX33)/$C33)&gt;0,(1-($DX$2-$CX33)/$C33),0)</f>
        <v>0</v>
      </c>
      <c r="CZ33" s="333">
        <f>IF((1-($DX$2-G$2)/$C33)&gt;0,(1-($DX$2-G$2)/$C33),0)</f>
        <v>0.26666666666666672</v>
      </c>
      <c r="DA33" s="333">
        <f>IF((1-($DX$2-K$2)/$C33)&gt;0,(1-($DX$2-K$2)/$C33),0)</f>
        <v>0.30000000000000004</v>
      </c>
      <c r="DB33" s="333">
        <f>IF((1-($DX$2-O$2)/$C33)&gt;0,(1-($DX$2-O$2)/$C33),0)</f>
        <v>0.33333333333333337</v>
      </c>
      <c r="DC33" s="333">
        <f>IF((1-($DX$2-S$2)/$C33)&gt;0,(1-($DX$2-S$2)/$C33),0)</f>
        <v>0.3666666666666667</v>
      </c>
      <c r="DD33" s="333">
        <f>IF((1-($DX$2-W$2)/$C33)&gt;0,(1-($DX$2-W$2)/$C33),0)</f>
        <v>0.4</v>
      </c>
      <c r="DE33" s="333">
        <f>IF((1-($DX$2-AA$2)/$C33)&gt;0,(1-($DX$2-AA$2)/$C33),0)</f>
        <v>0.43333333333333335</v>
      </c>
      <c r="DF33" s="333">
        <f>IF((1-($DX$2-AE$2)/$C33)&gt;0,(1-($DX$2-AE$2)/$C33),0)</f>
        <v>0.46666666666666667</v>
      </c>
      <c r="DG33" s="333">
        <f>IF((1-($DX$2-AI$2)/$C33)&gt;0,(1-($DX$2-AI$2)/$C33),0)</f>
        <v>0.5</v>
      </c>
      <c r="DH33" s="333">
        <f>IF((1-($DX$2-AM$2)/$C33)&gt;0,(1-($DX$2-AM$2)/$C33),0)</f>
        <v>0.53333333333333333</v>
      </c>
      <c r="DI33" s="333">
        <f>IF((1-($DX$2-AQ$2)/$C33)&gt;0,(1-($DX$2-AQ$2)/$C33),0)</f>
        <v>0.56666666666666665</v>
      </c>
      <c r="DJ33" s="333">
        <f>IF((1-($DX$2-AU$2)/$C33)&gt;0,(1-($DX$2-AU$2)/$C33),0)</f>
        <v>0.6</v>
      </c>
      <c r="DK33" s="333">
        <f>IF((1-($DX$2-AY$2)/$C33)&gt;0,(1-($DX$2-AY$2)/$C33),0)</f>
        <v>0.6333333333333333</v>
      </c>
      <c r="DL33" s="333">
        <f>IF((1-($DX$2-BC$2)/$C33)&gt;0,(1-($DX$2-BC$2)/$C33),0)</f>
        <v>0.66666666666666674</v>
      </c>
      <c r="DM33" s="333">
        <f>IF(BG33=0,0,1-($DX$2-(2014.5-(BG33-BI33)*C33/BG33))/C33)</f>
        <v>0.437457412495731</v>
      </c>
      <c r="DN33" s="333">
        <f>IF((1-($DX$2-BJ$2)/$C33)&gt;0,(1-($DX$2-BJ$2)/$C33),0)</f>
        <v>0.7</v>
      </c>
      <c r="DO33" s="333">
        <f>IF((1-($DX$2-BN$2)/$C33)&gt;0,(1-($DX$2-BN$2)/$C33),0)</f>
        <v>0.73333333333333339</v>
      </c>
      <c r="DP33" s="333">
        <f>IF((1-($DX$2-BR$2)/$C33)&gt;0,(1-($DX$2-BR$2)/$C33),0)</f>
        <v>0.76666666666666661</v>
      </c>
      <c r="DQ33" s="333">
        <f>IF((1-($DX$2-BV$2)/$C33)&gt;0,(1-($DX$2-BV$2)/$C33),0)</f>
        <v>0.8</v>
      </c>
      <c r="DR33" s="333">
        <f>IF((1-($DX$2-BZ$2)/$C33)&gt;0,(1-($DX$2-BZ$2)/$C33),0)</f>
        <v>0.83333333333333337</v>
      </c>
      <c r="DS33" s="333">
        <f>IF((1-($DX$2-CD$2)/$C33)&gt;0,(1-($DX$2-CD$2)/$C33),0)</f>
        <v>0.8666666666666667</v>
      </c>
      <c r="DT33" s="333">
        <f>IF((1-($DX$2-CH$2)/$C33)&gt;0,(1-($DX$2-CH$2)/$C33),0)</f>
        <v>0.9</v>
      </c>
      <c r="DU33" s="333">
        <f>IF((1-($DX$2-CL$2)/$C33)&gt;0,(1-($DX$2-CL$2)/$C33),0)</f>
        <v>0.93333333333333335</v>
      </c>
      <c r="DV33" s="333">
        <f t="shared" ref="DV33:DV35" si="63">IF((1-($DX$2-CP$2)/$C33)&gt;0,(1-($DX$2-CP$2)/$C33),0)</f>
        <v>0.96666666666666667</v>
      </c>
      <c r="DW33" s="333">
        <f t="shared" ref="DW33:DW35" si="64">IF((1-($DX$2-CT$2)/$C33)&gt;0,(1-($DX$2-CT$2)/$C33),0)</f>
        <v>1</v>
      </c>
      <c r="DX33" s="334">
        <f t="shared" si="34"/>
        <v>36973232.770358562</v>
      </c>
      <c r="DY33" s="334">
        <f t="shared" si="35"/>
        <v>0</v>
      </c>
      <c r="DZ33" s="334">
        <f t="shared" si="36"/>
        <v>27932867.095126271</v>
      </c>
    </row>
    <row r="34" spans="1:130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290">
        <v>565782.81999999995</v>
      </c>
      <c r="CI34" s="290">
        <v>10213.723609999999</v>
      </c>
      <c r="CJ34" s="290"/>
      <c r="CK34" s="290"/>
      <c r="CL34" s="290">
        <v>1055983.78</v>
      </c>
      <c r="CM34" s="290"/>
      <c r="CN34" s="290"/>
      <c r="CO34" s="290"/>
      <c r="CP34" s="290">
        <v>347804.18000000005</v>
      </c>
      <c r="CQ34" s="290"/>
      <c r="CR34" s="290"/>
      <c r="CS34" s="290"/>
      <c r="CT34" s="290">
        <v>1200533.42</v>
      </c>
      <c r="CU34" s="290">
        <v>30077.73</v>
      </c>
      <c r="CV34" s="290"/>
      <c r="CW34" s="290"/>
      <c r="CX34" s="321">
        <f>IF(D34=0,0,2001-(D34-F34)*C34/D34)</f>
        <v>0</v>
      </c>
      <c r="CY34" s="333">
        <f>IF((1-($DX$2-$CX34)/$C34)&gt;0,(1-($DX$2-$CX34)/$C34),0)</f>
        <v>0</v>
      </c>
      <c r="CZ34" s="333">
        <f>IF((1-($DX$2-G$2)/$C34)&gt;0,(1-($DX$2-G$2)/$C34),0)</f>
        <v>0.26666666666666672</v>
      </c>
      <c r="DA34" s="333">
        <f>IF((1-($DX$2-K$2)/$C34)&gt;0,(1-($DX$2-K$2)/$C34),0)</f>
        <v>0.30000000000000004</v>
      </c>
      <c r="DB34" s="333">
        <f>IF((1-($DX$2-O$2)/$C34)&gt;0,(1-($DX$2-O$2)/$C34),0)</f>
        <v>0.33333333333333337</v>
      </c>
      <c r="DC34" s="333">
        <f>IF((1-($DX$2-S$2)/$C34)&gt;0,(1-($DX$2-S$2)/$C34),0)</f>
        <v>0.3666666666666667</v>
      </c>
      <c r="DD34" s="333">
        <f>IF((1-($DX$2-W$2)/$C34)&gt;0,(1-($DX$2-W$2)/$C34),0)</f>
        <v>0.4</v>
      </c>
      <c r="DE34" s="333">
        <f>IF((1-($DX$2-AA$2)/$C34)&gt;0,(1-($DX$2-AA$2)/$C34),0)</f>
        <v>0.43333333333333335</v>
      </c>
      <c r="DF34" s="333">
        <f>IF((1-($DX$2-AE$2)/$C34)&gt;0,(1-($DX$2-AE$2)/$C34),0)</f>
        <v>0.46666666666666667</v>
      </c>
      <c r="DG34" s="333">
        <f>IF((1-($DX$2-AI$2)/$C34)&gt;0,(1-($DX$2-AI$2)/$C34),0)</f>
        <v>0.5</v>
      </c>
      <c r="DH34" s="333">
        <f>IF((1-($DX$2-AM$2)/$C34)&gt;0,(1-($DX$2-AM$2)/$C34),0)</f>
        <v>0.53333333333333333</v>
      </c>
      <c r="DI34" s="333">
        <f>IF((1-($DX$2-AQ$2)/$C34)&gt;0,(1-($DX$2-AQ$2)/$C34),0)</f>
        <v>0.56666666666666665</v>
      </c>
      <c r="DJ34" s="333">
        <f>IF((1-($DX$2-AU$2)/$C34)&gt;0,(1-($DX$2-AU$2)/$C34),0)</f>
        <v>0.6</v>
      </c>
      <c r="DK34" s="333">
        <f>IF((1-($DX$2-AY$2)/$C34)&gt;0,(1-($DX$2-AY$2)/$C34),0)</f>
        <v>0.6333333333333333</v>
      </c>
      <c r="DL34" s="333">
        <f>IF((1-($DX$2-BC$2)/$C34)&gt;0,(1-($DX$2-BC$2)/$C34),0)</f>
        <v>0.66666666666666674</v>
      </c>
      <c r="DM34" s="333">
        <f>IF(BG34=0,0,1-($DX$2-(2014.5-(BG34-BI34)*C34/BG34))/C34)</f>
        <v>0</v>
      </c>
      <c r="DN34" s="333">
        <f>IF((1-($DX$2-BJ$2)/$C34)&gt;0,(1-($DX$2-BJ$2)/$C34),0)</f>
        <v>0.7</v>
      </c>
      <c r="DO34" s="333">
        <f>IF((1-($DX$2-BN$2)/$C34)&gt;0,(1-($DX$2-BN$2)/$C34),0)</f>
        <v>0.73333333333333339</v>
      </c>
      <c r="DP34" s="333">
        <f>IF((1-($DX$2-BR$2)/$C34)&gt;0,(1-($DX$2-BR$2)/$C34),0)</f>
        <v>0.76666666666666661</v>
      </c>
      <c r="DQ34" s="333">
        <f>IF((1-($DX$2-BV$2)/$C34)&gt;0,(1-($DX$2-BV$2)/$C34),0)</f>
        <v>0.8</v>
      </c>
      <c r="DR34" s="333">
        <f>IF((1-($DX$2-BZ$2)/$C34)&gt;0,(1-($DX$2-BZ$2)/$C34),0)</f>
        <v>0.83333333333333337</v>
      </c>
      <c r="DS34" s="333">
        <f>IF((1-($DX$2-CD$2)/$C34)&gt;0,(1-($DX$2-CD$2)/$C34),0)</f>
        <v>0.8666666666666667</v>
      </c>
      <c r="DT34" s="333">
        <f>IF((1-($DX$2-CH$2)/$C34)&gt;0,(1-($DX$2-CH$2)/$C34),0)</f>
        <v>0.9</v>
      </c>
      <c r="DU34" s="333">
        <f>IF((1-($DX$2-CL$2)/$C34)&gt;0,(1-($DX$2-CL$2)/$C34),0)</f>
        <v>0.93333333333333335</v>
      </c>
      <c r="DV34" s="333">
        <f t="shared" si="63"/>
        <v>0.96666666666666667</v>
      </c>
      <c r="DW34" s="333">
        <f t="shared" si="64"/>
        <v>1</v>
      </c>
      <c r="DX34" s="334">
        <f t="shared" si="34"/>
        <v>10071938.884234039</v>
      </c>
      <c r="DY34" s="334">
        <f t="shared" si="35"/>
        <v>0</v>
      </c>
      <c r="DZ34" s="334">
        <f t="shared" si="36"/>
        <v>8096157.1083893823</v>
      </c>
    </row>
    <row r="35" spans="1:130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290">
        <v>295989.71999999997</v>
      </c>
      <c r="CI35" s="290">
        <v>0</v>
      </c>
      <c r="CJ35" s="290"/>
      <c r="CK35" s="290"/>
      <c r="CL35" s="290">
        <v>277530.59999999998</v>
      </c>
      <c r="CM35" s="290"/>
      <c r="CN35" s="290"/>
      <c r="CO35" s="290"/>
      <c r="CP35" s="290">
        <v>285580.46999999997</v>
      </c>
      <c r="CQ35" s="290"/>
      <c r="CR35" s="290"/>
      <c r="CS35" s="290"/>
      <c r="CT35" s="290">
        <v>225693.13</v>
      </c>
      <c r="CU35" s="290"/>
      <c r="CV35" s="290"/>
      <c r="CW35" s="290"/>
      <c r="CX35" s="321">
        <f>IF(D35=0,0,2001-(D35-F35)*C35/D35)</f>
        <v>1991.607642802117</v>
      </c>
      <c r="CY35" s="333">
        <f>IF((1-($DX$2-$CX35)/$C35)&gt;0,(1-($DX$2-$CX35)/$C35),0)</f>
        <v>0</v>
      </c>
      <c r="CZ35" s="333">
        <f>IF((1-($DX$2-G$2)/$C35)&gt;0,(1-($DX$2-G$2)/$C35),0)</f>
        <v>0.26666666666666672</v>
      </c>
      <c r="DA35" s="333">
        <f>IF((1-($DX$2-K$2)/$C35)&gt;0,(1-($DX$2-K$2)/$C35),0)</f>
        <v>0.30000000000000004</v>
      </c>
      <c r="DB35" s="333">
        <f>IF((1-($DX$2-O$2)/$C35)&gt;0,(1-($DX$2-O$2)/$C35),0)</f>
        <v>0.33333333333333337</v>
      </c>
      <c r="DC35" s="333">
        <f>IF((1-($DX$2-S$2)/$C35)&gt;0,(1-($DX$2-S$2)/$C35),0)</f>
        <v>0.3666666666666667</v>
      </c>
      <c r="DD35" s="333">
        <f>IF((1-($DX$2-W$2)/$C35)&gt;0,(1-($DX$2-W$2)/$C35),0)</f>
        <v>0.4</v>
      </c>
      <c r="DE35" s="333">
        <f>IF((1-($DX$2-AA$2)/$C35)&gt;0,(1-($DX$2-AA$2)/$C35),0)</f>
        <v>0.43333333333333335</v>
      </c>
      <c r="DF35" s="333">
        <f>IF((1-($DX$2-AE$2)/$C35)&gt;0,(1-($DX$2-AE$2)/$C35),0)</f>
        <v>0.46666666666666667</v>
      </c>
      <c r="DG35" s="333">
        <f>IF((1-($DX$2-AI$2)/$C35)&gt;0,(1-($DX$2-AI$2)/$C35),0)</f>
        <v>0.5</v>
      </c>
      <c r="DH35" s="333">
        <f>IF((1-($DX$2-AM$2)/$C35)&gt;0,(1-($DX$2-AM$2)/$C35),0)</f>
        <v>0.53333333333333333</v>
      </c>
      <c r="DI35" s="333">
        <f>IF((1-($DX$2-AQ$2)/$C35)&gt;0,(1-($DX$2-AQ$2)/$C35),0)</f>
        <v>0.56666666666666665</v>
      </c>
      <c r="DJ35" s="333">
        <f>IF((1-($DX$2-AU$2)/$C35)&gt;0,(1-($DX$2-AU$2)/$C35),0)</f>
        <v>0.6</v>
      </c>
      <c r="DK35" s="333">
        <f>IF((1-($DX$2-AY$2)/$C35)&gt;0,(1-($DX$2-AY$2)/$C35),0)</f>
        <v>0.6333333333333333</v>
      </c>
      <c r="DL35" s="333">
        <f>IF((1-($DX$2-BC$2)/$C35)&gt;0,(1-($DX$2-BC$2)/$C35),0)</f>
        <v>0.66666666666666674</v>
      </c>
      <c r="DM35" s="333">
        <f>IF(BG35=0,0,1-($DX$2-(2014.5-(BG35-BI35)*C35/BG35))/C35)</f>
        <v>0.437457412495731</v>
      </c>
      <c r="DN35" s="333">
        <f>IF((1-($DX$2-BJ$2)/$C35)&gt;0,(1-($DX$2-BJ$2)/$C35),0)</f>
        <v>0.7</v>
      </c>
      <c r="DO35" s="333">
        <f>IF((1-($DX$2-BN$2)/$C35)&gt;0,(1-($DX$2-BN$2)/$C35),0)</f>
        <v>0.73333333333333339</v>
      </c>
      <c r="DP35" s="333">
        <f>IF((1-($DX$2-BR$2)/$C35)&gt;0,(1-($DX$2-BR$2)/$C35),0)</f>
        <v>0.76666666666666661</v>
      </c>
      <c r="DQ35" s="333">
        <f>IF((1-($DX$2-BV$2)/$C35)&gt;0,(1-($DX$2-BV$2)/$C35),0)</f>
        <v>0.8</v>
      </c>
      <c r="DR35" s="333">
        <f>IF((1-($DX$2-BZ$2)/$C35)&gt;0,(1-($DX$2-BZ$2)/$C35),0)</f>
        <v>0.83333333333333337</v>
      </c>
      <c r="DS35" s="333">
        <f>IF((1-($DX$2-CD$2)/$C35)&gt;0,(1-($DX$2-CD$2)/$C35),0)</f>
        <v>0.8666666666666667</v>
      </c>
      <c r="DT35" s="333">
        <f>IF((1-($DX$2-CH$2)/$C35)&gt;0,(1-($DX$2-CH$2)/$C35),0)</f>
        <v>0.9</v>
      </c>
      <c r="DU35" s="333">
        <f>IF((1-($DX$2-CL$2)/$C35)&gt;0,(1-($DX$2-CL$2)/$C35),0)</f>
        <v>0.93333333333333335</v>
      </c>
      <c r="DV35" s="333">
        <f t="shared" si="63"/>
        <v>0.96666666666666667</v>
      </c>
      <c r="DW35" s="333">
        <f t="shared" si="64"/>
        <v>1</v>
      </c>
      <c r="DX35" s="334">
        <f t="shared" si="34"/>
        <v>15329431.141098581</v>
      </c>
      <c r="DY35" s="334">
        <f t="shared" si="35"/>
        <v>10109999.26940603</v>
      </c>
      <c r="DZ35" s="334">
        <f t="shared" si="36"/>
        <v>3308239.4987325994</v>
      </c>
    </row>
    <row r="36" spans="1:130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>
        <v>0</v>
      </c>
      <c r="CJ36" s="290"/>
      <c r="CK36" s="290"/>
      <c r="CL36" s="290">
        <v>0</v>
      </c>
      <c r="CM36" s="290"/>
      <c r="CN36" s="290"/>
      <c r="CO36" s="290"/>
      <c r="CP36" s="290">
        <v>0</v>
      </c>
      <c r="CQ36" s="290"/>
      <c r="CR36" s="290"/>
      <c r="CS36" s="290"/>
      <c r="CT36" s="290">
        <v>0</v>
      </c>
      <c r="CU36" s="290"/>
      <c r="CV36" s="290"/>
      <c r="CW36" s="290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3"/>
      <c r="DO36" s="333"/>
      <c r="DP36" s="333"/>
      <c r="DQ36" s="333"/>
      <c r="DR36" s="333"/>
      <c r="DS36" s="333"/>
      <c r="DT36" s="333"/>
      <c r="DU36" s="333"/>
      <c r="DV36" s="333"/>
      <c r="DW36" s="333"/>
      <c r="DX36" s="334"/>
      <c r="DY36" s="334"/>
      <c r="DZ36" s="334"/>
    </row>
    <row r="37" spans="1:130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290">
        <v>0</v>
      </c>
      <c r="CI37" s="290">
        <v>0</v>
      </c>
      <c r="CJ37" s="290"/>
      <c r="CK37" s="290"/>
      <c r="CL37" s="290">
        <v>0</v>
      </c>
      <c r="CM37" s="290"/>
      <c r="CN37" s="290"/>
      <c r="CO37" s="290"/>
      <c r="CP37" s="290">
        <v>0</v>
      </c>
      <c r="CQ37" s="290"/>
      <c r="CR37" s="290"/>
      <c r="CS37" s="290"/>
      <c r="CT37" s="290">
        <v>0</v>
      </c>
      <c r="CU37" s="290"/>
      <c r="CV37" s="290"/>
      <c r="CW37" s="290"/>
      <c r="CX37" s="321">
        <f t="shared" ref="CX37:CX44" si="65">IF(D37=0,0,2001-(D37-F37)*C37/D37)</f>
        <v>0</v>
      </c>
      <c r="CY37" s="333">
        <f t="shared" ref="CY37:CY44" si="66">IF((1-($DX$2-$CX37)/$C37)&gt;0,(1-($DX$2-$CX37)/$C37),0)</f>
        <v>0</v>
      </c>
      <c r="CZ37" s="333">
        <f t="shared" ref="CZ37:CZ44" si="67">IF((1-($DX$2-G$2)/$C37)&gt;0,(1-($DX$2-G$2)/$C37),0)</f>
        <v>0</v>
      </c>
      <c r="DA37" s="333">
        <f t="shared" ref="DA37:DA44" si="68">IF((1-($DX$2-K$2)/$C37)&gt;0,(1-($DX$2-K$2)/$C37),0)</f>
        <v>0</v>
      </c>
      <c r="DB37" s="333">
        <f t="shared" ref="DB37:DB44" si="69">IF((1-($DX$2-O$2)/$C37)&gt;0,(1-($DX$2-O$2)/$C37),0)</f>
        <v>0</v>
      </c>
      <c r="DC37" s="333">
        <f t="shared" ref="DC37:DC44" si="70">IF((1-($DX$2-S$2)/$C37)&gt;0,(1-($DX$2-S$2)/$C37),0)</f>
        <v>0</v>
      </c>
      <c r="DD37" s="333">
        <f t="shared" ref="DD37:DD44" si="71">IF((1-($DX$2-W$2)/$C37)&gt;0,(1-($DX$2-W$2)/$C37),0)</f>
        <v>0</v>
      </c>
      <c r="DE37" s="333">
        <f t="shared" ref="DE37:DE44" si="72">IF((1-($DX$2-AA$2)/$C37)&gt;0,(1-($DX$2-AA$2)/$C37),0)</f>
        <v>0</v>
      </c>
      <c r="DF37" s="333">
        <f t="shared" ref="DF37:DF44" si="73">IF((1-($DX$2-AE$2)/$C37)&gt;0,(1-($DX$2-AE$2)/$C37),0)</f>
        <v>0</v>
      </c>
      <c r="DG37" s="333">
        <f t="shared" ref="DG37:DG44" si="74">IF((1-($DX$2-AI$2)/$C37)&gt;0,(1-($DX$2-AI$2)/$C37),0)</f>
        <v>0</v>
      </c>
      <c r="DH37" s="333">
        <f t="shared" ref="DH37:DH44" si="75">IF((1-($DX$2-AM$2)/$C37)&gt;0,(1-($DX$2-AM$2)/$C37),0)</f>
        <v>0</v>
      </c>
      <c r="DI37" s="333">
        <f t="shared" ref="DI37:DI44" si="76">IF((1-($DX$2-AQ$2)/$C37)&gt;0,(1-($DX$2-AQ$2)/$C37),0)</f>
        <v>0</v>
      </c>
      <c r="DJ37" s="333">
        <f t="shared" ref="DJ37:DJ44" si="77">IF((1-($DX$2-AU$2)/$C37)&gt;0,(1-($DX$2-AU$2)/$C37),0)</f>
        <v>0</v>
      </c>
      <c r="DK37" s="333">
        <f t="shared" ref="DK37:DK44" si="78">IF((1-($DX$2-AY$2)/$C37)&gt;0,(1-($DX$2-AY$2)/$C37),0)</f>
        <v>0</v>
      </c>
      <c r="DL37" s="333">
        <f t="shared" ref="DL37:DL44" si="79">IF((1-($DX$2-BC$2)/$C37)&gt;0,(1-($DX$2-BC$2)/$C37),0)</f>
        <v>0</v>
      </c>
      <c r="DM37" s="333">
        <f t="shared" ref="DM37:DM44" si="80">IF(BG37=0,0,1-($DX$2-(2014.5-(BG37-BI37)*C37/BG37))/C37)</f>
        <v>0</v>
      </c>
      <c r="DN37" s="333">
        <f t="shared" ref="DN37:DN44" si="81">IF((1-($DX$2-BJ$2)/$C37)&gt;0,(1-($DX$2-BJ$2)/$C37),0)</f>
        <v>9.9999999999999978E-2</v>
      </c>
      <c r="DO37" s="333">
        <f t="shared" ref="DO37:DO44" si="82">IF((1-($DX$2-BN$2)/$C37)&gt;0,(1-($DX$2-BN$2)/$C37),0)</f>
        <v>0.19999999999999996</v>
      </c>
      <c r="DP37" s="333">
        <f t="shared" ref="DP37:DP44" si="83">IF((1-($DX$2-BR$2)/$C37)&gt;0,(1-($DX$2-BR$2)/$C37),0)</f>
        <v>0.30000000000000004</v>
      </c>
      <c r="DQ37" s="333">
        <f t="shared" ref="DQ37:DQ44" si="84">IF((1-($DX$2-BV$2)/$C37)&gt;0,(1-($DX$2-BV$2)/$C37),0)</f>
        <v>0.4</v>
      </c>
      <c r="DR37" s="333">
        <f t="shared" ref="DR37:DR44" si="85">IF((1-($DX$2-BZ$2)/$C37)&gt;0,(1-($DX$2-BZ$2)/$C37),0)</f>
        <v>0.5</v>
      </c>
      <c r="DS37" s="333">
        <f t="shared" ref="DS37:DS44" si="86">IF((1-($DX$2-CD$2)/$C37)&gt;0,(1-($DX$2-CD$2)/$C37),0)</f>
        <v>0.6</v>
      </c>
      <c r="DT37" s="333">
        <f t="shared" ref="DT37:DT44" si="87">IF((1-($DX$2-CH$2)/$C37)&gt;0,(1-($DX$2-CH$2)/$C37),0)</f>
        <v>0.7</v>
      </c>
      <c r="DU37" s="333">
        <f t="shared" ref="DU37:DU44" si="88">IF((1-($DX$2-CL$2)/$C37)&gt;0,(1-($DX$2-CL$2)/$C37),0)</f>
        <v>0.8</v>
      </c>
      <c r="DV37" s="333">
        <f t="shared" ref="DV37:DV44" si="89">IF((1-($DX$2-CP$2)/$C37)&gt;0,(1-($DX$2-CP$2)/$C37),0)</f>
        <v>0.9</v>
      </c>
      <c r="DW37" s="333">
        <f t="shared" ref="DW37:DW44" si="90">IF((1-($DX$2-CT$2)/$C37)&gt;0,(1-($DX$2-CT$2)/$C37),0)</f>
        <v>1</v>
      </c>
      <c r="DX37" s="334">
        <f t="shared" si="34"/>
        <v>0</v>
      </c>
      <c r="DY37" s="334">
        <f t="shared" si="35"/>
        <v>0</v>
      </c>
      <c r="DZ37" s="334">
        <f t="shared" si="36"/>
        <v>0</v>
      </c>
    </row>
    <row r="38" spans="1:130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>
        <v>0</v>
      </c>
      <c r="CJ38" s="290"/>
      <c r="CK38" s="290"/>
      <c r="CL38" s="290"/>
      <c r="CM38" s="290"/>
      <c r="CN38" s="290"/>
      <c r="CO38" s="290"/>
      <c r="CP38" s="290"/>
      <c r="CQ38" s="290"/>
      <c r="CR38" s="290"/>
      <c r="CS38" s="290"/>
      <c r="CT38" s="290"/>
      <c r="CU38" s="290"/>
      <c r="CV38" s="290"/>
      <c r="CW38" s="290"/>
      <c r="CX38" s="321">
        <f t="shared" si="65"/>
        <v>0</v>
      </c>
      <c r="CY38" s="333">
        <f t="shared" si="66"/>
        <v>0</v>
      </c>
      <c r="CZ38" s="333">
        <f t="shared" si="67"/>
        <v>0</v>
      </c>
      <c r="DA38" s="333">
        <f t="shared" si="68"/>
        <v>0</v>
      </c>
      <c r="DB38" s="333">
        <f t="shared" si="69"/>
        <v>0</v>
      </c>
      <c r="DC38" s="333">
        <f t="shared" si="70"/>
        <v>0</v>
      </c>
      <c r="DD38" s="333">
        <f t="shared" si="71"/>
        <v>0</v>
      </c>
      <c r="DE38" s="333">
        <f t="shared" si="72"/>
        <v>0</v>
      </c>
      <c r="DF38" s="333">
        <f t="shared" si="73"/>
        <v>0</v>
      </c>
      <c r="DG38" s="333">
        <f t="shared" si="74"/>
        <v>0</v>
      </c>
      <c r="DH38" s="333">
        <f t="shared" si="75"/>
        <v>0</v>
      </c>
      <c r="DI38" s="333">
        <f t="shared" si="76"/>
        <v>0</v>
      </c>
      <c r="DJ38" s="333">
        <f t="shared" si="77"/>
        <v>0</v>
      </c>
      <c r="DK38" s="333">
        <f t="shared" si="78"/>
        <v>0</v>
      </c>
      <c r="DL38" s="333">
        <f t="shared" si="79"/>
        <v>0</v>
      </c>
      <c r="DM38" s="333">
        <f t="shared" si="80"/>
        <v>0</v>
      </c>
      <c r="DN38" s="333">
        <f t="shared" si="81"/>
        <v>0</v>
      </c>
      <c r="DO38" s="333">
        <f t="shared" si="82"/>
        <v>0</v>
      </c>
      <c r="DP38" s="333">
        <f t="shared" si="83"/>
        <v>0</v>
      </c>
      <c r="DQ38" s="333">
        <f t="shared" si="84"/>
        <v>0</v>
      </c>
      <c r="DR38" s="333">
        <f t="shared" si="85"/>
        <v>0</v>
      </c>
      <c r="DS38" s="333">
        <f t="shared" si="86"/>
        <v>0.19999999999999996</v>
      </c>
      <c r="DT38" s="333">
        <f t="shared" si="87"/>
        <v>0.4</v>
      </c>
      <c r="DU38" s="333">
        <f t="shared" si="88"/>
        <v>0.6</v>
      </c>
      <c r="DV38" s="333">
        <f t="shared" si="89"/>
        <v>0.8</v>
      </c>
      <c r="DW38" s="333">
        <f t="shared" si="90"/>
        <v>1</v>
      </c>
      <c r="DX38" s="334">
        <f t="shared" si="34"/>
        <v>7670.8689809675761</v>
      </c>
      <c r="DY38" s="334">
        <f t="shared" si="35"/>
        <v>7670.8689809675761</v>
      </c>
      <c r="DZ38" s="334">
        <f t="shared" si="36"/>
        <v>0</v>
      </c>
    </row>
    <row r="39" spans="1:130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>
        <v>0</v>
      </c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290"/>
      <c r="CU39" s="290"/>
      <c r="CV39" s="290"/>
      <c r="CW39" s="290"/>
      <c r="CX39" s="321">
        <f t="shared" si="65"/>
        <v>0</v>
      </c>
      <c r="CY39" s="333">
        <f t="shared" si="66"/>
        <v>0</v>
      </c>
      <c r="CZ39" s="333">
        <f t="shared" si="67"/>
        <v>0.97799999999999998</v>
      </c>
      <c r="DA39" s="333">
        <f t="shared" si="68"/>
        <v>0.97899999999999998</v>
      </c>
      <c r="DB39" s="333">
        <f t="shared" si="69"/>
        <v>0.98</v>
      </c>
      <c r="DC39" s="333">
        <f t="shared" si="70"/>
        <v>0.98099999999999998</v>
      </c>
      <c r="DD39" s="333">
        <f t="shared" si="71"/>
        <v>0.98199999999999998</v>
      </c>
      <c r="DE39" s="333">
        <f t="shared" si="72"/>
        <v>0.98299999999999998</v>
      </c>
      <c r="DF39" s="333">
        <f t="shared" si="73"/>
        <v>0.98399999999999999</v>
      </c>
      <c r="DG39" s="333">
        <f t="shared" si="74"/>
        <v>0.98499999999999999</v>
      </c>
      <c r="DH39" s="333">
        <f t="shared" si="75"/>
        <v>0.98599999999999999</v>
      </c>
      <c r="DI39" s="333">
        <f t="shared" si="76"/>
        <v>0.98699999999999999</v>
      </c>
      <c r="DJ39" s="333">
        <f t="shared" si="77"/>
        <v>0.98799999999999999</v>
      </c>
      <c r="DK39" s="333">
        <f t="shared" si="78"/>
        <v>0.98899999999999999</v>
      </c>
      <c r="DL39" s="333">
        <f t="shared" si="79"/>
        <v>0.99</v>
      </c>
      <c r="DM39" s="333">
        <f t="shared" si="80"/>
        <v>0</v>
      </c>
      <c r="DN39" s="333">
        <f t="shared" si="81"/>
        <v>0.99099999999999999</v>
      </c>
      <c r="DO39" s="333">
        <f t="shared" si="82"/>
        <v>0.99199999999999999</v>
      </c>
      <c r="DP39" s="333">
        <f t="shared" si="83"/>
        <v>0.99299999999999999</v>
      </c>
      <c r="DQ39" s="333">
        <f t="shared" si="84"/>
        <v>0.99399999999999999</v>
      </c>
      <c r="DR39" s="333">
        <f t="shared" si="85"/>
        <v>0.995</v>
      </c>
      <c r="DS39" s="333">
        <f t="shared" si="86"/>
        <v>0.996</v>
      </c>
      <c r="DT39" s="333">
        <f t="shared" si="87"/>
        <v>0.997</v>
      </c>
      <c r="DU39" s="333">
        <f t="shared" si="88"/>
        <v>0.998</v>
      </c>
      <c r="DV39" s="333">
        <f t="shared" si="89"/>
        <v>0.999</v>
      </c>
      <c r="DW39" s="333">
        <f t="shared" si="90"/>
        <v>1</v>
      </c>
      <c r="DX39" s="334">
        <f t="shared" si="34"/>
        <v>0</v>
      </c>
      <c r="DY39" s="334">
        <f t="shared" si="35"/>
        <v>0</v>
      </c>
      <c r="DZ39" s="334">
        <f t="shared" si="36"/>
        <v>0</v>
      </c>
    </row>
    <row r="40" spans="1:130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>
        <v>0</v>
      </c>
      <c r="CJ40" s="290"/>
      <c r="CK40" s="290"/>
      <c r="CL40" s="290"/>
      <c r="CM40" s="290"/>
      <c r="CN40" s="290"/>
      <c r="CO40" s="290"/>
      <c r="CP40" s="290"/>
      <c r="CQ40" s="290"/>
      <c r="CR40" s="290"/>
      <c r="CS40" s="290"/>
      <c r="CT40" s="290"/>
      <c r="CU40" s="290"/>
      <c r="CV40" s="290"/>
      <c r="CW40" s="290"/>
      <c r="CX40" s="321">
        <f t="shared" si="65"/>
        <v>0</v>
      </c>
      <c r="CY40" s="333">
        <f t="shared" si="66"/>
        <v>0</v>
      </c>
      <c r="CZ40" s="333">
        <f t="shared" si="67"/>
        <v>0.44999999999999996</v>
      </c>
      <c r="DA40" s="333">
        <f t="shared" si="68"/>
        <v>0.47499999999999998</v>
      </c>
      <c r="DB40" s="333">
        <f t="shared" si="69"/>
        <v>0.5</v>
      </c>
      <c r="DC40" s="333">
        <f t="shared" si="70"/>
        <v>0.52500000000000002</v>
      </c>
      <c r="DD40" s="333">
        <f t="shared" si="71"/>
        <v>0.55000000000000004</v>
      </c>
      <c r="DE40" s="333">
        <f t="shared" si="72"/>
        <v>0.57499999999999996</v>
      </c>
      <c r="DF40" s="333">
        <f t="shared" si="73"/>
        <v>0.6</v>
      </c>
      <c r="DG40" s="333">
        <f t="shared" si="74"/>
        <v>0.625</v>
      </c>
      <c r="DH40" s="333">
        <f t="shared" si="75"/>
        <v>0.65</v>
      </c>
      <c r="DI40" s="333">
        <f t="shared" si="76"/>
        <v>0.67500000000000004</v>
      </c>
      <c r="DJ40" s="333">
        <f t="shared" si="77"/>
        <v>0.7</v>
      </c>
      <c r="DK40" s="333">
        <f t="shared" si="78"/>
        <v>0.72499999999999998</v>
      </c>
      <c r="DL40" s="333">
        <f t="shared" si="79"/>
        <v>0.75</v>
      </c>
      <c r="DM40" s="333">
        <f t="shared" si="80"/>
        <v>0</v>
      </c>
      <c r="DN40" s="333">
        <f t="shared" si="81"/>
        <v>0.77500000000000002</v>
      </c>
      <c r="DO40" s="333">
        <f t="shared" si="82"/>
        <v>0.8</v>
      </c>
      <c r="DP40" s="333">
        <f t="shared" si="83"/>
        <v>0.82499999999999996</v>
      </c>
      <c r="DQ40" s="333">
        <f t="shared" si="84"/>
        <v>0.85</v>
      </c>
      <c r="DR40" s="333">
        <f t="shared" si="85"/>
        <v>0.875</v>
      </c>
      <c r="DS40" s="333">
        <f t="shared" si="86"/>
        <v>0.9</v>
      </c>
      <c r="DT40" s="333">
        <f t="shared" si="87"/>
        <v>0.92500000000000004</v>
      </c>
      <c r="DU40" s="333">
        <f t="shared" si="88"/>
        <v>0.95</v>
      </c>
      <c r="DV40" s="333">
        <f t="shared" si="89"/>
        <v>0.97499999999999998</v>
      </c>
      <c r="DW40" s="333">
        <f t="shared" si="90"/>
        <v>1</v>
      </c>
      <c r="DX40" s="334">
        <f t="shared" si="34"/>
        <v>0</v>
      </c>
      <c r="DY40" s="334">
        <f t="shared" si="35"/>
        <v>0</v>
      </c>
      <c r="DZ40" s="334">
        <f t="shared" si="36"/>
        <v>0</v>
      </c>
    </row>
    <row r="41" spans="1:130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290">
        <v>1564664.1</v>
      </c>
      <c r="CI41" s="290">
        <v>0</v>
      </c>
      <c r="CJ41" s="290"/>
      <c r="CK41" s="290"/>
      <c r="CL41" s="290">
        <v>851576.63</v>
      </c>
      <c r="CM41" s="290"/>
      <c r="CN41" s="290"/>
      <c r="CO41" s="290"/>
      <c r="CP41" s="290">
        <v>1257071.68</v>
      </c>
      <c r="CQ41" s="290"/>
      <c r="CR41" s="290"/>
      <c r="CS41" s="290"/>
      <c r="CT41" s="290">
        <v>1144191.3600000001</v>
      </c>
      <c r="CU41" s="290"/>
      <c r="CV41" s="290"/>
      <c r="CW41" s="290"/>
      <c r="CX41" s="321">
        <f t="shared" si="65"/>
        <v>1991</v>
      </c>
      <c r="CY41" s="333">
        <f t="shared" si="66"/>
        <v>0</v>
      </c>
      <c r="CZ41" s="333">
        <f t="shared" si="67"/>
        <v>0</v>
      </c>
      <c r="DA41" s="333">
        <f t="shared" si="68"/>
        <v>0</v>
      </c>
      <c r="DB41" s="333">
        <f t="shared" si="69"/>
        <v>0</v>
      </c>
      <c r="DC41" s="333">
        <f t="shared" si="70"/>
        <v>0</v>
      </c>
      <c r="DD41" s="333">
        <f t="shared" si="71"/>
        <v>0</v>
      </c>
      <c r="DE41" s="333">
        <f t="shared" si="72"/>
        <v>0</v>
      </c>
      <c r="DF41" s="333">
        <f t="shared" si="73"/>
        <v>0</v>
      </c>
      <c r="DG41" s="333">
        <f t="shared" si="74"/>
        <v>0</v>
      </c>
      <c r="DH41" s="333">
        <f t="shared" si="75"/>
        <v>0</v>
      </c>
      <c r="DI41" s="333">
        <f t="shared" si="76"/>
        <v>0</v>
      </c>
      <c r="DJ41" s="333">
        <f t="shared" si="77"/>
        <v>0</v>
      </c>
      <c r="DK41" s="333">
        <f t="shared" si="78"/>
        <v>0</v>
      </c>
      <c r="DL41" s="333">
        <f t="shared" si="79"/>
        <v>0</v>
      </c>
      <c r="DM41" s="333">
        <f t="shared" si="80"/>
        <v>0</v>
      </c>
      <c r="DN41" s="333">
        <f t="shared" si="81"/>
        <v>9.9999999999999978E-2</v>
      </c>
      <c r="DO41" s="333">
        <f t="shared" si="82"/>
        <v>0.19999999999999996</v>
      </c>
      <c r="DP41" s="333">
        <f t="shared" si="83"/>
        <v>0.30000000000000004</v>
      </c>
      <c r="DQ41" s="333">
        <f t="shared" si="84"/>
        <v>0.4</v>
      </c>
      <c r="DR41" s="333">
        <f t="shared" si="85"/>
        <v>0.5</v>
      </c>
      <c r="DS41" s="333">
        <f t="shared" si="86"/>
        <v>0.6</v>
      </c>
      <c r="DT41" s="333">
        <f t="shared" si="87"/>
        <v>0.7</v>
      </c>
      <c r="DU41" s="333">
        <f t="shared" si="88"/>
        <v>0.8</v>
      </c>
      <c r="DV41" s="333">
        <f t="shared" si="89"/>
        <v>0.9</v>
      </c>
      <c r="DW41" s="333">
        <f t="shared" si="90"/>
        <v>1</v>
      </c>
      <c r="DX41" s="334">
        <f t="shared" si="34"/>
        <v>8963676.5181883015</v>
      </c>
      <c r="DY41" s="334">
        <f t="shared" si="35"/>
        <v>627686.20825610752</v>
      </c>
      <c r="DZ41" s="334">
        <f t="shared" si="36"/>
        <v>4653432.5995882116</v>
      </c>
    </row>
    <row r="42" spans="1:130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290">
        <v>211466.45</v>
      </c>
      <c r="CI42" s="290">
        <v>0</v>
      </c>
      <c r="CJ42" s="290"/>
      <c r="CK42" s="290"/>
      <c r="CL42" s="290">
        <v>237731.02000000002</v>
      </c>
      <c r="CM42" s="290"/>
      <c r="CN42" s="290"/>
      <c r="CO42" s="290"/>
      <c r="CP42" s="290">
        <v>215918.29000000004</v>
      </c>
      <c r="CQ42" s="290"/>
      <c r="CR42" s="290"/>
      <c r="CS42" s="290"/>
      <c r="CT42" s="290">
        <v>109224.11</v>
      </c>
      <c r="CU42" s="290"/>
      <c r="CV42" s="290"/>
      <c r="CW42" s="290"/>
      <c r="CX42" s="321">
        <f t="shared" si="65"/>
        <v>0</v>
      </c>
      <c r="CY42" s="333">
        <f t="shared" si="66"/>
        <v>0</v>
      </c>
      <c r="CZ42" s="333">
        <f t="shared" si="67"/>
        <v>0</v>
      </c>
      <c r="DA42" s="333">
        <f t="shared" si="68"/>
        <v>4.5454545454545414E-2</v>
      </c>
      <c r="DB42" s="333">
        <f t="shared" si="69"/>
        <v>9.0909090909090939E-2</v>
      </c>
      <c r="DC42" s="333">
        <f t="shared" si="70"/>
        <v>0.13636363636363635</v>
      </c>
      <c r="DD42" s="333">
        <f t="shared" si="71"/>
        <v>0.18181818181818177</v>
      </c>
      <c r="DE42" s="333">
        <f t="shared" si="72"/>
        <v>0.22727272727272729</v>
      </c>
      <c r="DF42" s="333">
        <f t="shared" si="73"/>
        <v>0.27272727272727271</v>
      </c>
      <c r="DG42" s="333">
        <f t="shared" si="74"/>
        <v>0.31818181818181823</v>
      </c>
      <c r="DH42" s="333">
        <f t="shared" si="75"/>
        <v>0.36363636363636365</v>
      </c>
      <c r="DI42" s="333">
        <f t="shared" si="76"/>
        <v>0.40909090909090906</v>
      </c>
      <c r="DJ42" s="333">
        <f t="shared" si="77"/>
        <v>0.45454545454545459</v>
      </c>
      <c r="DK42" s="333">
        <f t="shared" si="78"/>
        <v>0.5</v>
      </c>
      <c r="DL42" s="333">
        <f t="shared" si="79"/>
        <v>0.54545454545454541</v>
      </c>
      <c r="DM42" s="333">
        <f t="shared" si="80"/>
        <v>0</v>
      </c>
      <c r="DN42" s="333">
        <f t="shared" si="81"/>
        <v>0.59090909090909083</v>
      </c>
      <c r="DO42" s="333">
        <f t="shared" si="82"/>
        <v>0.63636363636363635</v>
      </c>
      <c r="DP42" s="333">
        <f t="shared" si="83"/>
        <v>0.68181818181818188</v>
      </c>
      <c r="DQ42" s="333">
        <f t="shared" si="84"/>
        <v>0.72727272727272729</v>
      </c>
      <c r="DR42" s="333">
        <f t="shared" si="85"/>
        <v>0.77272727272727271</v>
      </c>
      <c r="DS42" s="333">
        <f t="shared" si="86"/>
        <v>0.81818181818181812</v>
      </c>
      <c r="DT42" s="333">
        <f t="shared" si="87"/>
        <v>0.86363636363636365</v>
      </c>
      <c r="DU42" s="333">
        <f t="shared" si="88"/>
        <v>0.90909090909090906</v>
      </c>
      <c r="DV42" s="333">
        <f t="shared" si="89"/>
        <v>0.95454545454545459</v>
      </c>
      <c r="DW42" s="333">
        <f t="shared" si="90"/>
        <v>1</v>
      </c>
      <c r="DX42" s="334">
        <f t="shared" si="34"/>
        <v>1215060.7426134998</v>
      </c>
      <c r="DY42" s="334">
        <f t="shared" si="35"/>
        <v>0</v>
      </c>
      <c r="DZ42" s="334">
        <f t="shared" si="36"/>
        <v>932629.1571759769</v>
      </c>
    </row>
    <row r="43" spans="1:130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290"/>
      <c r="CI43" s="290">
        <v>0</v>
      </c>
      <c r="CJ43" s="290"/>
      <c r="CK43" s="290"/>
      <c r="CL43" s="290">
        <v>0</v>
      </c>
      <c r="CM43" s="290"/>
      <c r="CN43" s="290"/>
      <c r="CO43" s="290"/>
      <c r="CP43" s="290">
        <v>0</v>
      </c>
      <c r="CQ43" s="290"/>
      <c r="CR43" s="290"/>
      <c r="CS43" s="290"/>
      <c r="CT43" s="290">
        <v>0</v>
      </c>
      <c r="CU43" s="290"/>
      <c r="CV43" s="290"/>
      <c r="CW43" s="290"/>
      <c r="CX43" s="321">
        <f t="shared" si="65"/>
        <v>0</v>
      </c>
      <c r="CY43" s="333">
        <f t="shared" si="66"/>
        <v>0</v>
      </c>
      <c r="CZ43" s="333">
        <f t="shared" si="67"/>
        <v>0</v>
      </c>
      <c r="DA43" s="333">
        <f t="shared" si="68"/>
        <v>0</v>
      </c>
      <c r="DB43" s="333">
        <f t="shared" si="69"/>
        <v>0</v>
      </c>
      <c r="DC43" s="333">
        <f t="shared" si="70"/>
        <v>0</v>
      </c>
      <c r="DD43" s="333">
        <f t="shared" si="71"/>
        <v>0</v>
      </c>
      <c r="DE43" s="333">
        <f t="shared" si="72"/>
        <v>0</v>
      </c>
      <c r="DF43" s="333">
        <f t="shared" si="73"/>
        <v>0</v>
      </c>
      <c r="DG43" s="333">
        <f t="shared" si="74"/>
        <v>0</v>
      </c>
      <c r="DH43" s="333">
        <f t="shared" si="75"/>
        <v>0</v>
      </c>
      <c r="DI43" s="333">
        <f t="shared" si="76"/>
        <v>0</v>
      </c>
      <c r="DJ43" s="333">
        <f t="shared" si="77"/>
        <v>0</v>
      </c>
      <c r="DK43" s="333">
        <f t="shared" si="78"/>
        <v>0</v>
      </c>
      <c r="DL43" s="333">
        <f t="shared" si="79"/>
        <v>0</v>
      </c>
      <c r="DM43" s="333">
        <f t="shared" si="80"/>
        <v>0</v>
      </c>
      <c r="DN43" s="333">
        <f t="shared" si="81"/>
        <v>0</v>
      </c>
      <c r="DO43" s="333">
        <f t="shared" si="82"/>
        <v>0</v>
      </c>
      <c r="DP43" s="333">
        <f t="shared" si="83"/>
        <v>0</v>
      </c>
      <c r="DQ43" s="333">
        <f t="shared" si="84"/>
        <v>0</v>
      </c>
      <c r="DR43" s="333">
        <f t="shared" si="85"/>
        <v>0</v>
      </c>
      <c r="DS43" s="333">
        <f t="shared" si="86"/>
        <v>0</v>
      </c>
      <c r="DT43" s="333">
        <f t="shared" si="87"/>
        <v>0.25</v>
      </c>
      <c r="DU43" s="333">
        <f t="shared" si="88"/>
        <v>0.5</v>
      </c>
      <c r="DV43" s="333">
        <f t="shared" si="89"/>
        <v>0.75</v>
      </c>
      <c r="DW43" s="333">
        <f t="shared" si="90"/>
        <v>1</v>
      </c>
      <c r="DX43" s="334">
        <f t="shared" si="34"/>
        <v>0</v>
      </c>
      <c r="DY43" s="334">
        <f t="shared" si="35"/>
        <v>0</v>
      </c>
      <c r="DZ43" s="334">
        <f t="shared" si="36"/>
        <v>0</v>
      </c>
    </row>
    <row r="44" spans="1:130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0">
        <v>0</v>
      </c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321">
        <f t="shared" si="65"/>
        <v>0</v>
      </c>
      <c r="CY44" s="348">
        <f t="shared" si="66"/>
        <v>0</v>
      </c>
      <c r="CZ44" s="333">
        <f t="shared" si="67"/>
        <v>0</v>
      </c>
      <c r="DA44" s="333">
        <f t="shared" si="68"/>
        <v>0</v>
      </c>
      <c r="DB44" s="333">
        <f t="shared" si="69"/>
        <v>0</v>
      </c>
      <c r="DC44" s="333">
        <f t="shared" si="70"/>
        <v>0</v>
      </c>
      <c r="DD44" s="333">
        <f t="shared" si="71"/>
        <v>0</v>
      </c>
      <c r="DE44" s="333">
        <f t="shared" si="72"/>
        <v>0</v>
      </c>
      <c r="DF44" s="333">
        <f t="shared" si="73"/>
        <v>0</v>
      </c>
      <c r="DG44" s="333">
        <f t="shared" si="74"/>
        <v>0</v>
      </c>
      <c r="DH44" s="333">
        <f t="shared" si="75"/>
        <v>0</v>
      </c>
      <c r="DI44" s="333">
        <f t="shared" si="76"/>
        <v>0</v>
      </c>
      <c r="DJ44" s="333">
        <f t="shared" si="77"/>
        <v>0</v>
      </c>
      <c r="DK44" s="333">
        <f t="shared" si="78"/>
        <v>0</v>
      </c>
      <c r="DL44" s="333">
        <f t="shared" si="79"/>
        <v>0</v>
      </c>
      <c r="DM44" s="333">
        <f t="shared" si="80"/>
        <v>0</v>
      </c>
      <c r="DN44" s="333">
        <f t="shared" si="81"/>
        <v>0</v>
      </c>
      <c r="DO44" s="333">
        <f t="shared" si="82"/>
        <v>0</v>
      </c>
      <c r="DP44" s="333">
        <f t="shared" si="83"/>
        <v>0.125</v>
      </c>
      <c r="DQ44" s="333">
        <f t="shared" si="84"/>
        <v>0.25</v>
      </c>
      <c r="DR44" s="333">
        <f t="shared" si="85"/>
        <v>0.375</v>
      </c>
      <c r="DS44" s="333">
        <f t="shared" si="86"/>
        <v>0.5</v>
      </c>
      <c r="DT44" s="333">
        <f t="shared" si="87"/>
        <v>0.625</v>
      </c>
      <c r="DU44" s="333">
        <f t="shared" si="88"/>
        <v>0.75</v>
      </c>
      <c r="DV44" s="333">
        <f t="shared" si="89"/>
        <v>0.875</v>
      </c>
      <c r="DW44" s="333">
        <f t="shared" si="90"/>
        <v>1</v>
      </c>
      <c r="DX44" s="334">
        <f t="shared" si="34"/>
        <v>153091.81329945009</v>
      </c>
      <c r="DY44" s="334">
        <f t="shared" si="35"/>
        <v>153091.81329945009</v>
      </c>
      <c r="DZ44" s="334">
        <f t="shared" si="36"/>
        <v>0</v>
      </c>
    </row>
    <row r="45" spans="1:130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91">SUM(E14:E44)</f>
        <v>0</v>
      </c>
      <c r="F45" s="296">
        <f t="shared" si="91"/>
        <v>36745444.950886555</v>
      </c>
      <c r="G45" s="296">
        <f t="shared" si="91"/>
        <v>1262365.3598000002</v>
      </c>
      <c r="H45" s="296">
        <f t="shared" si="91"/>
        <v>0</v>
      </c>
      <c r="I45" s="296">
        <f t="shared" si="91"/>
        <v>0</v>
      </c>
      <c r="J45" s="296">
        <f t="shared" si="91"/>
        <v>0</v>
      </c>
      <c r="K45" s="296">
        <f t="shared" si="91"/>
        <v>2422005.5850740555</v>
      </c>
      <c r="L45" s="296">
        <f t="shared" si="91"/>
        <v>315949</v>
      </c>
      <c r="M45" s="296">
        <f t="shared" si="91"/>
        <v>0</v>
      </c>
      <c r="N45" s="296">
        <f t="shared" si="91"/>
        <v>0</v>
      </c>
      <c r="O45" s="296">
        <f t="shared" si="91"/>
        <v>2468106.6800000002</v>
      </c>
      <c r="P45" s="296">
        <f t="shared" si="91"/>
        <v>0</v>
      </c>
      <c r="Q45" s="296">
        <f t="shared" si="91"/>
        <v>0</v>
      </c>
      <c r="R45" s="296">
        <f t="shared" si="91"/>
        <v>0</v>
      </c>
      <c r="S45" s="296">
        <f t="shared" si="91"/>
        <v>2636963</v>
      </c>
      <c r="T45" s="296">
        <f t="shared" si="91"/>
        <v>0</v>
      </c>
      <c r="U45" s="296">
        <f t="shared" si="91"/>
        <v>0</v>
      </c>
      <c r="V45" s="296">
        <f t="shared" si="91"/>
        <v>0</v>
      </c>
      <c r="W45" s="296">
        <f t="shared" si="91"/>
        <v>2901614.0900000003</v>
      </c>
      <c r="X45" s="296">
        <f t="shared" si="91"/>
        <v>0</v>
      </c>
      <c r="Y45" s="296">
        <f t="shared" si="91"/>
        <v>0</v>
      </c>
      <c r="Z45" s="296">
        <f t="shared" si="91"/>
        <v>0</v>
      </c>
      <c r="AA45" s="296">
        <f t="shared" si="91"/>
        <v>4650052.8100000005</v>
      </c>
      <c r="AB45" s="296">
        <f t="shared" si="91"/>
        <v>556386.07000000007</v>
      </c>
      <c r="AC45" s="296">
        <f t="shared" si="91"/>
        <v>0</v>
      </c>
      <c r="AD45" s="296">
        <f t="shared" si="91"/>
        <v>0</v>
      </c>
      <c r="AE45" s="296">
        <f t="shared" si="91"/>
        <v>5437854.6999999993</v>
      </c>
      <c r="AF45" s="296">
        <f t="shared" si="91"/>
        <v>0</v>
      </c>
      <c r="AG45" s="296">
        <f t="shared" si="91"/>
        <v>0</v>
      </c>
      <c r="AH45" s="296">
        <f t="shared" si="91"/>
        <v>0</v>
      </c>
      <c r="AI45" s="296">
        <f t="shared" si="91"/>
        <v>7755169.0999999968</v>
      </c>
      <c r="AJ45" s="296">
        <f t="shared" si="91"/>
        <v>0</v>
      </c>
      <c r="AK45" s="296">
        <f t="shared" si="91"/>
        <v>0</v>
      </c>
      <c r="AL45" s="296">
        <f t="shared" si="91"/>
        <v>0</v>
      </c>
      <c r="AM45" s="296">
        <f t="shared" si="91"/>
        <v>5445007.6719999984</v>
      </c>
      <c r="AN45" s="296">
        <f t="shared" si="91"/>
        <v>0</v>
      </c>
      <c r="AO45" s="296">
        <f t="shared" si="91"/>
        <v>0</v>
      </c>
      <c r="AP45" s="296">
        <f t="shared" si="91"/>
        <v>0</v>
      </c>
      <c r="AQ45" s="296">
        <f t="shared" si="91"/>
        <v>6483412.9600000028</v>
      </c>
      <c r="AR45" s="296">
        <f t="shared" si="91"/>
        <v>0</v>
      </c>
      <c r="AS45" s="296">
        <f t="shared" si="91"/>
        <v>0</v>
      </c>
      <c r="AT45" s="296">
        <f t="shared" si="91"/>
        <v>0</v>
      </c>
      <c r="AU45" s="296">
        <f t="shared" si="91"/>
        <v>4744163.7299999967</v>
      </c>
      <c r="AV45" s="296">
        <f t="shared" si="91"/>
        <v>0</v>
      </c>
      <c r="AW45" s="296">
        <f t="shared" si="91"/>
        <v>0</v>
      </c>
      <c r="AX45" s="296">
        <f t="shared" si="91"/>
        <v>0</v>
      </c>
      <c r="AY45" s="296">
        <f t="shared" si="91"/>
        <v>8655575.7579999957</v>
      </c>
      <c r="AZ45" s="296">
        <f t="shared" si="91"/>
        <v>0</v>
      </c>
      <c r="BA45" s="296">
        <f t="shared" si="91"/>
        <v>0</v>
      </c>
      <c r="BB45" s="296">
        <f t="shared" si="91"/>
        <v>0</v>
      </c>
      <c r="BC45" s="296">
        <f t="shared" si="91"/>
        <v>8595478.4899999984</v>
      </c>
      <c r="BD45" s="296">
        <f t="shared" si="91"/>
        <v>0</v>
      </c>
      <c r="BE45" s="296">
        <f t="shared" si="91"/>
        <v>0</v>
      </c>
      <c r="BF45" s="296">
        <f t="shared" si="91"/>
        <v>0</v>
      </c>
      <c r="BG45" s="296">
        <f t="shared" si="91"/>
        <v>6931047.2479580687</v>
      </c>
      <c r="BH45" s="296">
        <f t="shared" si="91"/>
        <v>5763524.5579580693</v>
      </c>
      <c r="BI45" s="296">
        <f t="shared" si="91"/>
        <v>4907911.2199999988</v>
      </c>
      <c r="BJ45" s="296">
        <f t="shared" si="91"/>
        <v>10289030.280000001</v>
      </c>
      <c r="BK45" s="296">
        <f t="shared" si="91"/>
        <v>0</v>
      </c>
      <c r="BL45" s="296">
        <f t="shared" si="91"/>
        <v>0</v>
      </c>
      <c r="BM45" s="296">
        <f t="shared" si="91"/>
        <v>0</v>
      </c>
      <c r="BN45" s="296">
        <f t="shared" si="91"/>
        <v>23273467.399999995</v>
      </c>
      <c r="BO45" s="296">
        <f t="shared" si="91"/>
        <v>0</v>
      </c>
      <c r="BP45" s="296">
        <f t="shared" si="91"/>
        <v>0</v>
      </c>
      <c r="BQ45" s="296">
        <f t="shared" ref="BQ45:CK45" si="92">SUM(BQ14:BQ44)</f>
        <v>0</v>
      </c>
      <c r="BR45" s="296">
        <f t="shared" si="92"/>
        <v>16573617.789999997</v>
      </c>
      <c r="BS45" s="296">
        <f t="shared" si="92"/>
        <v>65610.73</v>
      </c>
      <c r="BT45" s="296">
        <f t="shared" si="92"/>
        <v>0</v>
      </c>
      <c r="BU45" s="296">
        <f t="shared" si="92"/>
        <v>0</v>
      </c>
      <c r="BV45" s="296">
        <f t="shared" si="92"/>
        <v>17574337.189999998</v>
      </c>
      <c r="BW45" s="296">
        <f t="shared" si="92"/>
        <v>2126529.2643995676</v>
      </c>
      <c r="BX45" s="296">
        <f t="shared" si="92"/>
        <v>0</v>
      </c>
      <c r="BY45" s="296">
        <f t="shared" si="92"/>
        <v>0</v>
      </c>
      <c r="BZ45" s="296">
        <f t="shared" si="92"/>
        <v>17203994.490000002</v>
      </c>
      <c r="CA45" s="296">
        <f t="shared" si="92"/>
        <v>2659763.210547294</v>
      </c>
      <c r="CB45" s="296">
        <f t="shared" si="92"/>
        <v>0</v>
      </c>
      <c r="CC45" s="296">
        <f t="shared" si="92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6">
        <f t="shared" si="92"/>
        <v>14074953.529999994</v>
      </c>
      <c r="CI45" s="296">
        <f t="shared" si="92"/>
        <v>143425.125207</v>
      </c>
      <c r="CJ45" s="296">
        <f t="shared" si="92"/>
        <v>0</v>
      </c>
      <c r="CK45" s="296">
        <f t="shared" si="92"/>
        <v>0</v>
      </c>
      <c r="CL45" s="296">
        <f t="shared" ref="CL45:CW45" si="93">SUM(CL14:CL44)</f>
        <v>16016692.260000002</v>
      </c>
      <c r="CM45" s="296">
        <f t="shared" si="93"/>
        <v>0</v>
      </c>
      <c r="CN45" s="296">
        <f t="shared" si="93"/>
        <v>0</v>
      </c>
      <c r="CO45" s="296">
        <f t="shared" si="93"/>
        <v>0</v>
      </c>
      <c r="CP45" s="296">
        <f t="shared" si="93"/>
        <v>41021704.730000004</v>
      </c>
      <c r="CQ45" s="296">
        <f t="shared" si="93"/>
        <v>146532.4</v>
      </c>
      <c r="CR45" s="296">
        <f t="shared" si="93"/>
        <v>0</v>
      </c>
      <c r="CS45" s="296">
        <f t="shared" si="93"/>
        <v>0</v>
      </c>
      <c r="CT45" s="296">
        <f t="shared" si="93"/>
        <v>22424311.760000002</v>
      </c>
      <c r="CU45" s="296">
        <f t="shared" si="93"/>
        <v>1934068.2</v>
      </c>
      <c r="CV45" s="296">
        <f t="shared" si="93"/>
        <v>0</v>
      </c>
      <c r="CW45" s="296">
        <f t="shared" si="93"/>
        <v>0</v>
      </c>
      <c r="CX45" s="297"/>
      <c r="CY45" s="297"/>
      <c r="CZ45" s="297"/>
      <c r="DA45" s="297"/>
      <c r="DB45" s="297"/>
      <c r="DC45" s="297"/>
      <c r="DD45" s="297"/>
      <c r="DE45" s="297"/>
      <c r="DF45" s="297"/>
      <c r="DG45" s="297"/>
      <c r="DH45" s="297"/>
      <c r="DI45" s="297"/>
      <c r="DJ45" s="297"/>
      <c r="DK45" s="297"/>
      <c r="DL45" s="297"/>
      <c r="DM45" s="297"/>
      <c r="DN45" s="297"/>
      <c r="DO45" s="297"/>
      <c r="DP45" s="297"/>
      <c r="DQ45" s="297"/>
      <c r="DR45" s="297"/>
      <c r="DS45" s="297"/>
      <c r="DT45" s="297"/>
      <c r="DU45" s="297"/>
      <c r="DV45" s="297"/>
      <c r="DW45" s="297"/>
      <c r="DX45" s="298">
        <f>SUM(DX14:DX44)</f>
        <v>273994589.37082577</v>
      </c>
      <c r="DY45" s="298">
        <f>SUM(DY14:DY44)</f>
        <v>65100651.936526723</v>
      </c>
      <c r="DZ45" s="298">
        <f>SUM(DZ14:DZ44)</f>
        <v>155231858.02995878</v>
      </c>
    </row>
    <row r="46" spans="1:130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292">
        <v>743971.64</v>
      </c>
      <c r="CI46" s="290">
        <v>0</v>
      </c>
      <c r="CJ46" s="292"/>
      <c r="CK46" s="292"/>
      <c r="CL46" s="290">
        <v>550410.49999999988</v>
      </c>
      <c r="CM46" s="290"/>
      <c r="CN46" s="292"/>
      <c r="CO46" s="292"/>
      <c r="CP46" s="290">
        <v>816287.5</v>
      </c>
      <c r="CQ46" s="290"/>
      <c r="CR46" s="292"/>
      <c r="CS46" s="292"/>
      <c r="CT46" s="290">
        <v>242212.58000000002</v>
      </c>
      <c r="CU46" s="290"/>
      <c r="CV46" s="292"/>
      <c r="CW46" s="292"/>
      <c r="CX46" s="321">
        <f>IF(D46=0,0,2001-(D46-F46)*C46/D46)</f>
        <v>1993.2473056022818</v>
      </c>
      <c r="CY46" s="374">
        <f>IF((1-($DX$2-$CX46)/$C46)&gt;0,(1-($DX$2-$CX46)/$C46),0)</f>
        <v>0</v>
      </c>
      <c r="CZ46" s="333">
        <f>IF((1-($DX$2-G$2)/$C46)&gt;0,(1-($DX$2-G$2)/$C46),0)</f>
        <v>0</v>
      </c>
      <c r="DA46" s="333">
        <f>IF((1-($DX$2-K$2)/$C46)&gt;0,(1-($DX$2-K$2)/$C46),0)</f>
        <v>4.5454545454545414E-2</v>
      </c>
      <c r="DB46" s="333">
        <f>IF((1-($DX$2-O$2)/$C46)&gt;0,(1-($DX$2-O$2)/$C46),0)</f>
        <v>9.0909090909090939E-2</v>
      </c>
      <c r="DC46" s="333">
        <f>IF((1-($DX$2-S$2)/$C46)&gt;0,(1-($DX$2-S$2)/$C46),0)</f>
        <v>0.13636363636363635</v>
      </c>
      <c r="DD46" s="333">
        <f>IF((1-($DX$2-W$2)/$C46)&gt;0,(1-($DX$2-W$2)/$C46),0)</f>
        <v>0.18181818181818177</v>
      </c>
      <c r="DE46" s="333">
        <f>IF((1-($DX$2-AA$2)/$C46)&gt;0,(1-($DX$2-AA$2)/$C46),0)</f>
        <v>0.22727272727272729</v>
      </c>
      <c r="DF46" s="333">
        <f>IF((1-($DX$2-AE$2)/$C46)&gt;0,(1-($DX$2-AE$2)/$C46),0)</f>
        <v>0.27272727272727271</v>
      </c>
      <c r="DG46" s="333">
        <f>IF((1-($DX$2-AI$2)/$C46)&gt;0,(1-($DX$2-AI$2)/$C46),0)</f>
        <v>0.31818181818181823</v>
      </c>
      <c r="DH46" s="333">
        <f>IF((1-($DX$2-AM$2)/$C46)&gt;0,(1-($DX$2-AM$2)/$C46),0)</f>
        <v>0.36363636363636365</v>
      </c>
      <c r="DI46" s="333">
        <f>IF((1-($DX$2-AQ$2)/$C46)&gt;0,(1-($DX$2-AQ$2)/$C46),0)</f>
        <v>0.40909090909090906</v>
      </c>
      <c r="DJ46" s="333">
        <f>IF((1-($DX$2-AU$2)/$C46)&gt;0,(1-($DX$2-AU$2)/$C46),0)</f>
        <v>0.45454545454545459</v>
      </c>
      <c r="DK46" s="333">
        <f>IF((1-($DX$2-AY$2)/$C46)&gt;0,(1-($DX$2-AY$2)/$C46),0)</f>
        <v>0.5</v>
      </c>
      <c r="DL46" s="333">
        <f>IF((1-($DX$2-BC$2)/$C46)&gt;0,(1-($DX$2-BC$2)/$C46),0)</f>
        <v>0.54545454545454541</v>
      </c>
      <c r="DM46" s="333">
        <f>IF(BG46=0,0,1-($DX$2-(2014.5-(BG46-BI46)*C46/BG46))/C46)</f>
        <v>0</v>
      </c>
      <c r="DN46" s="333">
        <f>IF((1-($DX$2-BJ$2)/$C46)&gt;0,(1-($DX$2-BJ$2)/$C46),0)</f>
        <v>0.59090909090909083</v>
      </c>
      <c r="DO46" s="333">
        <f>IF((1-($DX$2-BN$2)/$C46)&gt;0,(1-($DX$2-BN$2)/$C46),0)</f>
        <v>0.63636363636363635</v>
      </c>
      <c r="DP46" s="333">
        <f>IF((1-($DX$2-BR$2)/$C46)&gt;0,(1-($DX$2-BR$2)/$C46),0)</f>
        <v>0.68181818181818188</v>
      </c>
      <c r="DQ46" s="333">
        <f>IF((1-($DX$2-BV$2)/$C46)&gt;0,(1-($DX$2-BV$2)/$C46),0)</f>
        <v>0.72727272727272729</v>
      </c>
      <c r="DR46" s="333">
        <f>IF((1-($DX$2-BZ$2)/$C46)&gt;0,(1-($DX$2-BZ$2)/$C46),0)</f>
        <v>0.77272727272727271</v>
      </c>
      <c r="DS46" s="333">
        <f>IF((1-($DX$2-CD$2)/$C46)&gt;0,(1-($DX$2-CD$2)/$C46),0)</f>
        <v>0.81818181818181812</v>
      </c>
      <c r="DT46" s="333">
        <f>IF((1-($DX$2-CH$2)/$C46)&gt;0,(1-($DX$2-CH$2)/$C46),0)</f>
        <v>0.86363636363636365</v>
      </c>
      <c r="DU46" s="333">
        <f>IF((1-($DX$2-CL$2)/$C46)&gt;0,(1-($DX$2-CL$2)/$C46),0)</f>
        <v>0.90909090909090906</v>
      </c>
      <c r="DV46" s="333">
        <f>IF((1-($DX$2-CP$2)/$C46)&gt;0,(1-($DX$2-CP$2)/$C46),0)</f>
        <v>0.95454545454545459</v>
      </c>
      <c r="DW46" s="333">
        <f>IF((1-($DX$2-CT$2)/$C46)&gt;0,(1-($DX$2-CT$2)/$C46),0)</f>
        <v>1</v>
      </c>
      <c r="DX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+(CD46-CE46-CF46)*$CD$62+(CH46-CI46-CJ46)*$CH$62+(CL46-CM46-CN46)*$CL$62+(CP46-CQ46-CR46)*$CP$62+(CT46-CU46-CV46)*$CT$62</f>
        <v>14234513.002222054</v>
      </c>
      <c r="DY46" s="334">
        <f>IF(CY46=0,D46-E46,0)+IF(CZ46=0,(G46-H46-I46)*G$62,0)+IF(DA46=0,(K46-L46-M46)*K$62,0)+IF(DB46=0,(O46-P46-Q46)*O$62,0)+IF(DC46=0,(S46-T46-U46)*S$62,0)+IF(DD46=0,(W46-X46-Y46)*W$62,0)+IF(DE46=0,(AA46-AB46-AC46)*AA$62,0)+IF(DF46=0,(AE46-AF46-AG46)*AE$62,0)+IF(DG46=0,(AI46-AJ46-AK46)*AI$62,0)+IF(DH46=0,(AM46-AN46-AO46)*AM$62,0)+IF(DI46=0,(AQ46-AR46-AS46)*$AQ$62,0)+IF(DJ46=0,(AU46-AV46-AW46)*$AU$62,0)+IF(DK46=0,(AY46-AZ46-BA46)*$AY$62,0)++IF(DL46=0,(BC46-BD46-BE46)*$BC$62,0)+IF(DM46=0,BG46,0)+IF(DN46=0,(BJ46-BK46-BL46)*$BJ$62,0)+IF(DO46=0,(BN46-BO46-BP46)*$BN$62,0)+IF(DP46=0,(BR46-BS46-BT46)*$BR$62,0)+IF(DQ46=0,(BV46-BW46-BX46)*$BV$62,0)+IF(DR46=0,(BZ46-CA46-CB46)*$BZ$62,0)+IF(DS46=0,(CD46-CE46-CF46)*$CD$62,0)+IF(DT46=0,(CH46-CI46-CJ46)*$CH$62,0)+IF(DU46=0,(CL46-CM46-CN46)*$CL$62,0)+IF(DV46=0,(CP46-CQ46-CR46)*$CP$62,0)+IF(DW46=0,(CT46-CU46-CV46)*$CT$62,0)</f>
        <v>3340829.9207306807</v>
      </c>
      <c r="DZ46" s="334">
        <f>(D46-E46)*CY46+((G46-H46-(I46-J46))*G$62)*CZ46+((K46-L46-(M46-N46))*K$62)*DA46+((O46-P46-(Q46-R46))*O$62)*DB46+((S46-T46-(U46-V46))*S$62)*DC46+((W46-X46-(Y46-Z46))*W$62)*DD46+((AA46-AB46-(AC46-AD46))*AA$62)*DE46+((AE46-AF46-(AG46-AH46))*AE$62)*DF46+((AI46-AJ46-(AK46-AL46))*AI$62)*DG46+((AM46-AN46-(AO46-AP46))*$AM$62)*DH46+((AQ46-AR46-(AS46-AT46))*$AQ$62)*DI46+((AU46-AV46-(AW46-AX46))*$AU$62)*DJ46+((AY46-AZ46-(BA46-BB46))*$AY$62)*DK46+((BC46-BD46-(BE46-BF46))*$BC$62)*DL46+((BJ46-BK46-(BL46-BM46))*$BJ$62)*DN46+(BG46-BH46)*DM46+((BN46-BO46-(BP46-BQ46))*$BN$62)*DO46+((BR46-BS46-(BT46-BU46))*$BR$62)*DP46+((BV46-BW46-(BX46-BY46))*$BV$62)*DQ46+((BZ46-CA46-(CB46-CC46))*$BZ$62)*DR46+((CD46-CE46-(CF46-CG46))*$CD$62)*DS46+((CH46-CI46-(CJ46-CK46))*$CH$62*DT46)+((CL46-CM46-(CN46-CO46))*$CL$62*DU46)+((CP46-CQ46-(CR46-CS46))*$CP$62*DV46)+((CT46-CU46-(CV46-CW46))*$CT$62*DW46)</f>
        <v>5997554.7918828335</v>
      </c>
    </row>
    <row r="47" spans="1:130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94">+E46</f>
        <v>0</v>
      </c>
      <c r="F47" s="296">
        <f t="shared" si="94"/>
        <v>1915114.0768671127</v>
      </c>
      <c r="G47" s="296">
        <f t="shared" si="94"/>
        <v>383603.42</v>
      </c>
      <c r="H47" s="296">
        <f t="shared" si="94"/>
        <v>0</v>
      </c>
      <c r="I47" s="296">
        <f t="shared" si="94"/>
        <v>0</v>
      </c>
      <c r="J47" s="296">
        <f t="shared" si="94"/>
        <v>0</v>
      </c>
      <c r="K47" s="296">
        <f t="shared" si="94"/>
        <v>723366.95</v>
      </c>
      <c r="L47" s="296">
        <f t="shared" si="94"/>
        <v>0</v>
      </c>
      <c r="M47" s="296">
        <f t="shared" si="94"/>
        <v>0</v>
      </c>
      <c r="N47" s="296">
        <f t="shared" si="94"/>
        <v>0</v>
      </c>
      <c r="O47" s="296">
        <f t="shared" si="94"/>
        <v>345218.57</v>
      </c>
      <c r="P47" s="296">
        <f t="shared" si="94"/>
        <v>0</v>
      </c>
      <c r="Q47" s="296">
        <f t="shared" si="94"/>
        <v>0</v>
      </c>
      <c r="R47" s="296">
        <f t="shared" si="94"/>
        <v>0</v>
      </c>
      <c r="S47" s="296">
        <f t="shared" si="94"/>
        <v>343113</v>
      </c>
      <c r="T47" s="296">
        <f t="shared" si="94"/>
        <v>0</v>
      </c>
      <c r="U47" s="296">
        <f t="shared" si="94"/>
        <v>0</v>
      </c>
      <c r="V47" s="296">
        <f t="shared" si="94"/>
        <v>0</v>
      </c>
      <c r="W47" s="296">
        <f t="shared" si="94"/>
        <v>288347.67</v>
      </c>
      <c r="X47" s="296">
        <f t="shared" si="94"/>
        <v>0</v>
      </c>
      <c r="Y47" s="296">
        <f t="shared" si="94"/>
        <v>0</v>
      </c>
      <c r="Z47" s="296">
        <f t="shared" si="94"/>
        <v>0</v>
      </c>
      <c r="AA47" s="296">
        <f t="shared" si="94"/>
        <v>301261.25000000006</v>
      </c>
      <c r="AB47" s="296">
        <f t="shared" si="94"/>
        <v>0</v>
      </c>
      <c r="AC47" s="296">
        <f t="shared" si="94"/>
        <v>0</v>
      </c>
      <c r="AD47" s="296">
        <f t="shared" si="94"/>
        <v>0</v>
      </c>
      <c r="AE47" s="296">
        <f t="shared" si="94"/>
        <v>418664.33</v>
      </c>
      <c r="AF47" s="296">
        <f t="shared" si="94"/>
        <v>0</v>
      </c>
      <c r="AG47" s="296">
        <f t="shared" si="94"/>
        <v>0</v>
      </c>
      <c r="AH47" s="296">
        <f t="shared" si="94"/>
        <v>0</v>
      </c>
      <c r="AI47" s="296">
        <f t="shared" si="94"/>
        <v>191547.63</v>
      </c>
      <c r="AJ47" s="296">
        <f t="shared" si="94"/>
        <v>0</v>
      </c>
      <c r="AK47" s="296">
        <f t="shared" si="94"/>
        <v>0</v>
      </c>
      <c r="AL47" s="296">
        <f t="shared" si="94"/>
        <v>0</v>
      </c>
      <c r="AM47" s="296">
        <f t="shared" si="94"/>
        <v>284788.3</v>
      </c>
      <c r="AN47" s="296">
        <f t="shared" si="94"/>
        <v>0</v>
      </c>
      <c r="AO47" s="296">
        <f t="shared" si="94"/>
        <v>0</v>
      </c>
      <c r="AP47" s="296">
        <f t="shared" si="94"/>
        <v>0</v>
      </c>
      <c r="AQ47" s="296">
        <f t="shared" si="94"/>
        <v>417455.78889137268</v>
      </c>
      <c r="AR47" s="296">
        <f t="shared" si="94"/>
        <v>0</v>
      </c>
      <c r="AS47" s="296">
        <f t="shared" si="94"/>
        <v>0</v>
      </c>
      <c r="AT47" s="296">
        <f t="shared" si="94"/>
        <v>0</v>
      </c>
      <c r="AU47" s="296">
        <f t="shared" si="94"/>
        <v>846640.63000000012</v>
      </c>
      <c r="AV47" s="296">
        <f t="shared" si="94"/>
        <v>0</v>
      </c>
      <c r="AW47" s="296">
        <f t="shared" si="94"/>
        <v>0</v>
      </c>
      <c r="AX47" s="296">
        <f t="shared" si="94"/>
        <v>0</v>
      </c>
      <c r="AY47" s="296">
        <f t="shared" si="94"/>
        <v>696982</v>
      </c>
      <c r="AZ47" s="296">
        <f t="shared" si="94"/>
        <v>0</v>
      </c>
      <c r="BA47" s="296">
        <f t="shared" si="94"/>
        <v>0</v>
      </c>
      <c r="BB47" s="296">
        <f t="shared" si="94"/>
        <v>0</v>
      </c>
      <c r="BC47" s="296">
        <f t="shared" si="94"/>
        <v>611593.03</v>
      </c>
      <c r="BD47" s="296">
        <f t="shared" si="94"/>
        <v>0</v>
      </c>
      <c r="BE47" s="296">
        <f t="shared" si="94"/>
        <v>0</v>
      </c>
      <c r="BF47" s="296">
        <f t="shared" si="94"/>
        <v>0</v>
      </c>
      <c r="BG47" s="296">
        <f t="shared" si="94"/>
        <v>0</v>
      </c>
      <c r="BH47" s="296">
        <f t="shared" si="94"/>
        <v>0</v>
      </c>
      <c r="BI47" s="296">
        <f t="shared" si="94"/>
        <v>0</v>
      </c>
      <c r="BJ47" s="296">
        <f t="shared" si="94"/>
        <v>717101.01</v>
      </c>
      <c r="BK47" s="296">
        <f t="shared" si="94"/>
        <v>0</v>
      </c>
      <c r="BL47" s="296">
        <f t="shared" si="94"/>
        <v>0</v>
      </c>
      <c r="BM47" s="296">
        <f t="shared" si="94"/>
        <v>0</v>
      </c>
      <c r="BN47" s="296">
        <f t="shared" si="94"/>
        <v>778834.53</v>
      </c>
      <c r="BO47" s="296">
        <f t="shared" si="94"/>
        <v>0</v>
      </c>
      <c r="BP47" s="296">
        <f t="shared" si="94"/>
        <v>0</v>
      </c>
      <c r="BQ47" s="296">
        <f t="shared" ref="BQ47:CK47" si="95">+BQ46</f>
        <v>0</v>
      </c>
      <c r="BR47" s="296">
        <f t="shared" si="95"/>
        <v>1066066.3500000001</v>
      </c>
      <c r="BS47" s="296">
        <f t="shared" si="95"/>
        <v>0</v>
      </c>
      <c r="BT47" s="296">
        <f t="shared" si="95"/>
        <v>0</v>
      </c>
      <c r="BU47" s="296">
        <f t="shared" si="95"/>
        <v>0</v>
      </c>
      <c r="BV47" s="296">
        <f t="shared" si="95"/>
        <v>715400.34000000008</v>
      </c>
      <c r="BW47" s="296">
        <f t="shared" si="95"/>
        <v>0</v>
      </c>
      <c r="BX47" s="296">
        <f t="shared" si="95"/>
        <v>0</v>
      </c>
      <c r="BY47" s="296">
        <f t="shared" si="95"/>
        <v>0</v>
      </c>
      <c r="BZ47" s="296">
        <f t="shared" si="95"/>
        <v>305500.91000000003</v>
      </c>
      <c r="CA47" s="296">
        <f t="shared" si="95"/>
        <v>0</v>
      </c>
      <c r="CB47" s="296">
        <f t="shared" si="95"/>
        <v>0</v>
      </c>
      <c r="CC47" s="296">
        <f t="shared" si="95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6">
        <f t="shared" si="95"/>
        <v>743971.64</v>
      </c>
      <c r="CI47" s="296">
        <f t="shared" si="95"/>
        <v>0</v>
      </c>
      <c r="CJ47" s="296">
        <f t="shared" si="95"/>
        <v>0</v>
      </c>
      <c r="CK47" s="296">
        <f t="shared" si="95"/>
        <v>0</v>
      </c>
      <c r="CL47" s="296">
        <f t="shared" ref="CL47:CW47" si="96">+CL46</f>
        <v>550410.49999999988</v>
      </c>
      <c r="CM47" s="296">
        <f t="shared" si="96"/>
        <v>0</v>
      </c>
      <c r="CN47" s="296">
        <f t="shared" si="96"/>
        <v>0</v>
      </c>
      <c r="CO47" s="296">
        <f t="shared" si="96"/>
        <v>0</v>
      </c>
      <c r="CP47" s="296">
        <f t="shared" si="96"/>
        <v>816287.5</v>
      </c>
      <c r="CQ47" s="296">
        <f t="shared" si="96"/>
        <v>0</v>
      </c>
      <c r="CR47" s="296">
        <f t="shared" si="96"/>
        <v>0</v>
      </c>
      <c r="CS47" s="296">
        <f t="shared" si="96"/>
        <v>0</v>
      </c>
      <c r="CT47" s="296">
        <f t="shared" si="96"/>
        <v>242212.58000000002</v>
      </c>
      <c r="CU47" s="296">
        <f t="shared" si="96"/>
        <v>0</v>
      </c>
      <c r="CV47" s="296">
        <f t="shared" si="96"/>
        <v>0</v>
      </c>
      <c r="CW47" s="296">
        <f t="shared" si="96"/>
        <v>0</v>
      </c>
      <c r="CX47" s="297"/>
      <c r="CY47" s="297"/>
      <c r="CZ47" s="297"/>
      <c r="DA47" s="297"/>
      <c r="DB47" s="297"/>
      <c r="DC47" s="297"/>
      <c r="DD47" s="297"/>
      <c r="DE47" s="297"/>
      <c r="DF47" s="297"/>
      <c r="DG47" s="297"/>
      <c r="DH47" s="297"/>
      <c r="DI47" s="297"/>
      <c r="DJ47" s="297"/>
      <c r="DK47" s="297"/>
      <c r="DL47" s="297"/>
      <c r="DM47" s="297"/>
      <c r="DN47" s="297"/>
      <c r="DO47" s="297"/>
      <c r="DP47" s="297"/>
      <c r="DQ47" s="297"/>
      <c r="DR47" s="297"/>
      <c r="DS47" s="297"/>
      <c r="DT47" s="297"/>
      <c r="DU47" s="297"/>
      <c r="DV47" s="297"/>
      <c r="DW47" s="297"/>
      <c r="DX47" s="298">
        <f>DX46</f>
        <v>14234513.002222054</v>
      </c>
      <c r="DY47" s="298">
        <f>DY46</f>
        <v>3340829.9207306807</v>
      </c>
      <c r="DZ47" s="298">
        <f>DZ46</f>
        <v>5997554.7918828335</v>
      </c>
    </row>
    <row r="48" spans="1:130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0">
        <v>0</v>
      </c>
      <c r="CJ48" s="293"/>
      <c r="CK48" s="293"/>
      <c r="CL48" s="293"/>
      <c r="CM48" s="293"/>
      <c r="CN48" s="293"/>
      <c r="CO48" s="293"/>
      <c r="CP48" s="293"/>
      <c r="CQ48" s="293"/>
      <c r="CR48" s="293"/>
      <c r="CS48" s="293"/>
      <c r="CT48" s="293"/>
      <c r="CU48" s="293"/>
      <c r="CV48" s="293"/>
      <c r="CW48" s="293"/>
      <c r="CX48" s="321">
        <f t="shared" ref="CX48:CX57" si="97">IF(D48=0,0,2001-(D48-F48)*C48/D48)</f>
        <v>0</v>
      </c>
      <c r="CY48" s="385">
        <f t="shared" ref="CY48:CY57" si="98">IF((1-($DX$2-$CX48)/$C48)&gt;0,(1-($DX$2-$CX48)/$C48),0)</f>
        <v>0</v>
      </c>
      <c r="CZ48" s="333">
        <f t="shared" ref="CZ48:CZ57" si="99">IF((1-($DX$2-G$2)/$C48)&gt;0,(1-($DX$2-G$2)/$C48),0)</f>
        <v>0</v>
      </c>
      <c r="DA48" s="333">
        <f t="shared" ref="DA48:DA57" si="100">IF((1-($DX$2-K$2)/$C48)&gt;0,(1-($DX$2-K$2)/$C48),0)</f>
        <v>0</v>
      </c>
      <c r="DB48" s="333">
        <f t="shared" ref="DB48:DB57" si="101">IF((1-($DX$2-O$2)/$C48)&gt;0,(1-($DX$2-O$2)/$C48),0)</f>
        <v>0</v>
      </c>
      <c r="DC48" s="333">
        <f t="shared" ref="DC48:DC57" si="102">IF((1-($DX$2-S$2)/$C48)&gt;0,(1-($DX$2-S$2)/$C48),0)</f>
        <v>0</v>
      </c>
      <c r="DD48" s="333">
        <f t="shared" ref="DD48:DD57" si="103">IF((1-($DX$2-W$2)/$C48)&gt;0,(1-($DX$2-W$2)/$C48),0)</f>
        <v>0</v>
      </c>
      <c r="DE48" s="333">
        <f t="shared" ref="DE48:DE57" si="104">IF((1-($DX$2-AA$2)/$C48)&gt;0,(1-($DX$2-AA$2)/$C48),0)</f>
        <v>0</v>
      </c>
      <c r="DF48" s="333">
        <f t="shared" ref="DF48:DF57" si="105">IF((1-($DX$2-AE$2)/$C48)&gt;0,(1-($DX$2-AE$2)/$C48),0)</f>
        <v>0</v>
      </c>
      <c r="DG48" s="333">
        <f t="shared" ref="DG48:DG57" si="106">IF((1-($DX$2-AI$2)/$C48)&gt;0,(1-($DX$2-AI$2)/$C48),0)</f>
        <v>0</v>
      </c>
      <c r="DH48" s="333">
        <f t="shared" ref="DH48:DH57" si="107">IF((1-($DX$2-AM$2)/$C48)&gt;0,(1-($DX$2-AM$2)/$C48),0)</f>
        <v>0</v>
      </c>
      <c r="DI48" s="333">
        <f t="shared" ref="DI48:DI57" si="108">IF((1-($DX$2-AQ$2)/$C48)&gt;0,(1-($DX$2-AQ$2)/$C48),0)</f>
        <v>0</v>
      </c>
      <c r="DJ48" s="333">
        <f t="shared" ref="DJ48:DJ57" si="109">IF((1-($DX$2-AU$2)/$C48)&gt;0,(1-($DX$2-AU$2)/$C48),0)</f>
        <v>0</v>
      </c>
      <c r="DK48" s="333">
        <f t="shared" ref="DK48:DK57" si="110">IF((1-($DX$2-AY$2)/$C48)&gt;0,(1-($DX$2-AY$2)/$C48),0)</f>
        <v>0</v>
      </c>
      <c r="DL48" s="333">
        <f t="shared" ref="DL48:DL57" si="111">IF((1-($DX$2-BC$2)/$C48)&gt;0,(1-($DX$2-BC$2)/$C48),0)</f>
        <v>0</v>
      </c>
      <c r="DM48" s="333">
        <f t="shared" ref="DM48:DM57" si="112">IF(BG48=0,0,1-($DX$2-(2014.5-(BG48-BI48)*C48/BG48))/C48)</f>
        <v>0</v>
      </c>
      <c r="DN48" s="333">
        <f t="shared" ref="DN48:DN57" si="113">IF((1-($DX$2-BJ$2)/$C48)&gt;0,(1-($DX$2-BJ$2)/$C48),0)</f>
        <v>0</v>
      </c>
      <c r="DO48" s="333">
        <f t="shared" ref="DO48:DO57" si="114">IF((1-($DX$2-BN$2)/$C48)&gt;0,(1-($DX$2-BN$2)/$C48),0)</f>
        <v>0</v>
      </c>
      <c r="DP48" s="333">
        <f t="shared" ref="DP48:DP57" si="115">IF((1-($DX$2-BR$2)/$C48)&gt;0,(1-($DX$2-BR$2)/$C48),0)</f>
        <v>0</v>
      </c>
      <c r="DQ48" s="333">
        <f t="shared" ref="DQ48:DQ57" si="116">IF((1-($DX$2-BV$2)/$C48)&gt;0,(1-($DX$2-BV$2)/$C48),0)</f>
        <v>0</v>
      </c>
      <c r="DR48" s="333">
        <f t="shared" ref="DR48:DR57" si="117">IF((1-($DX$2-BZ$2)/$C48)&gt;0,(1-($DX$2-BZ$2)/$C48),0)</f>
        <v>0</v>
      </c>
      <c r="DS48" s="333">
        <f t="shared" ref="DS48:DS57" si="118">IF((1-($DX$2-CD$2)/$C48)&gt;0,(1-($DX$2-CD$2)/$C48),0)</f>
        <v>0</v>
      </c>
      <c r="DT48" s="333">
        <f t="shared" ref="DT48:DT57" si="119">IF((1-($DX$2-CH$2)/$C48)&gt;0,(1-($DX$2-CH$2)/$C48),0)</f>
        <v>0.25</v>
      </c>
      <c r="DU48" s="333">
        <f t="shared" ref="DU48:DU57" si="120">IF((1-($DX$2-CL$2)/$C48)&gt;0,(1-($DX$2-CL$2)/$C48),0)</f>
        <v>0.5</v>
      </c>
      <c r="DV48" s="333">
        <f t="shared" ref="DV48:DV57" si="121">IF((1-($DX$2-CP$2)/$C48)&gt;0,(1-($DX$2-CP$2)/$C48),0)</f>
        <v>0.75</v>
      </c>
      <c r="DW48" s="333">
        <f t="shared" ref="DW48:DW57" si="122">IF((1-($DX$2-CT$2)/$C48)&gt;0,(1-($DX$2-CT$2)/$C48),0)</f>
        <v>1</v>
      </c>
      <c r="DX48" s="334">
        <f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+(CD48-CE48-CF48)*$CD$63+(CH48-CI48-CJ48)*$CH$63+(CL48-CM48-CN48)*$CL$63+(CP48-CQ48-CR48)*$CP$63+(CT48-CU48-CV48)*$CT$63</f>
        <v>0</v>
      </c>
      <c r="DY48" s="334">
        <f>IF(CY48=0,D48-E48,0)+IF(CZ48=0,(G48-H48-I48)*G$63,0)+IF(DA48=0,(K48-L48-M48)*K$63,0)+IF(DB48=0,(O48-P48-Q48)*O$63,0)+IF(DC48=0,(S48-T48-U48)*S$63,0)+IF(DD48=0,(W48-X48-Y48)*W$63,0)+IF(DE48=0,(AA48-AB48-AC48)*AA$63,0)+IF(DF48=0,(AE48-AF48-AG48)*AE$63,0)+IF(DG48=0,(AI48-AJ48-AK48)*AI$63,0)+IF(DH48=0,(AM48-AN48-AO48)*AM$63,0)+IF(DI48=0,(AQ48-AR48-AS48)*$AQ$63,0)+IF(DJ48=0,(AU48-AV48-AW48)*$AU$63,0)+IF(DK48=0,(AY48-AZ48-BA48)*$AY$63,0)++IF(DL48=0,(BC48-BD48-BE48)*$BC$63,0)+IF(DM48=0,BG48,0)+IF(DN48=0,(BJ48-BK48-BL48)*$BJ$63,0)+IF(DO48=0,(BN48-BO48-BP48)*$BN$63,0)+IF(DP48=0,(BR48-BS48-BT48)*$BR$63,0)+IF(DQ48=0,(BV48-BW48-BX48)*$BV$63,0)+IF(DR48=0,(BZ48-CA48-CB48)*$BZ$63,0)+IF(DS48=0,(CD48-CE48-CF48)*$CD$63,0)+IF(DT48=0,(CH48-CI48-CJ48)*$CH$63,0)+IF(DU48=0,(CL48-CM48-CN48)*$CL$63,0)+IF(DV48=0,(CP48-CQ48-CR48)*$CP$63,0)+IF(DW48=0,(CT48-CU48-CV48)*$CT$63,0)</f>
        <v>0</v>
      </c>
      <c r="DZ48" s="334">
        <f>(D48-E48)*CY48+((G48-H48-(I48-J48))*G$63)*CZ48+((K48-L48-(M48-N48))*K$63)*DA48+((O48-P48-(Q48-R48))*O$63)*DB48+((S48-T48-(U48-V48))*S$63)*DC48+((W48-X48-(Y48-Z48))*W$63)*DD48+((AA48-AB48-(AC48-AD48))*AA$63)*DE48+((AE48-AF48-(AG48-AH48))*AE$63)*DF48+((AI48-AJ48-(AK48-AL48))*AI$63)*DG48+((AM48-AN48-(AO48-AP48))*$AM$63)*DH48+((AQ48-AR48-(AS48-AT48))*$AQ$63)*DI48+((AU48-AV48-(AW48-AX48))*$AU$63)*DJ48+((AY48-AZ48-(BA48-BB48))*$AY$63)*DK48+((BC48-BD48-(BE48-BF48))*$BC$63)*DL48+((BJ48-BK48-(BL48-BM48))*$BJ$63)*DN48+(BG48-BH48)*DM48+((BN48-BO48-(BP48-BQ48))*$BN$63)*DO48+((BR48-BS48-(BT48-BU48))*$BR$63)*DP48+((BV48-BW48-(BX48-BY48))*$BV$63)*DQ48+((BZ48-CA48-(CB48-CC48))*$BZ$63)*DR48+((CD48-CE48-(CF48-CG48))*$CD$63)*DS48+((CH48-CI48-(CJ48-CK48))*$CH$63*DT48)+((CL48-CM48-(CN48-CO48))*$CL$63*DU48)+((CP48-CQ48-(CR48-CS48))*$CP$63*DV48)+((CT48-CU48-(CV48-CW48))*$CT$63*DW48)</f>
        <v>0</v>
      </c>
    </row>
    <row r="49" spans="1:130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290"/>
      <c r="CI49" s="290">
        <v>0</v>
      </c>
      <c r="CJ49" s="290"/>
      <c r="CK49" s="290"/>
      <c r="CL49" s="290"/>
      <c r="CM49" s="290"/>
      <c r="CN49" s="290"/>
      <c r="CO49" s="290"/>
      <c r="CP49" s="290"/>
      <c r="CQ49" s="290"/>
      <c r="CR49" s="290"/>
      <c r="CS49" s="290"/>
      <c r="CT49" s="290"/>
      <c r="CU49" s="290"/>
      <c r="CV49" s="290"/>
      <c r="CW49" s="290"/>
      <c r="CX49" s="321">
        <f t="shared" si="97"/>
        <v>0</v>
      </c>
      <c r="CY49" s="385">
        <f t="shared" si="98"/>
        <v>0</v>
      </c>
      <c r="CZ49" s="333">
        <f t="shared" si="99"/>
        <v>0.97799999999999998</v>
      </c>
      <c r="DA49" s="333">
        <f t="shared" si="100"/>
        <v>0.97899999999999998</v>
      </c>
      <c r="DB49" s="333">
        <f t="shared" si="101"/>
        <v>0.98</v>
      </c>
      <c r="DC49" s="333">
        <f t="shared" si="102"/>
        <v>0.98099999999999998</v>
      </c>
      <c r="DD49" s="333">
        <f t="shared" si="103"/>
        <v>0.98199999999999998</v>
      </c>
      <c r="DE49" s="333">
        <f t="shared" si="104"/>
        <v>0.98299999999999998</v>
      </c>
      <c r="DF49" s="333">
        <f t="shared" si="105"/>
        <v>0.98399999999999999</v>
      </c>
      <c r="DG49" s="333">
        <f t="shared" si="106"/>
        <v>0.98499999999999999</v>
      </c>
      <c r="DH49" s="333">
        <f t="shared" si="107"/>
        <v>0.98599999999999999</v>
      </c>
      <c r="DI49" s="333">
        <f t="shared" si="108"/>
        <v>0.98699999999999999</v>
      </c>
      <c r="DJ49" s="333">
        <f t="shared" si="109"/>
        <v>0.98799999999999999</v>
      </c>
      <c r="DK49" s="333">
        <f t="shared" si="110"/>
        <v>0.98899999999999999</v>
      </c>
      <c r="DL49" s="333">
        <f t="shared" si="111"/>
        <v>0.99</v>
      </c>
      <c r="DM49" s="333">
        <f t="shared" si="112"/>
        <v>0</v>
      </c>
      <c r="DN49" s="333">
        <f t="shared" si="113"/>
        <v>0.99099999999999999</v>
      </c>
      <c r="DO49" s="333">
        <f t="shared" si="114"/>
        <v>0.99199999999999999</v>
      </c>
      <c r="DP49" s="333">
        <f t="shared" si="115"/>
        <v>0.99299999999999999</v>
      </c>
      <c r="DQ49" s="333">
        <f t="shared" si="116"/>
        <v>0.99399999999999999</v>
      </c>
      <c r="DR49" s="333">
        <f t="shared" si="117"/>
        <v>0.995</v>
      </c>
      <c r="DS49" s="333">
        <f t="shared" si="118"/>
        <v>0.996</v>
      </c>
      <c r="DT49" s="333">
        <f t="shared" si="119"/>
        <v>0.997</v>
      </c>
      <c r="DU49" s="333">
        <f t="shared" si="120"/>
        <v>0.998</v>
      </c>
      <c r="DV49" s="333">
        <f t="shared" si="121"/>
        <v>0.999</v>
      </c>
      <c r="DW49" s="333">
        <f t="shared" si="122"/>
        <v>1</v>
      </c>
      <c r="DX49" s="334">
        <f t="shared" ref="DX49:DX57" si="123">D49-E49+(G49-H49-I49)*G$63+(K49-L49-M49)*K$63+(O49-P49-Q49)*O$63+(S49-T49-U49)*S$63+(W49-X49-Y49)*W$63+(AA49-AB49-AC49)*AA$63+(AE49-AF49-AG49)*AE$63+(AI49-AJ49-AK49)*AI$63+(AM49-AN49-AO49)*AM$63+(AQ49-AR49-AS49)*$AQ$63+(AU49-AV49-AW49)*$AU$63+(AY49-AZ49-BA49)*$AY$63+(BC49-BD49-BE49)*$BC$63+BG49+(BJ49-BK49-BL49)*$BJ$63+(BN49-BO49-BP49)*$BN$63+(BR49-BS49-BT49)*$BR$63+(BV49-BW49-BX49)*$BV$63+(BZ49-CA49-CB49)*$BZ$63+(CD49-CE49-CF49)*$CD$63+(CH49-CI49-CJ49)*$CH$63+(CL49-CM49-CN49)*$CL$63+(CP49-CQ49-CR49)*$CP$63+(CT49-CU49-CV49)*$CT$63</f>
        <v>0</v>
      </c>
      <c r="DY49" s="334">
        <f t="shared" ref="DY49:DY57" si="124">IF(CY49=0,D49-E49,0)+IF(CZ49=0,(G49-H49-I49)*G$63,0)+IF(DA49=0,(K49-L49-M49)*K$63,0)+IF(DB49=0,(O49-P49-Q49)*O$63,0)+IF(DC49=0,(S49-T49-U49)*S$63,0)+IF(DD49=0,(W49-X49-Y49)*W$63,0)+IF(DE49=0,(AA49-AB49-AC49)*AA$63,0)+IF(DF49=0,(AE49-AF49-AG49)*AE$63,0)+IF(DG49=0,(AI49-AJ49-AK49)*AI$63,0)+IF(DH49=0,(AM49-AN49-AO49)*AM$63,0)+IF(DI49=0,(AQ49-AR49-AS49)*$AQ$63,0)+IF(DJ49=0,(AU49-AV49-AW49)*$AU$63,0)+IF(DK49=0,(AY49-AZ49-BA49)*$AY$63,0)++IF(DL49=0,(BC49-BD49-BE49)*$BC$63,0)+IF(DM49=0,BG49,0)+IF(DN49=0,(BJ49-BK49-BL49)*$BJ$63,0)+IF(DO49=0,(BN49-BO49-BP49)*$BN$63,0)+IF(DP49=0,(BR49-BS49-BT49)*$BR$63,0)+IF(DQ49=0,(BV49-BW49-BX49)*$BV$63,0)+IF(DR49=0,(BZ49-CA49-CB49)*$BZ$63,0)+IF(DS49=0,(CD49-CE49-CF49)*$CD$63,0)+IF(DT49=0,(CH49-CI49-CJ49)*$CH$63,0)+IF(DU49=0,(CL49-CM49-CN49)*$CL$63,0)+IF(DV49=0,(CP49-CQ49-CR49)*$CP$63,0)+IF(DW49=0,(CT49-CU49-CV49)*$CT$63,0)</f>
        <v>0</v>
      </c>
      <c r="DZ49" s="334">
        <f t="shared" ref="DZ49:DZ57" si="125">(D49-E49)*CY49+((G49-H49-(I49-J49))*G$63)*CZ49+((K49-L49-(M49-N49))*K$63)*DA49+((O49-P49-(Q49-R49))*O$63)*DB49+((S49-T49-(U49-V49))*S$63)*DC49+((W49-X49-(Y49-Z49))*W$63)*DD49+((AA49-AB49-(AC49-AD49))*AA$63)*DE49+((AE49-AF49-(AG49-AH49))*AE$63)*DF49+((AI49-AJ49-(AK49-AL49))*AI$63)*DG49+((AM49-AN49-(AO49-AP49))*$AM$63)*DH49+((AQ49-AR49-(AS49-AT49))*$AQ$63)*DI49+((AU49-AV49-(AW49-AX49))*$AU$63)*DJ49+((AY49-AZ49-(BA49-BB49))*$AY$63)*DK49+((BC49-BD49-(BE49-BF49))*$BC$63)*DL49+((BJ49-BK49-(BL49-BM49))*$BJ$63)*DN49+(BG49-BH49)*DM49+((BN49-BO49-(BP49-BQ49))*$BN$63)*DO49+((BR49-BS49-(BT49-BU49))*$BR$63)*DP49+((BV49-BW49-(BX49-BY49))*$BV$63)*DQ49+((BZ49-CA49-(CB49-CC49))*$BZ$63)*DR49+((CD49-CE49-(CF49-CG49))*$CD$63)*DS49+((CH49-CI49-(CJ49-CK49))*$CH$63*DT49)+((CL49-CM49-(CN49-CO49))*$CL$63*DU49)+((CP49-CQ49-(CR49-CS49))*$CP$63*DV49)+((CT49-CU49-(CV49-CW49))*$CT$63*DW49)</f>
        <v>0</v>
      </c>
    </row>
    <row r="50" spans="1:130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>
        <v>0</v>
      </c>
      <c r="CJ50" s="290"/>
      <c r="CK50" s="290"/>
      <c r="CL50" s="290"/>
      <c r="CM50" s="290"/>
      <c r="CN50" s="290"/>
      <c r="CO50" s="290"/>
      <c r="CP50" s="290"/>
      <c r="CQ50" s="290"/>
      <c r="CR50" s="290"/>
      <c r="CS50" s="290"/>
      <c r="CT50" s="290"/>
      <c r="CU50" s="290"/>
      <c r="CV50" s="290"/>
      <c r="CW50" s="290"/>
      <c r="CX50" s="321">
        <f t="shared" si="97"/>
        <v>1991.8040336868928</v>
      </c>
      <c r="CY50" s="333">
        <f t="shared" si="98"/>
        <v>0.19510084217232015</v>
      </c>
      <c r="CZ50" s="333">
        <f t="shared" si="99"/>
        <v>0.44999999999999996</v>
      </c>
      <c r="DA50" s="333">
        <f t="shared" si="100"/>
        <v>0.47499999999999998</v>
      </c>
      <c r="DB50" s="333">
        <f t="shared" si="101"/>
        <v>0.5</v>
      </c>
      <c r="DC50" s="333">
        <f t="shared" si="102"/>
        <v>0.52500000000000002</v>
      </c>
      <c r="DD50" s="333">
        <f t="shared" si="103"/>
        <v>0.55000000000000004</v>
      </c>
      <c r="DE50" s="333">
        <f t="shared" si="104"/>
        <v>0.57499999999999996</v>
      </c>
      <c r="DF50" s="333">
        <f t="shared" si="105"/>
        <v>0.6</v>
      </c>
      <c r="DG50" s="333">
        <f t="shared" si="106"/>
        <v>0.625</v>
      </c>
      <c r="DH50" s="333">
        <f t="shared" si="107"/>
        <v>0.65</v>
      </c>
      <c r="DI50" s="333">
        <f t="shared" si="108"/>
        <v>0.67500000000000004</v>
      </c>
      <c r="DJ50" s="333">
        <f t="shared" si="109"/>
        <v>0.7</v>
      </c>
      <c r="DK50" s="333">
        <f t="shared" si="110"/>
        <v>0.72499999999999998</v>
      </c>
      <c r="DL50" s="333">
        <f t="shared" si="111"/>
        <v>0.75</v>
      </c>
      <c r="DM50" s="333">
        <f t="shared" si="112"/>
        <v>0</v>
      </c>
      <c r="DN50" s="333">
        <f t="shared" si="113"/>
        <v>0.77500000000000002</v>
      </c>
      <c r="DO50" s="333">
        <f t="shared" si="114"/>
        <v>0.8</v>
      </c>
      <c r="DP50" s="333">
        <f t="shared" si="115"/>
        <v>0.82499999999999996</v>
      </c>
      <c r="DQ50" s="333">
        <f t="shared" si="116"/>
        <v>0.85</v>
      </c>
      <c r="DR50" s="333">
        <f t="shared" si="117"/>
        <v>0.875</v>
      </c>
      <c r="DS50" s="333">
        <f t="shared" si="118"/>
        <v>0.9</v>
      </c>
      <c r="DT50" s="333">
        <f t="shared" si="119"/>
        <v>0.92500000000000004</v>
      </c>
      <c r="DU50" s="333">
        <f t="shared" si="120"/>
        <v>0.95</v>
      </c>
      <c r="DV50" s="333">
        <f t="shared" si="121"/>
        <v>0.97499999999999998</v>
      </c>
      <c r="DW50" s="333">
        <f t="shared" si="122"/>
        <v>1</v>
      </c>
      <c r="DX50" s="334">
        <f t="shared" si="123"/>
        <v>1094161.605459783</v>
      </c>
      <c r="DY50" s="334">
        <f t="shared" si="124"/>
        <v>0</v>
      </c>
      <c r="DZ50" s="334">
        <f t="shared" si="125"/>
        <v>220663.8738696861</v>
      </c>
    </row>
    <row r="51" spans="1:130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290">
        <v>1450242.81</v>
      </c>
      <c r="CI51" s="290">
        <v>0</v>
      </c>
      <c r="CJ51" s="290"/>
      <c r="CK51" s="290"/>
      <c r="CL51" s="290">
        <v>1594362.43</v>
      </c>
      <c r="CM51" s="290"/>
      <c r="CN51" s="290"/>
      <c r="CO51" s="290"/>
      <c r="CP51" s="290">
        <v>1910708.95</v>
      </c>
      <c r="CQ51" s="290"/>
      <c r="CR51" s="290"/>
      <c r="CS51" s="290"/>
      <c r="CT51" s="290">
        <v>1782283.5999999994</v>
      </c>
      <c r="CU51" s="290"/>
      <c r="CV51" s="290"/>
      <c r="CW51" s="290"/>
      <c r="CX51" s="321">
        <f t="shared" si="97"/>
        <v>1994.6431227317414</v>
      </c>
      <c r="CY51" s="333">
        <f t="shared" si="98"/>
        <v>0</v>
      </c>
      <c r="CZ51" s="333">
        <f t="shared" si="99"/>
        <v>0</v>
      </c>
      <c r="DA51" s="333">
        <f t="shared" si="100"/>
        <v>4.5454545454545414E-2</v>
      </c>
      <c r="DB51" s="333">
        <f t="shared" si="101"/>
        <v>9.0909090909090939E-2</v>
      </c>
      <c r="DC51" s="333">
        <f t="shared" si="102"/>
        <v>0.13636363636363635</v>
      </c>
      <c r="DD51" s="333">
        <f t="shared" si="103"/>
        <v>0.18181818181818177</v>
      </c>
      <c r="DE51" s="333">
        <f t="shared" si="104"/>
        <v>0.22727272727272729</v>
      </c>
      <c r="DF51" s="333">
        <f t="shared" si="105"/>
        <v>0.27272727272727271</v>
      </c>
      <c r="DG51" s="333">
        <f t="shared" si="106"/>
        <v>0.31818181818181823</v>
      </c>
      <c r="DH51" s="333">
        <f t="shared" si="107"/>
        <v>0.36363636363636365</v>
      </c>
      <c r="DI51" s="333">
        <f t="shared" si="108"/>
        <v>0.40909090909090906</v>
      </c>
      <c r="DJ51" s="333">
        <f t="shared" si="109"/>
        <v>0.45454545454545459</v>
      </c>
      <c r="DK51" s="333">
        <f t="shared" si="110"/>
        <v>0.5</v>
      </c>
      <c r="DL51" s="333">
        <f t="shared" si="111"/>
        <v>0.54545454545454541</v>
      </c>
      <c r="DM51" s="333">
        <f t="shared" si="112"/>
        <v>0.22095981144121357</v>
      </c>
      <c r="DN51" s="333">
        <f t="shared" si="113"/>
        <v>0.59090909090909083</v>
      </c>
      <c r="DO51" s="333">
        <f t="shared" si="114"/>
        <v>0.63636363636363635</v>
      </c>
      <c r="DP51" s="333">
        <f t="shared" si="115"/>
        <v>0.68181818181818188</v>
      </c>
      <c r="DQ51" s="333">
        <f t="shared" si="116"/>
        <v>0.72727272727272729</v>
      </c>
      <c r="DR51" s="333">
        <f t="shared" si="117"/>
        <v>0.77272727272727271</v>
      </c>
      <c r="DS51" s="333">
        <f t="shared" si="118"/>
        <v>0.81818181818181812</v>
      </c>
      <c r="DT51" s="333">
        <f t="shared" si="119"/>
        <v>0.86363636363636365</v>
      </c>
      <c r="DU51" s="333">
        <f t="shared" si="120"/>
        <v>0.90909090909090906</v>
      </c>
      <c r="DV51" s="333">
        <f t="shared" si="121"/>
        <v>0.95454545454545459</v>
      </c>
      <c r="DW51" s="333">
        <f t="shared" si="122"/>
        <v>1</v>
      </c>
      <c r="DX51" s="334">
        <f t="shared" si="123"/>
        <v>20609198.869811006</v>
      </c>
      <c r="DY51" s="334">
        <f t="shared" si="124"/>
        <v>4944962.2100673662</v>
      </c>
      <c r="DZ51" s="334">
        <f t="shared" si="125"/>
        <v>10658695.062042763</v>
      </c>
    </row>
    <row r="52" spans="1:130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290">
        <v>0</v>
      </c>
      <c r="CI52" s="290">
        <v>0</v>
      </c>
      <c r="CJ52" s="290"/>
      <c r="CK52" s="290"/>
      <c r="CL52" s="290">
        <v>0</v>
      </c>
      <c r="CM52" s="290"/>
      <c r="CN52" s="290"/>
      <c r="CO52" s="290"/>
      <c r="CP52" s="290">
        <v>0</v>
      </c>
      <c r="CQ52" s="290"/>
      <c r="CR52" s="290"/>
      <c r="CS52" s="290"/>
      <c r="CT52" s="290">
        <v>0</v>
      </c>
      <c r="CU52" s="290"/>
      <c r="CV52" s="290"/>
      <c r="CW52" s="290"/>
      <c r="CX52" s="321">
        <f t="shared" si="97"/>
        <v>0</v>
      </c>
      <c r="CY52" s="333">
        <f t="shared" si="98"/>
        <v>0</v>
      </c>
      <c r="CZ52" s="333">
        <f t="shared" si="99"/>
        <v>0</v>
      </c>
      <c r="DA52" s="333">
        <f t="shared" si="100"/>
        <v>4.5454545454545414E-2</v>
      </c>
      <c r="DB52" s="333">
        <f t="shared" si="101"/>
        <v>9.0909090909090939E-2</v>
      </c>
      <c r="DC52" s="333">
        <f t="shared" si="102"/>
        <v>0.13636363636363635</v>
      </c>
      <c r="DD52" s="333">
        <f t="shared" si="103"/>
        <v>0.18181818181818177</v>
      </c>
      <c r="DE52" s="333">
        <f t="shared" si="104"/>
        <v>0.22727272727272729</v>
      </c>
      <c r="DF52" s="333">
        <f t="shared" si="105"/>
        <v>0.27272727272727271</v>
      </c>
      <c r="DG52" s="333">
        <f t="shared" si="106"/>
        <v>0.31818181818181823</v>
      </c>
      <c r="DH52" s="333">
        <f t="shared" si="107"/>
        <v>0.36363636363636365</v>
      </c>
      <c r="DI52" s="333">
        <f t="shared" si="108"/>
        <v>0.40909090909090906</v>
      </c>
      <c r="DJ52" s="333">
        <f t="shared" si="109"/>
        <v>0.45454545454545459</v>
      </c>
      <c r="DK52" s="333">
        <f t="shared" si="110"/>
        <v>0.5</v>
      </c>
      <c r="DL52" s="333">
        <f t="shared" si="111"/>
        <v>0.54545454545454541</v>
      </c>
      <c r="DM52" s="333">
        <f t="shared" si="112"/>
        <v>0</v>
      </c>
      <c r="DN52" s="333">
        <f t="shared" si="113"/>
        <v>0.59090909090909083</v>
      </c>
      <c r="DO52" s="333">
        <f t="shared" si="114"/>
        <v>0.63636363636363635</v>
      </c>
      <c r="DP52" s="333">
        <f t="shared" si="115"/>
        <v>0.68181818181818188</v>
      </c>
      <c r="DQ52" s="333">
        <f t="shared" si="116"/>
        <v>0.72727272727272729</v>
      </c>
      <c r="DR52" s="333">
        <f t="shared" si="117"/>
        <v>0.77272727272727271</v>
      </c>
      <c r="DS52" s="333">
        <f t="shared" si="118"/>
        <v>0.81818181818181812</v>
      </c>
      <c r="DT52" s="333">
        <f t="shared" si="119"/>
        <v>0.86363636363636365</v>
      </c>
      <c r="DU52" s="333">
        <f t="shared" si="120"/>
        <v>0.90909090909090906</v>
      </c>
      <c r="DV52" s="333">
        <f t="shared" si="121"/>
        <v>0.95454545454545459</v>
      </c>
      <c r="DW52" s="333">
        <f t="shared" si="122"/>
        <v>1</v>
      </c>
      <c r="DX52" s="334">
        <f t="shared" si="123"/>
        <v>0</v>
      </c>
      <c r="DY52" s="334">
        <f t="shared" si="124"/>
        <v>0</v>
      </c>
      <c r="DZ52" s="334">
        <f t="shared" si="125"/>
        <v>0</v>
      </c>
    </row>
    <row r="53" spans="1:130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290"/>
      <c r="CI53" s="290">
        <v>0</v>
      </c>
      <c r="CJ53" s="290"/>
      <c r="CK53" s="290"/>
      <c r="CL53" s="290"/>
      <c r="CM53" s="290"/>
      <c r="CN53" s="290"/>
      <c r="CO53" s="290"/>
      <c r="CP53" s="290"/>
      <c r="CQ53" s="290"/>
      <c r="CR53" s="290"/>
      <c r="CS53" s="290"/>
      <c r="CT53" s="290"/>
      <c r="CU53" s="290"/>
      <c r="CV53" s="290"/>
      <c r="CW53" s="290"/>
      <c r="CX53" s="321">
        <f t="shared" si="97"/>
        <v>2000.9353796694659</v>
      </c>
      <c r="CY53" s="333">
        <f t="shared" si="98"/>
        <v>0</v>
      </c>
      <c r="CZ53" s="333">
        <f t="shared" si="99"/>
        <v>0</v>
      </c>
      <c r="DA53" s="333">
        <f t="shared" si="100"/>
        <v>0</v>
      </c>
      <c r="DB53" s="333">
        <f t="shared" si="101"/>
        <v>0</v>
      </c>
      <c r="DC53" s="333">
        <f t="shared" si="102"/>
        <v>0</v>
      </c>
      <c r="DD53" s="333">
        <f t="shared" si="103"/>
        <v>0</v>
      </c>
      <c r="DE53" s="333">
        <f t="shared" si="104"/>
        <v>0</v>
      </c>
      <c r="DF53" s="333">
        <f t="shared" si="105"/>
        <v>0</v>
      </c>
      <c r="DG53" s="333">
        <f t="shared" si="106"/>
        <v>0</v>
      </c>
      <c r="DH53" s="333">
        <f t="shared" si="107"/>
        <v>0</v>
      </c>
      <c r="DI53" s="333">
        <f t="shared" si="108"/>
        <v>0</v>
      </c>
      <c r="DJ53" s="333">
        <f t="shared" si="109"/>
        <v>0</v>
      </c>
      <c r="DK53" s="333">
        <f t="shared" si="110"/>
        <v>0</v>
      </c>
      <c r="DL53" s="333">
        <f t="shared" si="111"/>
        <v>0</v>
      </c>
      <c r="DM53" s="333">
        <f t="shared" si="112"/>
        <v>0</v>
      </c>
      <c r="DN53" s="333">
        <f t="shared" si="113"/>
        <v>0</v>
      </c>
      <c r="DO53" s="333">
        <f t="shared" si="114"/>
        <v>0</v>
      </c>
      <c r="DP53" s="333">
        <f t="shared" si="115"/>
        <v>0</v>
      </c>
      <c r="DQ53" s="333">
        <f t="shared" si="116"/>
        <v>0.1428571428571429</v>
      </c>
      <c r="DR53" s="333">
        <f t="shared" si="117"/>
        <v>0.2857142857142857</v>
      </c>
      <c r="DS53" s="333">
        <f t="shared" si="118"/>
        <v>0.4285714285714286</v>
      </c>
      <c r="DT53" s="333">
        <f t="shared" si="119"/>
        <v>0.5714285714285714</v>
      </c>
      <c r="DU53" s="333">
        <f t="shared" si="120"/>
        <v>0.7142857142857143</v>
      </c>
      <c r="DV53" s="333">
        <f t="shared" si="121"/>
        <v>0.85714285714285721</v>
      </c>
      <c r="DW53" s="333">
        <f t="shared" si="122"/>
        <v>1</v>
      </c>
      <c r="DX53" s="334">
        <f t="shared" si="123"/>
        <v>14383.151123919413</v>
      </c>
      <c r="DY53" s="334">
        <f t="shared" si="124"/>
        <v>14383.151123919413</v>
      </c>
      <c r="DZ53" s="334">
        <f t="shared" si="125"/>
        <v>0</v>
      </c>
    </row>
    <row r="54" spans="1:130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>
        <v>0</v>
      </c>
      <c r="CJ54" s="290"/>
      <c r="CK54" s="290"/>
      <c r="CL54" s="290"/>
      <c r="CM54" s="290"/>
      <c r="CN54" s="290"/>
      <c r="CO54" s="290"/>
      <c r="CP54" s="290"/>
      <c r="CQ54" s="290"/>
      <c r="CR54" s="290"/>
      <c r="CS54" s="290"/>
      <c r="CT54" s="290"/>
      <c r="CU54" s="290"/>
      <c r="CV54" s="290"/>
      <c r="CW54" s="290"/>
      <c r="CX54" s="321">
        <f t="shared" si="97"/>
        <v>0</v>
      </c>
      <c r="CY54" s="333">
        <f t="shared" si="98"/>
        <v>0</v>
      </c>
      <c r="CZ54" s="333">
        <f t="shared" si="99"/>
        <v>0</v>
      </c>
      <c r="DA54" s="333">
        <f t="shared" si="100"/>
        <v>0</v>
      </c>
      <c r="DB54" s="333">
        <f t="shared" si="101"/>
        <v>0</v>
      </c>
      <c r="DC54" s="333">
        <f t="shared" si="102"/>
        <v>0</v>
      </c>
      <c r="DD54" s="333">
        <f t="shared" si="103"/>
        <v>0</v>
      </c>
      <c r="DE54" s="333">
        <f t="shared" si="104"/>
        <v>0</v>
      </c>
      <c r="DF54" s="333">
        <f t="shared" si="105"/>
        <v>0</v>
      </c>
      <c r="DG54" s="333">
        <f t="shared" si="106"/>
        <v>0</v>
      </c>
      <c r="DH54" s="333">
        <f t="shared" si="107"/>
        <v>0</v>
      </c>
      <c r="DI54" s="333">
        <f t="shared" si="108"/>
        <v>0</v>
      </c>
      <c r="DJ54" s="333">
        <f t="shared" si="109"/>
        <v>0</v>
      </c>
      <c r="DK54" s="333">
        <f t="shared" si="110"/>
        <v>0</v>
      </c>
      <c r="DL54" s="333">
        <f t="shared" si="111"/>
        <v>0</v>
      </c>
      <c r="DM54" s="333">
        <f t="shared" si="112"/>
        <v>0</v>
      </c>
      <c r="DN54" s="333">
        <f t="shared" si="113"/>
        <v>0</v>
      </c>
      <c r="DO54" s="333">
        <f t="shared" si="114"/>
        <v>0</v>
      </c>
      <c r="DP54" s="333">
        <f t="shared" si="115"/>
        <v>0</v>
      </c>
      <c r="DQ54" s="333">
        <f t="shared" si="116"/>
        <v>0</v>
      </c>
      <c r="DR54" s="333">
        <f t="shared" si="117"/>
        <v>0</v>
      </c>
      <c r="DS54" s="333">
        <f t="shared" si="118"/>
        <v>0</v>
      </c>
      <c r="DT54" s="333">
        <f t="shared" si="119"/>
        <v>0.25</v>
      </c>
      <c r="DU54" s="333">
        <f t="shared" si="120"/>
        <v>0.5</v>
      </c>
      <c r="DV54" s="333">
        <f t="shared" si="121"/>
        <v>0.75</v>
      </c>
      <c r="DW54" s="333">
        <f t="shared" si="122"/>
        <v>1</v>
      </c>
      <c r="DX54" s="334">
        <f t="shared" si="123"/>
        <v>0</v>
      </c>
      <c r="DY54" s="334">
        <f t="shared" si="124"/>
        <v>0</v>
      </c>
      <c r="DZ54" s="334">
        <f t="shared" si="125"/>
        <v>0</v>
      </c>
    </row>
    <row r="55" spans="1:130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>
        <v>0</v>
      </c>
      <c r="CJ55" s="290"/>
      <c r="CK55" s="290"/>
      <c r="CL55" s="290"/>
      <c r="CM55" s="290"/>
      <c r="CN55" s="290"/>
      <c r="CO55" s="290"/>
      <c r="CP55" s="290"/>
      <c r="CQ55" s="290"/>
      <c r="CR55" s="290"/>
      <c r="CS55" s="290"/>
      <c r="CT55" s="290"/>
      <c r="CU55" s="290"/>
      <c r="CV55" s="290"/>
      <c r="CW55" s="290"/>
      <c r="CX55" s="321">
        <f t="shared" si="97"/>
        <v>0</v>
      </c>
      <c r="CY55" s="333">
        <f t="shared" si="98"/>
        <v>0</v>
      </c>
      <c r="CZ55" s="333">
        <f t="shared" si="99"/>
        <v>0</v>
      </c>
      <c r="DA55" s="333">
        <f t="shared" si="100"/>
        <v>0</v>
      </c>
      <c r="DB55" s="333">
        <f t="shared" si="101"/>
        <v>0</v>
      </c>
      <c r="DC55" s="333">
        <f t="shared" si="102"/>
        <v>0</v>
      </c>
      <c r="DD55" s="333">
        <f t="shared" si="103"/>
        <v>0</v>
      </c>
      <c r="DE55" s="333">
        <f t="shared" si="104"/>
        <v>0</v>
      </c>
      <c r="DF55" s="333">
        <f t="shared" si="105"/>
        <v>0</v>
      </c>
      <c r="DG55" s="333">
        <f t="shared" si="106"/>
        <v>0</v>
      </c>
      <c r="DH55" s="333">
        <f t="shared" si="107"/>
        <v>0</v>
      </c>
      <c r="DI55" s="333">
        <f t="shared" si="108"/>
        <v>0</v>
      </c>
      <c r="DJ55" s="333">
        <f t="shared" si="109"/>
        <v>0</v>
      </c>
      <c r="DK55" s="333">
        <f t="shared" si="110"/>
        <v>0</v>
      </c>
      <c r="DL55" s="333">
        <f t="shared" si="111"/>
        <v>0</v>
      </c>
      <c r="DM55" s="333">
        <f t="shared" si="112"/>
        <v>0</v>
      </c>
      <c r="DN55" s="333">
        <f t="shared" si="113"/>
        <v>0</v>
      </c>
      <c r="DO55" s="333">
        <f t="shared" si="114"/>
        <v>0</v>
      </c>
      <c r="DP55" s="333">
        <f t="shared" si="115"/>
        <v>0</v>
      </c>
      <c r="DQ55" s="333">
        <f t="shared" si="116"/>
        <v>0</v>
      </c>
      <c r="DR55" s="333">
        <f t="shared" si="117"/>
        <v>0</v>
      </c>
      <c r="DS55" s="333">
        <f t="shared" si="118"/>
        <v>0.19999999999999996</v>
      </c>
      <c r="DT55" s="333">
        <f t="shared" si="119"/>
        <v>0.4</v>
      </c>
      <c r="DU55" s="333">
        <f t="shared" si="120"/>
        <v>0.6</v>
      </c>
      <c r="DV55" s="333">
        <f t="shared" si="121"/>
        <v>0.8</v>
      </c>
      <c r="DW55" s="333">
        <f t="shared" si="122"/>
        <v>1</v>
      </c>
      <c r="DX55" s="334">
        <f t="shared" si="123"/>
        <v>0</v>
      </c>
      <c r="DY55" s="334">
        <f t="shared" si="124"/>
        <v>0</v>
      </c>
      <c r="DZ55" s="334">
        <f t="shared" si="125"/>
        <v>0</v>
      </c>
    </row>
    <row r="56" spans="1:130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290"/>
      <c r="CI56" s="290">
        <v>0</v>
      </c>
      <c r="CJ56" s="290"/>
      <c r="CK56" s="290"/>
      <c r="CL56" s="290"/>
      <c r="CM56" s="290"/>
      <c r="CN56" s="290"/>
      <c r="CO56" s="290"/>
      <c r="CP56" s="290"/>
      <c r="CQ56" s="290"/>
      <c r="CR56" s="290"/>
      <c r="CS56" s="290"/>
      <c r="CT56" s="290"/>
      <c r="CU56" s="290"/>
      <c r="CV56" s="290"/>
      <c r="CW56" s="290"/>
      <c r="CX56" s="321">
        <f t="shared" si="97"/>
        <v>0</v>
      </c>
      <c r="CY56" s="333">
        <f t="shared" si="98"/>
        <v>0</v>
      </c>
      <c r="CZ56" s="333">
        <f t="shared" si="99"/>
        <v>0</v>
      </c>
      <c r="DA56" s="333">
        <f t="shared" si="100"/>
        <v>0</v>
      </c>
      <c r="DB56" s="333">
        <f t="shared" si="101"/>
        <v>0</v>
      </c>
      <c r="DC56" s="333">
        <f t="shared" si="102"/>
        <v>0</v>
      </c>
      <c r="DD56" s="333">
        <f t="shared" si="103"/>
        <v>0</v>
      </c>
      <c r="DE56" s="333">
        <f t="shared" si="104"/>
        <v>0</v>
      </c>
      <c r="DF56" s="333">
        <f t="shared" si="105"/>
        <v>0</v>
      </c>
      <c r="DG56" s="333">
        <f t="shared" si="106"/>
        <v>0</v>
      </c>
      <c r="DH56" s="333">
        <f t="shared" si="107"/>
        <v>0</v>
      </c>
      <c r="DI56" s="333">
        <f t="shared" si="108"/>
        <v>0</v>
      </c>
      <c r="DJ56" s="333">
        <f t="shared" si="109"/>
        <v>0</v>
      </c>
      <c r="DK56" s="333">
        <f t="shared" si="110"/>
        <v>0</v>
      </c>
      <c r="DL56" s="333">
        <f t="shared" si="111"/>
        <v>0</v>
      </c>
      <c r="DM56" s="333">
        <f t="shared" si="112"/>
        <v>0</v>
      </c>
      <c r="DN56" s="333">
        <f t="shared" si="113"/>
        <v>0</v>
      </c>
      <c r="DO56" s="333">
        <f t="shared" si="114"/>
        <v>0</v>
      </c>
      <c r="DP56" s="333">
        <f t="shared" si="115"/>
        <v>0.125</v>
      </c>
      <c r="DQ56" s="333">
        <f t="shared" si="116"/>
        <v>0.25</v>
      </c>
      <c r="DR56" s="333">
        <f t="shared" si="117"/>
        <v>0.375</v>
      </c>
      <c r="DS56" s="333">
        <f t="shared" si="118"/>
        <v>0.5</v>
      </c>
      <c r="DT56" s="333">
        <f t="shared" si="119"/>
        <v>0.625</v>
      </c>
      <c r="DU56" s="333">
        <f t="shared" si="120"/>
        <v>0.75</v>
      </c>
      <c r="DV56" s="333">
        <f t="shared" si="121"/>
        <v>0.875</v>
      </c>
      <c r="DW56" s="333">
        <f t="shared" si="122"/>
        <v>1</v>
      </c>
      <c r="DX56" s="334">
        <f t="shared" si="123"/>
        <v>0</v>
      </c>
      <c r="DY56" s="334">
        <f t="shared" si="124"/>
        <v>0</v>
      </c>
      <c r="DZ56" s="334">
        <f t="shared" si="125"/>
        <v>0</v>
      </c>
    </row>
    <row r="57" spans="1:130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291">
        <v>106264</v>
      </c>
      <c r="CI57" s="290">
        <v>0</v>
      </c>
      <c r="CJ57" s="291"/>
      <c r="CK57" s="291"/>
      <c r="CL57" s="291">
        <v>9925.51</v>
      </c>
      <c r="CM57" s="290"/>
      <c r="CN57" s="291"/>
      <c r="CO57" s="291"/>
      <c r="CP57" s="291">
        <v>0</v>
      </c>
      <c r="CQ57" s="290"/>
      <c r="CR57" s="291"/>
      <c r="CS57" s="291"/>
      <c r="CT57" s="291">
        <v>0</v>
      </c>
      <c r="CU57" s="290"/>
      <c r="CV57" s="291"/>
      <c r="CW57" s="291"/>
      <c r="CX57" s="321">
        <f t="shared" si="97"/>
        <v>0</v>
      </c>
      <c r="CY57" s="348">
        <f t="shared" si="98"/>
        <v>0</v>
      </c>
      <c r="CZ57" s="333">
        <f t="shared" si="99"/>
        <v>0</v>
      </c>
      <c r="DA57" s="333">
        <f t="shared" si="100"/>
        <v>0</v>
      </c>
      <c r="DB57" s="333">
        <f t="shared" si="101"/>
        <v>0</v>
      </c>
      <c r="DC57" s="333">
        <f t="shared" si="102"/>
        <v>0</v>
      </c>
      <c r="DD57" s="333">
        <f t="shared" si="103"/>
        <v>0</v>
      </c>
      <c r="DE57" s="333">
        <f t="shared" si="104"/>
        <v>0</v>
      </c>
      <c r="DF57" s="333">
        <f t="shared" si="105"/>
        <v>5.8823529411764719E-2</v>
      </c>
      <c r="DG57" s="333">
        <f t="shared" si="106"/>
        <v>0.11764705882352944</v>
      </c>
      <c r="DH57" s="333">
        <f t="shared" si="107"/>
        <v>0.17647058823529416</v>
      </c>
      <c r="DI57" s="333">
        <f t="shared" si="108"/>
        <v>0.23529411764705888</v>
      </c>
      <c r="DJ57" s="333">
        <f t="shared" si="109"/>
        <v>0.29411764705882348</v>
      </c>
      <c r="DK57" s="333">
        <f t="shared" si="110"/>
        <v>0.3529411764705882</v>
      </c>
      <c r="DL57" s="333">
        <f t="shared" si="111"/>
        <v>0.41176470588235292</v>
      </c>
      <c r="DM57" s="333">
        <f t="shared" si="112"/>
        <v>0</v>
      </c>
      <c r="DN57" s="333">
        <f t="shared" si="113"/>
        <v>0.47058823529411764</v>
      </c>
      <c r="DO57" s="333">
        <f t="shared" si="114"/>
        <v>0.52941176470588236</v>
      </c>
      <c r="DP57" s="333">
        <f t="shared" si="115"/>
        <v>0.58823529411764708</v>
      </c>
      <c r="DQ57" s="333">
        <f t="shared" si="116"/>
        <v>0.64705882352941169</v>
      </c>
      <c r="DR57" s="333">
        <f t="shared" si="117"/>
        <v>0.70588235294117641</v>
      </c>
      <c r="DS57" s="333">
        <f t="shared" si="118"/>
        <v>0.76470588235294112</v>
      </c>
      <c r="DT57" s="333">
        <f t="shared" si="119"/>
        <v>0.82352941176470584</v>
      </c>
      <c r="DU57" s="333">
        <f t="shared" si="120"/>
        <v>0.88235294117647056</v>
      </c>
      <c r="DV57" s="333">
        <f t="shared" si="121"/>
        <v>0.94117647058823528</v>
      </c>
      <c r="DW57" s="333">
        <f t="shared" si="122"/>
        <v>1</v>
      </c>
      <c r="DX57" s="334">
        <f t="shared" si="123"/>
        <v>104570.55899999999</v>
      </c>
      <c r="DY57" s="334">
        <f t="shared" si="124"/>
        <v>0</v>
      </c>
      <c r="DZ57" s="334">
        <f t="shared" si="125"/>
        <v>86642.399117647044</v>
      </c>
    </row>
    <row r="58" spans="1:130" s="1" customFormat="1" ht="12.75" customHeight="1" thickBot="1" x14ac:dyDescent="0.35">
      <c r="A58" s="576"/>
      <c r="B58" s="304" t="s">
        <v>42</v>
      </c>
      <c r="C58" s="302"/>
      <c r="D58" s="305">
        <f t="shared" ref="D58:BO58" si="126">SUM(D48:D57)</f>
        <v>5660028.2779788757</v>
      </c>
      <c r="E58" s="305">
        <f t="shared" si="126"/>
        <v>0</v>
      </c>
      <c r="F58" s="305">
        <f t="shared" si="126"/>
        <v>4092084.3124159449</v>
      </c>
      <c r="G58" s="305">
        <f t="shared" si="126"/>
        <v>385845.48</v>
      </c>
      <c r="H58" s="305">
        <f t="shared" si="126"/>
        <v>0</v>
      </c>
      <c r="I58" s="305">
        <f t="shared" si="126"/>
        <v>0</v>
      </c>
      <c r="J58" s="305">
        <f t="shared" si="126"/>
        <v>0</v>
      </c>
      <c r="K58" s="305">
        <f t="shared" si="126"/>
        <v>452747.86</v>
      </c>
      <c r="L58" s="305">
        <f t="shared" si="126"/>
        <v>0</v>
      </c>
      <c r="M58" s="305">
        <f t="shared" si="126"/>
        <v>0</v>
      </c>
      <c r="N58" s="305">
        <f t="shared" si="126"/>
        <v>0</v>
      </c>
      <c r="O58" s="305">
        <f t="shared" si="126"/>
        <v>370817.32</v>
      </c>
      <c r="P58" s="305">
        <f t="shared" si="126"/>
        <v>0</v>
      </c>
      <c r="Q58" s="305">
        <f t="shared" si="126"/>
        <v>0</v>
      </c>
      <c r="R58" s="305">
        <f t="shared" si="126"/>
        <v>0</v>
      </c>
      <c r="S58" s="305">
        <f t="shared" si="126"/>
        <v>396757.73</v>
      </c>
      <c r="T58" s="305">
        <f t="shared" si="126"/>
        <v>0</v>
      </c>
      <c r="U58" s="305">
        <f t="shared" si="126"/>
        <v>0</v>
      </c>
      <c r="V58" s="305">
        <f t="shared" si="126"/>
        <v>0</v>
      </c>
      <c r="W58" s="305">
        <f t="shared" si="126"/>
        <v>291785.66999999993</v>
      </c>
      <c r="X58" s="305">
        <f t="shared" si="126"/>
        <v>0</v>
      </c>
      <c r="Y58" s="305">
        <f t="shared" si="126"/>
        <v>0</v>
      </c>
      <c r="Z58" s="305">
        <f t="shared" si="126"/>
        <v>0</v>
      </c>
      <c r="AA58" s="305">
        <f t="shared" si="126"/>
        <v>471133.24000000005</v>
      </c>
      <c r="AB58" s="305">
        <f t="shared" si="126"/>
        <v>0</v>
      </c>
      <c r="AC58" s="305">
        <f t="shared" si="126"/>
        <v>0</v>
      </c>
      <c r="AD58" s="305">
        <f t="shared" si="126"/>
        <v>0</v>
      </c>
      <c r="AE58" s="305">
        <f t="shared" si="126"/>
        <v>641039</v>
      </c>
      <c r="AF58" s="305">
        <f t="shared" si="126"/>
        <v>0</v>
      </c>
      <c r="AG58" s="305">
        <f t="shared" si="126"/>
        <v>0</v>
      </c>
      <c r="AH58" s="305">
        <f t="shared" si="126"/>
        <v>0</v>
      </c>
      <c r="AI58" s="305">
        <f t="shared" si="126"/>
        <v>528906.63000000012</v>
      </c>
      <c r="AJ58" s="305">
        <f t="shared" si="126"/>
        <v>0</v>
      </c>
      <c r="AK58" s="305">
        <f t="shared" si="126"/>
        <v>0</v>
      </c>
      <c r="AL58" s="305">
        <f t="shared" si="126"/>
        <v>0</v>
      </c>
      <c r="AM58" s="305">
        <f t="shared" si="126"/>
        <v>421950.02999999991</v>
      </c>
      <c r="AN58" s="305">
        <f t="shared" si="126"/>
        <v>0</v>
      </c>
      <c r="AO58" s="305">
        <f t="shared" si="126"/>
        <v>0</v>
      </c>
      <c r="AP58" s="305">
        <f t="shared" si="126"/>
        <v>0</v>
      </c>
      <c r="AQ58" s="305">
        <f t="shared" si="126"/>
        <v>401723.83</v>
      </c>
      <c r="AR58" s="305">
        <f t="shared" si="126"/>
        <v>0</v>
      </c>
      <c r="AS58" s="305">
        <f t="shared" si="126"/>
        <v>0</v>
      </c>
      <c r="AT58" s="305">
        <f t="shared" si="126"/>
        <v>0</v>
      </c>
      <c r="AU58" s="305">
        <f t="shared" si="126"/>
        <v>401731.13</v>
      </c>
      <c r="AV58" s="305">
        <f t="shared" si="126"/>
        <v>0</v>
      </c>
      <c r="AW58" s="305">
        <f t="shared" si="126"/>
        <v>0</v>
      </c>
      <c r="AX58" s="305">
        <f t="shared" si="126"/>
        <v>0</v>
      </c>
      <c r="AY58" s="305">
        <f t="shared" si="126"/>
        <v>555885.05319699994</v>
      </c>
      <c r="AZ58" s="305">
        <f t="shared" si="126"/>
        <v>0</v>
      </c>
      <c r="BA58" s="305">
        <f t="shared" si="126"/>
        <v>0</v>
      </c>
      <c r="BB58" s="305">
        <f t="shared" si="126"/>
        <v>0</v>
      </c>
      <c r="BC58" s="305">
        <f t="shared" si="126"/>
        <v>660890.24999999988</v>
      </c>
      <c r="BD58" s="305">
        <f t="shared" si="126"/>
        <v>0</v>
      </c>
      <c r="BE58" s="305">
        <f t="shared" si="126"/>
        <v>0</v>
      </c>
      <c r="BF58" s="305">
        <f t="shared" si="126"/>
        <v>0</v>
      </c>
      <c r="BG58" s="305">
        <f t="shared" si="126"/>
        <v>265555</v>
      </c>
      <c r="BH58" s="305">
        <f t="shared" si="126"/>
        <v>265555</v>
      </c>
      <c r="BI58" s="305">
        <f t="shared" si="126"/>
        <v>173348.46</v>
      </c>
      <c r="BJ58" s="305">
        <f t="shared" si="126"/>
        <v>682413</v>
      </c>
      <c r="BK58" s="305">
        <f t="shared" si="126"/>
        <v>0</v>
      </c>
      <c r="BL58" s="305">
        <f t="shared" si="126"/>
        <v>0</v>
      </c>
      <c r="BM58" s="305">
        <f t="shared" si="126"/>
        <v>0</v>
      </c>
      <c r="BN58" s="305">
        <f t="shared" si="126"/>
        <v>805417.89999999991</v>
      </c>
      <c r="BO58" s="305">
        <f t="shared" si="126"/>
        <v>0</v>
      </c>
      <c r="BP58" s="305">
        <f t="shared" ref="BP58:CK58" si="127">SUM(BP48:BP57)</f>
        <v>0</v>
      </c>
      <c r="BQ58" s="305">
        <f t="shared" si="127"/>
        <v>0</v>
      </c>
      <c r="BR58" s="305">
        <f t="shared" si="127"/>
        <v>811234.00000000012</v>
      </c>
      <c r="BS58" s="305">
        <f t="shared" si="127"/>
        <v>0</v>
      </c>
      <c r="BT58" s="305">
        <f t="shared" si="127"/>
        <v>0</v>
      </c>
      <c r="BU58" s="305">
        <f t="shared" si="127"/>
        <v>0</v>
      </c>
      <c r="BV58" s="305">
        <f t="shared" si="127"/>
        <v>994683.03999999969</v>
      </c>
      <c r="BW58" s="305">
        <f t="shared" si="127"/>
        <v>0</v>
      </c>
      <c r="BX58" s="305">
        <f t="shared" si="127"/>
        <v>0</v>
      </c>
      <c r="BY58" s="305">
        <f t="shared" si="127"/>
        <v>0</v>
      </c>
      <c r="BZ58" s="305">
        <f t="shared" si="127"/>
        <v>1009193.6200000001</v>
      </c>
      <c r="CA58" s="305">
        <f t="shared" si="127"/>
        <v>0</v>
      </c>
      <c r="CB58" s="305">
        <f t="shared" si="127"/>
        <v>0</v>
      </c>
      <c r="CC58" s="305">
        <f t="shared" si="127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5">
        <f t="shared" si="127"/>
        <v>1556506.81</v>
      </c>
      <c r="CI58" s="305">
        <f t="shared" si="127"/>
        <v>0</v>
      </c>
      <c r="CJ58" s="305">
        <f t="shared" si="127"/>
        <v>0</v>
      </c>
      <c r="CK58" s="305">
        <f t="shared" si="127"/>
        <v>0</v>
      </c>
      <c r="CL58" s="305">
        <f t="shared" ref="CL58:CW58" si="128">SUM(CL48:CL57)</f>
        <v>1604287.94</v>
      </c>
      <c r="CM58" s="305">
        <f t="shared" si="128"/>
        <v>0</v>
      </c>
      <c r="CN58" s="305">
        <f t="shared" si="128"/>
        <v>0</v>
      </c>
      <c r="CO58" s="305">
        <f t="shared" si="128"/>
        <v>0</v>
      </c>
      <c r="CP58" s="305">
        <f t="shared" si="128"/>
        <v>1910708.95</v>
      </c>
      <c r="CQ58" s="305">
        <f t="shared" si="128"/>
        <v>0</v>
      </c>
      <c r="CR58" s="305">
        <f t="shared" si="128"/>
        <v>0</v>
      </c>
      <c r="CS58" s="305">
        <f t="shared" si="128"/>
        <v>0</v>
      </c>
      <c r="CT58" s="305">
        <f t="shared" si="128"/>
        <v>1782283.5999999994</v>
      </c>
      <c r="CU58" s="305">
        <f t="shared" si="128"/>
        <v>0</v>
      </c>
      <c r="CV58" s="305">
        <f t="shared" si="128"/>
        <v>0</v>
      </c>
      <c r="CW58" s="305">
        <f t="shared" si="128"/>
        <v>0</v>
      </c>
      <c r="CX58" s="306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7"/>
      <c r="DO58" s="307"/>
      <c r="DP58" s="307"/>
      <c r="DQ58" s="307"/>
      <c r="DR58" s="307"/>
      <c r="DS58" s="307"/>
      <c r="DT58" s="307"/>
      <c r="DU58" s="307"/>
      <c r="DV58" s="307"/>
      <c r="DW58" s="307"/>
      <c r="DX58" s="308">
        <f>SUM(DX48:DX57)</f>
        <v>21822314.185394708</v>
      </c>
      <c r="DY58" s="308">
        <f>SUM(DY48:DY57)</f>
        <v>4959345.3611912858</v>
      </c>
      <c r="DZ58" s="308">
        <f>SUM(DZ48:DZ57)</f>
        <v>10966001.335030096</v>
      </c>
    </row>
    <row r="59" spans="1:130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29">E58+E47+E13+E45</f>
        <v>0</v>
      </c>
      <c r="F59" s="311">
        <f t="shared" si="129"/>
        <v>45909466.481640995</v>
      </c>
      <c r="G59" s="311">
        <f t="shared" si="129"/>
        <v>2297920.7887920002</v>
      </c>
      <c r="H59" s="311">
        <f t="shared" si="129"/>
        <v>0</v>
      </c>
      <c r="I59" s="311">
        <f t="shared" si="129"/>
        <v>0</v>
      </c>
      <c r="J59" s="311">
        <f t="shared" si="129"/>
        <v>0</v>
      </c>
      <c r="K59" s="311">
        <f t="shared" si="129"/>
        <v>3705380.7350740554</v>
      </c>
      <c r="L59" s="311">
        <f t="shared" si="129"/>
        <v>315949</v>
      </c>
      <c r="M59" s="311">
        <f t="shared" si="129"/>
        <v>0</v>
      </c>
      <c r="N59" s="311">
        <f t="shared" si="129"/>
        <v>0</v>
      </c>
      <c r="O59" s="311">
        <f t="shared" si="129"/>
        <v>3354159.6110610003</v>
      </c>
      <c r="P59" s="311">
        <f t="shared" si="129"/>
        <v>0</v>
      </c>
      <c r="Q59" s="311">
        <f t="shared" si="129"/>
        <v>0</v>
      </c>
      <c r="R59" s="311">
        <f t="shared" si="129"/>
        <v>0</v>
      </c>
      <c r="S59" s="311">
        <f t="shared" si="129"/>
        <v>3518386.36</v>
      </c>
      <c r="T59" s="311">
        <f t="shared" si="129"/>
        <v>0</v>
      </c>
      <c r="U59" s="311">
        <f t="shared" si="129"/>
        <v>0</v>
      </c>
      <c r="V59" s="311">
        <f t="shared" si="129"/>
        <v>0</v>
      </c>
      <c r="W59" s="311">
        <f t="shared" si="129"/>
        <v>3815993.5700000003</v>
      </c>
      <c r="X59" s="311">
        <f t="shared" si="129"/>
        <v>0</v>
      </c>
      <c r="Y59" s="311">
        <f t="shared" si="129"/>
        <v>0</v>
      </c>
      <c r="Z59" s="311">
        <f t="shared" si="129"/>
        <v>0</v>
      </c>
      <c r="AA59" s="311">
        <f t="shared" si="129"/>
        <v>5590315.4300000006</v>
      </c>
      <c r="AB59" s="311">
        <f t="shared" si="129"/>
        <v>556386.07000000007</v>
      </c>
      <c r="AC59" s="311">
        <f t="shared" si="129"/>
        <v>0</v>
      </c>
      <c r="AD59" s="311">
        <f t="shared" si="129"/>
        <v>0</v>
      </c>
      <c r="AE59" s="311">
        <f t="shared" si="129"/>
        <v>6630069.3099999996</v>
      </c>
      <c r="AF59" s="311">
        <f t="shared" si="129"/>
        <v>0</v>
      </c>
      <c r="AG59" s="311">
        <f t="shared" si="129"/>
        <v>0</v>
      </c>
      <c r="AH59" s="311">
        <f t="shared" si="129"/>
        <v>0</v>
      </c>
      <c r="AI59" s="311">
        <f t="shared" si="129"/>
        <v>8798937.4638769962</v>
      </c>
      <c r="AJ59" s="311">
        <f t="shared" si="129"/>
        <v>0</v>
      </c>
      <c r="AK59" s="311">
        <f t="shared" si="129"/>
        <v>0</v>
      </c>
      <c r="AL59" s="311">
        <f t="shared" si="129"/>
        <v>0</v>
      </c>
      <c r="AM59" s="311">
        <f t="shared" si="129"/>
        <v>6243081.9319999982</v>
      </c>
      <c r="AN59" s="311">
        <f t="shared" si="129"/>
        <v>0</v>
      </c>
      <c r="AO59" s="311">
        <f t="shared" si="129"/>
        <v>0</v>
      </c>
      <c r="AP59" s="311">
        <f t="shared" si="129"/>
        <v>0</v>
      </c>
      <c r="AQ59" s="311">
        <f t="shared" si="129"/>
        <v>7546107.3088913755</v>
      </c>
      <c r="AR59" s="311">
        <f t="shared" si="129"/>
        <v>0</v>
      </c>
      <c r="AS59" s="311">
        <f t="shared" si="129"/>
        <v>0</v>
      </c>
      <c r="AT59" s="311">
        <f t="shared" si="129"/>
        <v>0</v>
      </c>
      <c r="AU59" s="311">
        <f t="shared" si="129"/>
        <v>5992535.4899999965</v>
      </c>
      <c r="AV59" s="311">
        <f t="shared" si="129"/>
        <v>0</v>
      </c>
      <c r="AW59" s="311">
        <f t="shared" si="129"/>
        <v>0</v>
      </c>
      <c r="AX59" s="311">
        <f t="shared" si="129"/>
        <v>0</v>
      </c>
      <c r="AY59" s="311">
        <f t="shared" si="129"/>
        <v>9964863.5911969952</v>
      </c>
      <c r="AZ59" s="311">
        <f t="shared" si="129"/>
        <v>0</v>
      </c>
      <c r="BA59" s="311">
        <f t="shared" si="129"/>
        <v>0</v>
      </c>
      <c r="BB59" s="311">
        <f t="shared" si="129"/>
        <v>0</v>
      </c>
      <c r="BC59" s="311">
        <f t="shared" si="129"/>
        <v>11143773.309999999</v>
      </c>
      <c r="BD59" s="311">
        <f t="shared" si="129"/>
        <v>0</v>
      </c>
      <c r="BE59" s="311">
        <f t="shared" si="129"/>
        <v>0</v>
      </c>
      <c r="BF59" s="311">
        <f t="shared" si="129"/>
        <v>0</v>
      </c>
      <c r="BG59" s="311">
        <f t="shared" si="129"/>
        <v>8136602.2479580687</v>
      </c>
      <c r="BH59" s="311">
        <f t="shared" si="129"/>
        <v>6029079.5579580693</v>
      </c>
      <c r="BI59" s="311">
        <f t="shared" si="129"/>
        <v>6021259.6799999988</v>
      </c>
      <c r="BJ59" s="311">
        <f t="shared" si="129"/>
        <v>12605720.150000002</v>
      </c>
      <c r="BK59" s="311">
        <f t="shared" si="129"/>
        <v>0</v>
      </c>
      <c r="BL59" s="311">
        <f t="shared" si="129"/>
        <v>0</v>
      </c>
      <c r="BM59" s="311">
        <f t="shared" si="129"/>
        <v>0</v>
      </c>
      <c r="BN59" s="311">
        <f t="shared" si="129"/>
        <v>25963295.499999996</v>
      </c>
      <c r="BO59" s="311">
        <f t="shared" si="129"/>
        <v>0</v>
      </c>
      <c r="BP59" s="311">
        <f t="shared" si="129"/>
        <v>0</v>
      </c>
      <c r="BQ59" s="311">
        <f t="shared" ref="BQ59:CK59" si="130">BQ58+BQ47+BQ13+BQ45</f>
        <v>0</v>
      </c>
      <c r="BR59" s="311">
        <f t="shared" si="130"/>
        <v>19553374.009999998</v>
      </c>
      <c r="BS59" s="311">
        <f t="shared" si="130"/>
        <v>65610.73</v>
      </c>
      <c r="BT59" s="311">
        <f t="shared" si="130"/>
        <v>0</v>
      </c>
      <c r="BU59" s="311">
        <f t="shared" si="130"/>
        <v>0</v>
      </c>
      <c r="BV59" s="311">
        <f t="shared" si="130"/>
        <v>20404493.799999997</v>
      </c>
      <c r="BW59" s="311">
        <f t="shared" si="130"/>
        <v>2126529.2643995676</v>
      </c>
      <c r="BX59" s="311">
        <f t="shared" si="130"/>
        <v>0</v>
      </c>
      <c r="BY59" s="311">
        <f t="shared" si="130"/>
        <v>0</v>
      </c>
      <c r="BZ59" s="311">
        <f t="shared" si="130"/>
        <v>22105252.660000004</v>
      </c>
      <c r="CA59" s="311">
        <f t="shared" si="130"/>
        <v>2659763.210547294</v>
      </c>
      <c r="CB59" s="311">
        <f t="shared" si="130"/>
        <v>0</v>
      </c>
      <c r="CC59" s="311">
        <f t="shared" si="130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1">
        <f t="shared" si="130"/>
        <v>17257121.709999993</v>
      </c>
      <c r="CI59" s="311">
        <f t="shared" si="130"/>
        <v>143425.125207</v>
      </c>
      <c r="CJ59" s="311">
        <f t="shared" si="130"/>
        <v>0</v>
      </c>
      <c r="CK59" s="311">
        <f t="shared" si="130"/>
        <v>0</v>
      </c>
      <c r="CL59" s="311">
        <f t="shared" ref="CL59:CW59" si="131">CL58+CL47+CL13+CL45</f>
        <v>19425056.510000002</v>
      </c>
      <c r="CM59" s="311">
        <f t="shared" si="131"/>
        <v>0</v>
      </c>
      <c r="CN59" s="311">
        <f t="shared" si="131"/>
        <v>0</v>
      </c>
      <c r="CO59" s="311">
        <f t="shared" si="131"/>
        <v>0</v>
      </c>
      <c r="CP59" s="311">
        <f t="shared" si="131"/>
        <v>44820260.720000006</v>
      </c>
      <c r="CQ59" s="311">
        <f t="shared" si="131"/>
        <v>146532.4</v>
      </c>
      <c r="CR59" s="311">
        <f t="shared" si="131"/>
        <v>0</v>
      </c>
      <c r="CS59" s="311">
        <f t="shared" si="131"/>
        <v>0</v>
      </c>
      <c r="CT59" s="311">
        <f t="shared" si="131"/>
        <v>25352384.310000002</v>
      </c>
      <c r="CU59" s="311">
        <f t="shared" si="131"/>
        <v>1934068.2</v>
      </c>
      <c r="CV59" s="311">
        <f t="shared" si="131"/>
        <v>0</v>
      </c>
      <c r="CW59" s="311">
        <f t="shared" si="131"/>
        <v>0</v>
      </c>
      <c r="CX59" s="312"/>
      <c r="CY59" s="312"/>
      <c r="CZ59" s="312"/>
      <c r="DA59" s="312"/>
      <c r="DB59" s="312"/>
      <c r="DC59" s="312"/>
      <c r="DD59" s="312"/>
      <c r="DE59" s="312"/>
      <c r="DF59" s="312"/>
      <c r="DG59" s="312"/>
      <c r="DH59" s="312"/>
      <c r="DI59" s="312"/>
      <c r="DJ59" s="312"/>
      <c r="DK59" s="312"/>
      <c r="DL59" s="312"/>
      <c r="DM59" s="312"/>
      <c r="DN59" s="312"/>
      <c r="DO59" s="312"/>
      <c r="DP59" s="312"/>
      <c r="DQ59" s="312"/>
      <c r="DR59" s="312"/>
      <c r="DS59" s="312"/>
      <c r="DT59" s="312"/>
      <c r="DU59" s="312"/>
      <c r="DV59" s="312"/>
      <c r="DW59" s="312"/>
      <c r="DX59" s="313">
        <f>DX13+DX45+DX47+DX58</f>
        <v>332530855.82072771</v>
      </c>
      <c r="DY59" s="313">
        <f>DY13+DY45+DY47+DY58</f>
        <v>89053795.988237321</v>
      </c>
      <c r="DZ59" s="314">
        <f>DZ13+DZ45+DZ47+DZ58</f>
        <v>176469152.63234439</v>
      </c>
    </row>
    <row r="60" spans="1:130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608">
        <v>0.89100093955357473</v>
      </c>
      <c r="CI60" s="609"/>
      <c r="CJ60" s="609"/>
      <c r="CK60" s="610"/>
      <c r="CL60" s="565">
        <v>0.9</v>
      </c>
      <c r="CM60" s="566"/>
      <c r="CN60" s="566"/>
      <c r="CO60" s="567"/>
      <c r="CP60" s="565">
        <v>0.89999999999999991</v>
      </c>
      <c r="CQ60" s="566"/>
      <c r="CR60" s="566"/>
      <c r="CS60" s="567"/>
      <c r="CT60" s="565">
        <v>0.9</v>
      </c>
      <c r="CU60" s="566"/>
      <c r="CV60" s="566"/>
      <c r="CW60" s="567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</row>
    <row r="61" spans="1:130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605">
        <v>0.87172983433540296</v>
      </c>
      <c r="CI61" s="606"/>
      <c r="CJ61" s="606"/>
      <c r="CK61" s="607"/>
      <c r="CL61" s="558">
        <v>0.57735006603666861</v>
      </c>
      <c r="CM61" s="559"/>
      <c r="CN61" s="559"/>
      <c r="CO61" s="560"/>
      <c r="CP61" s="558">
        <v>0.82190400150149978</v>
      </c>
      <c r="CQ61" s="559"/>
      <c r="CR61" s="559"/>
      <c r="CS61" s="560"/>
      <c r="CT61" s="558">
        <v>0.73898967666689241</v>
      </c>
      <c r="CU61" s="559"/>
      <c r="CV61" s="559"/>
      <c r="CW61" s="560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</row>
    <row r="62" spans="1:130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605">
        <v>0.9</v>
      </c>
      <c r="CI62" s="606"/>
      <c r="CJ62" s="606"/>
      <c r="CK62" s="607"/>
      <c r="CL62" s="558">
        <v>0.9</v>
      </c>
      <c r="CM62" s="559"/>
      <c r="CN62" s="559"/>
      <c r="CO62" s="560"/>
      <c r="CP62" s="558">
        <v>0.9</v>
      </c>
      <c r="CQ62" s="559"/>
      <c r="CR62" s="559"/>
      <c r="CS62" s="560"/>
      <c r="CT62" s="558">
        <v>0.90000000000000013</v>
      </c>
      <c r="CU62" s="559"/>
      <c r="CV62" s="559"/>
      <c r="CW62" s="560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</row>
    <row r="63" spans="1:130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605">
        <v>0.89999999999999991</v>
      </c>
      <c r="CI63" s="606"/>
      <c r="CJ63" s="606"/>
      <c r="CK63" s="607"/>
      <c r="CL63" s="558">
        <v>0.90000000000000013</v>
      </c>
      <c r="CM63" s="559"/>
      <c r="CN63" s="559"/>
      <c r="CO63" s="560"/>
      <c r="CP63" s="558">
        <v>0.90000000000000024</v>
      </c>
      <c r="CQ63" s="559"/>
      <c r="CR63" s="559"/>
      <c r="CS63" s="560"/>
      <c r="CT63" s="558">
        <v>0.90000000000000058</v>
      </c>
      <c r="CU63" s="559"/>
      <c r="CV63" s="559"/>
      <c r="CW63" s="560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</row>
    <row r="64" spans="1:130" ht="12.75" customHeight="1" x14ac:dyDescent="0.25"/>
    <row r="65" spans="4:101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  <c r="CH65" s="391">
        <v>0</v>
      </c>
      <c r="CI65" s="391">
        <v>0</v>
      </c>
      <c r="CL65" s="391">
        <v>0</v>
      </c>
      <c r="CM65" s="391">
        <v>0</v>
      </c>
      <c r="CP65" s="391">
        <v>0</v>
      </c>
      <c r="CQ65" s="391">
        <v>0</v>
      </c>
      <c r="CT65" s="391">
        <v>0</v>
      </c>
      <c r="CU65" s="391">
        <v>0</v>
      </c>
    </row>
    <row r="66" spans="4:101" x14ac:dyDescent="0.25">
      <c r="D66" s="115"/>
      <c r="E66" s="115"/>
      <c r="F66" s="115"/>
      <c r="G66" s="115"/>
      <c r="H66" s="115">
        <v>2018</v>
      </c>
      <c r="I66" s="115">
        <v>2019</v>
      </c>
      <c r="J66" s="115">
        <v>2020</v>
      </c>
      <c r="K66" s="115">
        <v>2021</v>
      </c>
      <c r="L66" s="115">
        <v>2022</v>
      </c>
      <c r="M66" s="115"/>
      <c r="N66" s="115"/>
      <c r="O66" s="115"/>
      <c r="P66" s="115"/>
      <c r="Q66" s="115"/>
      <c r="R66" s="115"/>
      <c r="S66" s="115"/>
      <c r="T66" s="115"/>
      <c r="U66" s="115"/>
      <c r="BV66" s="391">
        <v>0</v>
      </c>
      <c r="BW66" s="391">
        <v>0</v>
      </c>
      <c r="BX66" s="391">
        <v>0</v>
      </c>
      <c r="BY66" s="391">
        <v>0</v>
      </c>
      <c r="BZ66" s="391">
        <v>0</v>
      </c>
      <c r="CA66" s="391">
        <v>0</v>
      </c>
      <c r="CB66" s="391">
        <v>0</v>
      </c>
      <c r="CC66" s="391">
        <v>0</v>
      </c>
      <c r="CD66" s="391">
        <v>0</v>
      </c>
      <c r="CE66" s="391">
        <v>0</v>
      </c>
      <c r="CF66" s="391">
        <v>0</v>
      </c>
      <c r="CG66" s="391">
        <v>0</v>
      </c>
      <c r="CH66" s="391">
        <v>0</v>
      </c>
      <c r="CI66" s="391">
        <v>0</v>
      </c>
      <c r="CJ66" s="391">
        <v>0</v>
      </c>
      <c r="CK66" s="391">
        <v>0</v>
      </c>
      <c r="CL66" s="391">
        <v>11236172.530000001</v>
      </c>
      <c r="CM66" s="391">
        <v>0</v>
      </c>
      <c r="CN66" s="391">
        <v>0</v>
      </c>
      <c r="CO66" s="391">
        <v>0</v>
      </c>
      <c r="CP66" s="391">
        <v>44820260.720000006</v>
      </c>
      <c r="CQ66" s="391">
        <v>146532.4</v>
      </c>
      <c r="CR66" s="391">
        <v>0</v>
      </c>
      <c r="CS66" s="391">
        <v>0</v>
      </c>
      <c r="CT66" s="391">
        <v>25352384.310000002</v>
      </c>
      <c r="CU66" s="391">
        <v>1934068.2</v>
      </c>
      <c r="CV66" s="391">
        <v>0</v>
      </c>
      <c r="CW66" s="391">
        <v>0</v>
      </c>
    </row>
    <row r="67" spans="4:101" x14ac:dyDescent="0.25">
      <c r="F67" s="222" t="s">
        <v>125</v>
      </c>
    </row>
    <row r="68" spans="4:101" ht="13.25" customHeight="1" x14ac:dyDescent="0.25">
      <c r="F68" s="222" t="s">
        <v>126</v>
      </c>
      <c r="H68" s="426">
        <f>BV45*BV61</f>
        <v>15561813.087000003</v>
      </c>
      <c r="I68" s="426">
        <f>BZ45*BZ61</f>
        <v>14890762.251</v>
      </c>
      <c r="J68" s="426">
        <f>CD45*CD61</f>
        <v>13794016.868999999</v>
      </c>
      <c r="K68" s="426">
        <f>CH45*CH61</f>
        <v>12269556.908985389</v>
      </c>
      <c r="L68" s="426">
        <f>CL45*CL61</f>
        <v>9247238.3340000007</v>
      </c>
      <c r="CT68">
        <v>212819</v>
      </c>
    </row>
    <row r="69" spans="4:101" x14ac:dyDescent="0.25">
      <c r="F69" s="222" t="s">
        <v>38</v>
      </c>
      <c r="H69" s="426">
        <f>BV58*BV63</f>
        <v>895214.73600000003</v>
      </c>
      <c r="I69" s="426">
        <f>BZ58*BZ63</f>
        <v>908274.25800000003</v>
      </c>
      <c r="J69" s="426">
        <f>CD58*CD63</f>
        <v>1192522.149</v>
      </c>
      <c r="K69" s="426">
        <f>CH58*CH63</f>
        <v>1400856.129</v>
      </c>
      <c r="L69" s="426">
        <f>CL58*CL63</f>
        <v>1443859.1460000002</v>
      </c>
    </row>
    <row r="70" spans="4:101" ht="13.25" customHeight="1" x14ac:dyDescent="0.25">
      <c r="F70" s="222" t="s">
        <v>35</v>
      </c>
      <c r="H70" s="426">
        <f>BV47*BV62</f>
        <v>643860.3060000001</v>
      </c>
      <c r="I70" s="426">
        <f>BZ47*BZ62</f>
        <v>274950.81900000008</v>
      </c>
      <c r="J70" s="426">
        <f>CD47*CD62</f>
        <v>239642.08199999999</v>
      </c>
      <c r="K70" s="426">
        <f>CH47*CH62</f>
        <v>669574.47600000002</v>
      </c>
      <c r="L70" s="426">
        <f>CL47*CL62</f>
        <v>495369.4499999999</v>
      </c>
    </row>
    <row r="71" spans="4:101" x14ac:dyDescent="0.25">
      <c r="F71" s="222" t="s">
        <v>127</v>
      </c>
      <c r="H71" s="426">
        <f>BV13*BV60</f>
        <v>1008065.9070000004</v>
      </c>
      <c r="I71" s="426">
        <f>BZ13*BZ60</f>
        <v>3227907.276000001</v>
      </c>
      <c r="J71" s="426">
        <f>CD13*CD60</f>
        <v>620899.29</v>
      </c>
      <c r="K71" s="426">
        <f>CH13*CH60</f>
        <v>785586.37782473746</v>
      </c>
      <c r="L71" s="426">
        <f>CL13*CL60</f>
        <v>1128299.2290000001</v>
      </c>
    </row>
    <row r="72" spans="4:101" x14ac:dyDescent="0.25">
      <c r="F72" s="222" t="s">
        <v>128</v>
      </c>
      <c r="H72" s="426">
        <f>SUM(H68:H71)</f>
        <v>18108954.036000006</v>
      </c>
      <c r="I72" s="426">
        <f>SUM(I68:I71)</f>
        <v>19301894.604000002</v>
      </c>
      <c r="J72" s="426">
        <f>SUM(J68:J71)</f>
        <v>15847080.390000001</v>
      </c>
      <c r="K72" s="426">
        <f>SUM(K68:K71)</f>
        <v>15125573.891810127</v>
      </c>
      <c r="L72" s="426">
        <f>SUM(L68:L71)</f>
        <v>12314766.159</v>
      </c>
      <c r="O72" s="427"/>
    </row>
    <row r="73" spans="4:101" x14ac:dyDescent="0.25">
      <c r="H73" s="427"/>
      <c r="I73" s="427"/>
      <c r="J73" s="427"/>
      <c r="K73" s="427"/>
      <c r="L73" s="427"/>
      <c r="O73" s="427"/>
    </row>
    <row r="74" spans="4:101" x14ac:dyDescent="0.25">
      <c r="F74" s="222" t="s">
        <v>125</v>
      </c>
      <c r="H74" s="115">
        <v>2018</v>
      </c>
      <c r="I74" s="115">
        <v>2019</v>
      </c>
      <c r="J74" s="115">
        <v>2020</v>
      </c>
      <c r="K74" s="115">
        <v>2021</v>
      </c>
      <c r="L74" s="115">
        <v>2022</v>
      </c>
      <c r="AU74" s="220"/>
      <c r="AV74" s="220"/>
      <c r="AW74" s="221"/>
      <c r="AX74" s="221"/>
      <c r="AY74" s="221"/>
      <c r="AZ74" s="221"/>
      <c r="BA74" s="221"/>
      <c r="BB74" s="221"/>
    </row>
    <row r="75" spans="4:101" x14ac:dyDescent="0.25">
      <c r="F75" s="222" t="s">
        <v>126</v>
      </c>
      <c r="H75" s="426">
        <f>H68+H$71*H68/(H$68+H$69)</f>
        <v>16515043.122996347</v>
      </c>
      <c r="I75" s="426">
        <f t="shared" ref="I75:L76" si="132">I68+I$71*I68/(I$68+I$69)</f>
        <v>17933099.661120422</v>
      </c>
      <c r="J75" s="426">
        <f t="shared" si="132"/>
        <v>14365509.411068803</v>
      </c>
      <c r="K75" s="426">
        <f t="shared" si="132"/>
        <v>12974641.440291166</v>
      </c>
      <c r="L75" s="426">
        <f t="shared" si="132"/>
        <v>10223157.962658316</v>
      </c>
      <c r="AU75" s="221"/>
      <c r="AV75" s="221"/>
      <c r="AW75" s="221"/>
      <c r="AX75" s="221"/>
      <c r="AY75" s="221"/>
      <c r="AZ75" s="221"/>
      <c r="BA75" s="221"/>
      <c r="BB75" s="221"/>
    </row>
    <row r="76" spans="4:101" x14ac:dyDescent="0.25">
      <c r="F76" s="222" t="s">
        <v>38</v>
      </c>
      <c r="H76" s="426">
        <f>H69+H$71*H69/(H$68+H$69)</f>
        <v>950050.60700365598</v>
      </c>
      <c r="I76" s="426">
        <f t="shared" si="132"/>
        <v>1093844.1238795791</v>
      </c>
      <c r="J76" s="426">
        <f t="shared" si="132"/>
        <v>1241928.896931197</v>
      </c>
      <c r="K76" s="426">
        <f t="shared" si="132"/>
        <v>1481357.9755189603</v>
      </c>
      <c r="L76" s="426">
        <f t="shared" si="132"/>
        <v>1596238.7463416855</v>
      </c>
    </row>
    <row r="77" spans="4:101" x14ac:dyDescent="0.25">
      <c r="F77" s="222" t="s">
        <v>35</v>
      </c>
      <c r="H77" s="426">
        <f>H70</f>
        <v>643860.3060000001</v>
      </c>
      <c r="I77" s="426">
        <f>I70</f>
        <v>274950.81900000008</v>
      </c>
      <c r="J77" s="426">
        <f>J70</f>
        <v>239642.08199999999</v>
      </c>
      <c r="K77" s="426">
        <f>K70</f>
        <v>669574.47600000002</v>
      </c>
      <c r="L77" s="426">
        <f>L70</f>
        <v>495369.4499999999</v>
      </c>
    </row>
    <row r="78" spans="4:101" x14ac:dyDescent="0.25">
      <c r="F78" s="222" t="s">
        <v>128</v>
      </c>
      <c r="H78" s="426">
        <f>SUM(H75:H77)</f>
        <v>18108954.036000006</v>
      </c>
      <c r="I78" s="426">
        <f>SUM(I75:I77)</f>
        <v>19301894.603999998</v>
      </c>
      <c r="J78" s="426">
        <f>SUM(J75:J77)</f>
        <v>15847080.390000001</v>
      </c>
      <c r="K78" s="426">
        <f>SUM(K75:K77)</f>
        <v>15125573.891810127</v>
      </c>
      <c r="L78" s="426">
        <f>SUM(L75:L77)</f>
        <v>12314766.159</v>
      </c>
    </row>
    <row r="79" spans="4:101" ht="13" x14ac:dyDescent="0.3">
      <c r="F79" s="1" t="s">
        <v>133</v>
      </c>
      <c r="H79" s="427">
        <f>H72-H78</f>
        <v>0</v>
      </c>
      <c r="I79" s="427">
        <f>I72-I78</f>
        <v>0</v>
      </c>
      <c r="J79" s="427">
        <f>J72-J78</f>
        <v>0</v>
      </c>
      <c r="K79" s="427">
        <f>K72-K78</f>
        <v>0</v>
      </c>
      <c r="L79" s="427">
        <f>L72-L78</f>
        <v>0</v>
      </c>
    </row>
    <row r="80" spans="4:101" ht="13" x14ac:dyDescent="0.3">
      <c r="F80" s="428" t="s">
        <v>125</v>
      </c>
      <c r="G80" s="428"/>
      <c r="H80" s="429" t="s">
        <v>129</v>
      </c>
      <c r="I80" s="429" t="s">
        <v>130</v>
      </c>
      <c r="J80" s="429" t="s">
        <v>131</v>
      </c>
      <c r="K80" s="429" t="s">
        <v>132</v>
      </c>
    </row>
    <row r="81" spans="6:45" ht="13.25" customHeight="1" x14ac:dyDescent="0.25">
      <c r="F81" s="222" t="s">
        <v>126</v>
      </c>
      <c r="H81" s="426">
        <f>H75/2+I75/2</f>
        <v>17224071.392058384</v>
      </c>
      <c r="I81" s="426">
        <f>I75/2+J75/2</f>
        <v>16149304.536094613</v>
      </c>
      <c r="J81" s="426">
        <f>J75/2+K75/2</f>
        <v>13670075.425679985</v>
      </c>
      <c r="K81" s="426">
        <f>K75/2+L75</f>
        <v>16710478.682803899</v>
      </c>
      <c r="L81" s="426"/>
      <c r="AO81"/>
      <c r="AS81"/>
    </row>
    <row r="82" spans="6:45" x14ac:dyDescent="0.25">
      <c r="F82" s="222" t="s">
        <v>38</v>
      </c>
      <c r="H82" s="426">
        <f t="shared" ref="H82:J83" si="133">H76/2+I76/2</f>
        <v>1021947.3654416176</v>
      </c>
      <c r="I82" s="426">
        <f t="shared" si="133"/>
        <v>1167886.5104053882</v>
      </c>
      <c r="J82" s="426">
        <f t="shared" si="133"/>
        <v>1361643.4362250785</v>
      </c>
      <c r="K82" s="426">
        <f>K76/2+L76</f>
        <v>2336917.7341011656</v>
      </c>
      <c r="L82" s="426"/>
      <c r="AO82"/>
      <c r="AS82"/>
    </row>
    <row r="83" spans="6:45" x14ac:dyDescent="0.25">
      <c r="F83" s="222" t="s">
        <v>35</v>
      </c>
      <c r="H83" s="426">
        <f t="shared" si="133"/>
        <v>459405.56250000012</v>
      </c>
      <c r="I83" s="426">
        <f t="shared" si="133"/>
        <v>257296.45050000004</v>
      </c>
      <c r="J83" s="426">
        <f t="shared" si="133"/>
        <v>454608.27899999998</v>
      </c>
      <c r="K83" s="426">
        <f>K77/2+L77</f>
        <v>830156.68799999985</v>
      </c>
      <c r="L83" s="426"/>
      <c r="AO83"/>
      <c r="AS83"/>
    </row>
    <row r="84" spans="6:45" x14ac:dyDescent="0.25">
      <c r="F84" s="222" t="s">
        <v>128</v>
      </c>
      <c r="H84" s="426">
        <f>SUM(H81:H83)</f>
        <v>18705424.32</v>
      </c>
      <c r="I84" s="426">
        <f>SUM(I81:I83)</f>
        <v>17574487.497000001</v>
      </c>
      <c r="J84" s="426">
        <f>SUM(J81:J83)</f>
        <v>15486327.140905064</v>
      </c>
      <c r="K84" s="426">
        <f>SUM(K81:K83)</f>
        <v>19877553.104905065</v>
      </c>
      <c r="L84" s="426"/>
      <c r="AO84"/>
      <c r="AS84"/>
    </row>
    <row r="85" spans="6:45" x14ac:dyDescent="0.25">
      <c r="H85" s="427">
        <v>0</v>
      </c>
      <c r="I85" s="427">
        <v>0</v>
      </c>
      <c r="J85" s="427">
        <v>-1566.6794709302485</v>
      </c>
      <c r="K85" s="427">
        <v>5008120.70852907</v>
      </c>
      <c r="AO85"/>
      <c r="AS85"/>
    </row>
    <row r="86" spans="6:45" x14ac:dyDescent="0.25">
      <c r="AO86"/>
      <c r="AS86"/>
    </row>
    <row r="87" spans="6:45" x14ac:dyDescent="0.25">
      <c r="AO87"/>
      <c r="AS87"/>
    </row>
    <row r="88" spans="6:45" x14ac:dyDescent="0.25">
      <c r="AO88"/>
      <c r="AS88"/>
    </row>
    <row r="89" spans="6:45" x14ac:dyDescent="0.25">
      <c r="AO89"/>
      <c r="AS89"/>
    </row>
    <row r="90" spans="6:45" x14ac:dyDescent="0.25">
      <c r="AO90"/>
      <c r="AS90"/>
    </row>
    <row r="91" spans="6:45" x14ac:dyDescent="0.25">
      <c r="AO91"/>
      <c r="AS91"/>
    </row>
    <row r="92" spans="6:45" x14ac:dyDescent="0.25">
      <c r="AO92"/>
      <c r="AS92"/>
    </row>
    <row r="93" spans="6:45" x14ac:dyDescent="0.25">
      <c r="AO93"/>
      <c r="AS93"/>
    </row>
    <row r="94" spans="6:45" x14ac:dyDescent="0.25">
      <c r="AO94"/>
      <c r="AS94"/>
    </row>
    <row r="95" spans="6:45" x14ac:dyDescent="0.25">
      <c r="AO95"/>
      <c r="AS95"/>
    </row>
    <row r="96" spans="6:45" x14ac:dyDescent="0.25">
      <c r="AO96"/>
      <c r="AS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58">
    <mergeCell ref="AI2:AL2"/>
    <mergeCell ref="AM2:AP2"/>
    <mergeCell ref="AQ2:AT2"/>
    <mergeCell ref="AU2:AX2"/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S3:S4"/>
    <mergeCell ref="T3:T4"/>
    <mergeCell ref="U3:U4"/>
    <mergeCell ref="V3:V4"/>
    <mergeCell ref="W3:W4"/>
    <mergeCell ref="X3:X4"/>
    <mergeCell ref="M3:M4"/>
    <mergeCell ref="N3:N4"/>
    <mergeCell ref="O3:O4"/>
    <mergeCell ref="P3:P4"/>
    <mergeCell ref="DX2:DZ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V2:BY2"/>
    <mergeCell ref="BZ2:CC2"/>
    <mergeCell ref="CD2:CG2"/>
    <mergeCell ref="CH2:CK2"/>
    <mergeCell ref="CL2:CO2"/>
    <mergeCell ref="CP2:CS2"/>
    <mergeCell ref="AY2:BB2"/>
    <mergeCell ref="BC2:BF2"/>
    <mergeCell ref="BG2:BI2"/>
    <mergeCell ref="BJ2:BM2"/>
    <mergeCell ref="BN2:BQ2"/>
    <mergeCell ref="BR2:BU2"/>
    <mergeCell ref="AA2:AD2"/>
    <mergeCell ref="AE2:AH2"/>
    <mergeCell ref="Q3:Q4"/>
    <mergeCell ref="R3:R4"/>
    <mergeCell ref="AE3:AE4"/>
    <mergeCell ref="AF3:AF4"/>
    <mergeCell ref="AG3:AG4"/>
    <mergeCell ref="AH3:AH4"/>
    <mergeCell ref="AI3:AI4"/>
    <mergeCell ref="AJ3:AJ4"/>
    <mergeCell ref="Y3:Y4"/>
    <mergeCell ref="Z3:Z4"/>
    <mergeCell ref="AA3:AA4"/>
    <mergeCell ref="AB3:AB4"/>
    <mergeCell ref="AC3:AC4"/>
    <mergeCell ref="AD3:AD4"/>
    <mergeCell ref="AQ3:AQ4"/>
    <mergeCell ref="AR3:AR4"/>
    <mergeCell ref="AS3:AS4"/>
    <mergeCell ref="AT3:AT4"/>
    <mergeCell ref="AU3:AU4"/>
    <mergeCell ref="AV3:AV4"/>
    <mergeCell ref="AK3:AK4"/>
    <mergeCell ref="AL3:AL4"/>
    <mergeCell ref="AM3:AM4"/>
    <mergeCell ref="AN3:AN4"/>
    <mergeCell ref="AO3:AO4"/>
    <mergeCell ref="AP3:AP4"/>
    <mergeCell ref="BC3:BC4"/>
    <mergeCell ref="BG3:BG4"/>
    <mergeCell ref="BH3:BH4"/>
    <mergeCell ref="BI3:BI4"/>
    <mergeCell ref="BJ3:BJ4"/>
    <mergeCell ref="BK3:BK4"/>
    <mergeCell ref="AW3:AW4"/>
    <mergeCell ref="AX3:AX4"/>
    <mergeCell ref="AY3:AY4"/>
    <mergeCell ref="AZ3:AZ4"/>
    <mergeCell ref="BA3:BA4"/>
    <mergeCell ref="BB3:BB4"/>
    <mergeCell ref="BR3:BR4"/>
    <mergeCell ref="BS3:BS4"/>
    <mergeCell ref="BT3:BT4"/>
    <mergeCell ref="BU3:BU4"/>
    <mergeCell ref="BV3:BV4"/>
    <mergeCell ref="BW3:BW4"/>
    <mergeCell ref="BL3:BL4"/>
    <mergeCell ref="BM3:BM4"/>
    <mergeCell ref="BN3:BN4"/>
    <mergeCell ref="BO3:BO4"/>
    <mergeCell ref="BP3:BP4"/>
    <mergeCell ref="BQ3:BQ4"/>
    <mergeCell ref="CD3:CD4"/>
    <mergeCell ref="CE3:CE4"/>
    <mergeCell ref="CF3:CF4"/>
    <mergeCell ref="CG3:CG4"/>
    <mergeCell ref="CH3:CH4"/>
    <mergeCell ref="CI3:CI4"/>
    <mergeCell ref="BX3:BX4"/>
    <mergeCell ref="BY3:BY4"/>
    <mergeCell ref="BZ3:BZ4"/>
    <mergeCell ref="CA3:CA4"/>
    <mergeCell ref="CB3:CB4"/>
    <mergeCell ref="CC3:CC4"/>
    <mergeCell ref="CP3:CP4"/>
    <mergeCell ref="CQ3:CQ4"/>
    <mergeCell ref="CR3:CR4"/>
    <mergeCell ref="CS3:CS4"/>
    <mergeCell ref="CX3:CX4"/>
    <mergeCell ref="CY3:CY4"/>
    <mergeCell ref="CJ3:CJ4"/>
    <mergeCell ref="CK3:CK4"/>
    <mergeCell ref="CL3:CL4"/>
    <mergeCell ref="CM3:CM4"/>
    <mergeCell ref="CN3:CN4"/>
    <mergeCell ref="CO3:CO4"/>
    <mergeCell ref="W60:Z60"/>
    <mergeCell ref="AA60:AD60"/>
    <mergeCell ref="AE60:AH60"/>
    <mergeCell ref="AI60:AL60"/>
    <mergeCell ref="DY3:DY4"/>
    <mergeCell ref="DZ3:DZ4"/>
    <mergeCell ref="A5:A13"/>
    <mergeCell ref="A46:A47"/>
    <mergeCell ref="A48:A58"/>
    <mergeCell ref="A60:A63"/>
    <mergeCell ref="B60:C60"/>
    <mergeCell ref="D60:F60"/>
    <mergeCell ref="G60:J60"/>
    <mergeCell ref="K60:N60"/>
    <mergeCell ref="DR3:DR4"/>
    <mergeCell ref="DS3:DS4"/>
    <mergeCell ref="DT3:DT4"/>
    <mergeCell ref="DU3:DU4"/>
    <mergeCell ref="DV3:DV4"/>
    <mergeCell ref="DX3:DX4"/>
    <mergeCell ref="DL3:DL4"/>
    <mergeCell ref="DM3:DM4"/>
    <mergeCell ref="DN3:DN4"/>
    <mergeCell ref="DO3:DO4"/>
    <mergeCell ref="CL60:CO60"/>
    <mergeCell ref="CP60:CS60"/>
    <mergeCell ref="B61:C61"/>
    <mergeCell ref="D61:F61"/>
    <mergeCell ref="G61:J61"/>
    <mergeCell ref="K61:N61"/>
    <mergeCell ref="O61:R61"/>
    <mergeCell ref="S61:V61"/>
    <mergeCell ref="W61:Z61"/>
    <mergeCell ref="AA61:AD61"/>
    <mergeCell ref="BN60:BQ60"/>
    <mergeCell ref="BR60:BU60"/>
    <mergeCell ref="BV60:BY60"/>
    <mergeCell ref="BZ60:CC60"/>
    <mergeCell ref="CD60:CG60"/>
    <mergeCell ref="CH60:CK60"/>
    <mergeCell ref="AM60:AP60"/>
    <mergeCell ref="AQ60:AT60"/>
    <mergeCell ref="AU60:AX60"/>
    <mergeCell ref="AY60:BB60"/>
    <mergeCell ref="BC60:BF60"/>
    <mergeCell ref="BJ60:BM60"/>
    <mergeCell ref="O60:R60"/>
    <mergeCell ref="S60:V60"/>
    <mergeCell ref="BR61:BU61"/>
    <mergeCell ref="BV61:BY61"/>
    <mergeCell ref="BZ61:CC61"/>
    <mergeCell ref="AE61:AH61"/>
    <mergeCell ref="AI61:AL61"/>
    <mergeCell ref="AM61:AP61"/>
    <mergeCell ref="AQ61:AT61"/>
    <mergeCell ref="AU61:AX61"/>
    <mergeCell ref="AY61:BB61"/>
    <mergeCell ref="B62:C62"/>
    <mergeCell ref="D62:F62"/>
    <mergeCell ref="G62:J62"/>
    <mergeCell ref="K62:N62"/>
    <mergeCell ref="O62:R62"/>
    <mergeCell ref="S62:V62"/>
    <mergeCell ref="BC61:BF61"/>
    <mergeCell ref="BJ61:BM61"/>
    <mergeCell ref="BN61:BQ61"/>
    <mergeCell ref="W62:Z62"/>
    <mergeCell ref="AA62:AD62"/>
    <mergeCell ref="AE62:AH62"/>
    <mergeCell ref="AI62:AL62"/>
    <mergeCell ref="AM62:AP62"/>
    <mergeCell ref="CD61:CG61"/>
    <mergeCell ref="CH61:CK61"/>
    <mergeCell ref="CL61:CO61"/>
    <mergeCell ref="BV62:BY62"/>
    <mergeCell ref="BZ62:CC62"/>
    <mergeCell ref="CD62:CG62"/>
    <mergeCell ref="CH62:CK62"/>
    <mergeCell ref="CL62:CO62"/>
    <mergeCell ref="CP61:CS61"/>
    <mergeCell ref="CP62:CS62"/>
    <mergeCell ref="AU62:AX62"/>
    <mergeCell ref="AY62:BB62"/>
    <mergeCell ref="BC62:BF62"/>
    <mergeCell ref="BJ62:BM62"/>
    <mergeCell ref="BN62:BQ62"/>
    <mergeCell ref="BR62:BU62"/>
    <mergeCell ref="W63:Z63"/>
    <mergeCell ref="AA63:AD63"/>
    <mergeCell ref="AE63:AH63"/>
    <mergeCell ref="AI63:AL63"/>
    <mergeCell ref="AM63:AP63"/>
    <mergeCell ref="AQ63:AT63"/>
    <mergeCell ref="CH63:CK63"/>
    <mergeCell ref="CL63:CO63"/>
    <mergeCell ref="CP63:CS63"/>
    <mergeCell ref="AQ62:AT62"/>
    <mergeCell ref="B63:C63"/>
    <mergeCell ref="D63:F63"/>
    <mergeCell ref="G63:J63"/>
    <mergeCell ref="K63:N63"/>
    <mergeCell ref="O63:R63"/>
    <mergeCell ref="S63:V63"/>
    <mergeCell ref="BV63:BY63"/>
    <mergeCell ref="BZ63:CC63"/>
    <mergeCell ref="CD63:CG63"/>
    <mergeCell ref="AU63:AX63"/>
    <mergeCell ref="AY63:BB63"/>
    <mergeCell ref="BC63:BF63"/>
    <mergeCell ref="BJ63:BM63"/>
    <mergeCell ref="BN63:BQ63"/>
    <mergeCell ref="BR63:BU63"/>
    <mergeCell ref="CT61:CW61"/>
    <mergeCell ref="CT62:CW62"/>
    <mergeCell ref="CT63:CW63"/>
    <mergeCell ref="DW3:DW4"/>
    <mergeCell ref="CT2:CW2"/>
    <mergeCell ref="CT3:CT4"/>
    <mergeCell ref="CU3:CU4"/>
    <mergeCell ref="CV3:CV4"/>
    <mergeCell ref="CW3:CW4"/>
    <mergeCell ref="CT60:CW60"/>
    <mergeCell ref="DP3:DP4"/>
    <mergeCell ref="DQ3:DQ4"/>
    <mergeCell ref="DF3:DF4"/>
    <mergeCell ref="DG3:DG4"/>
    <mergeCell ref="DH3:DH4"/>
    <mergeCell ref="DI3:DI4"/>
    <mergeCell ref="DJ3:DJ4"/>
    <mergeCell ref="DK3:DK4"/>
    <mergeCell ref="CZ3:CZ4"/>
    <mergeCell ref="DA3:DA4"/>
    <mergeCell ref="DB3:DB4"/>
    <mergeCell ref="DC3:DC4"/>
    <mergeCell ref="DD3:DD4"/>
    <mergeCell ref="DE3:DE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59F84-2FCF-4AD2-8704-148A28EBBBA9}">
  <sheetPr>
    <tabColor rgb="FFFFFF00"/>
  </sheetPr>
  <dimension ref="A1:EE426"/>
  <sheetViews>
    <sheetView workbookViewId="0">
      <pane xSplit="3" ySplit="4" topLeftCell="CQ43" activePane="bottomRight" state="frozen"/>
      <selection pane="topRight" activeCell="D1" sqref="D1"/>
      <selection pane="bottomLeft" activeCell="A5" sqref="A5"/>
      <selection pane="bottomRight" activeCell="CX60" sqref="CX60:DA60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13.1796875" bestFit="1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11" width="17.08984375" bestFit="1" customWidth="1"/>
    <col min="12" max="12" width="16.0898437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5.36328125" customWidth="1"/>
    <col min="75" max="75" width="13.6328125" bestFit="1" customWidth="1"/>
    <col min="76" max="77" width="8.81640625" bestFit="1" customWidth="1"/>
    <col min="78" max="78" width="14.6328125" bestFit="1" customWidth="1"/>
    <col min="79" max="79" width="13.6328125" bestFit="1" customWidth="1"/>
    <col min="80" max="81" width="8.81640625" bestFit="1" customWidth="1"/>
    <col min="82" max="82" width="14.6328125" bestFit="1" customWidth="1"/>
    <col min="83" max="83" width="12.08984375" bestFit="1" customWidth="1"/>
    <col min="84" max="85" width="8.81640625" bestFit="1" customWidth="1"/>
    <col min="86" max="86" width="14.6328125" bestFit="1" customWidth="1"/>
    <col min="87" max="87" width="12.08984375" bestFit="1" customWidth="1"/>
    <col min="88" max="89" width="8.81640625" bestFit="1" customWidth="1"/>
    <col min="90" max="90" width="14.6328125" bestFit="1" customWidth="1"/>
    <col min="91" max="91" width="12.08984375" bestFit="1" customWidth="1"/>
    <col min="92" max="93" width="8.81640625" bestFit="1" customWidth="1"/>
    <col min="94" max="94" width="14.6328125" bestFit="1" customWidth="1"/>
    <col min="95" max="95" width="12.08984375" bestFit="1" customWidth="1"/>
    <col min="96" max="97" width="8.81640625" bestFit="1" customWidth="1"/>
    <col min="98" max="98" width="14.6328125" bestFit="1" customWidth="1"/>
    <col min="99" max="99" width="12.08984375" bestFit="1" customWidth="1"/>
    <col min="100" max="101" width="8.81640625" bestFit="1" customWidth="1"/>
    <col min="102" max="102" width="14.6328125" bestFit="1" customWidth="1"/>
    <col min="103" max="103" width="12.08984375" bestFit="1" customWidth="1"/>
    <col min="104" max="105" width="8.81640625" bestFit="1" customWidth="1"/>
    <col min="106" max="113" width="11.1796875" customWidth="1"/>
    <col min="114" max="114" width="11.1796875" bestFit="1" customWidth="1"/>
    <col min="115" max="115" width="13" customWidth="1"/>
    <col min="116" max="116" width="15.453125" customWidth="1"/>
    <col min="119" max="119" width="10.1796875" customWidth="1"/>
  </cols>
  <sheetData>
    <row r="1" spans="1:135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35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587">
        <v>2021</v>
      </c>
      <c r="CI2" s="588"/>
      <c r="CJ2" s="588"/>
      <c r="CK2" s="588"/>
      <c r="CL2" s="587">
        <v>2022</v>
      </c>
      <c r="CM2" s="588"/>
      <c r="CN2" s="588"/>
      <c r="CO2" s="588"/>
      <c r="CP2" s="587">
        <v>2023</v>
      </c>
      <c r="CQ2" s="588"/>
      <c r="CR2" s="588"/>
      <c r="CS2" s="588"/>
      <c r="CT2" s="587">
        <v>2024</v>
      </c>
      <c r="CU2" s="588"/>
      <c r="CV2" s="588"/>
      <c r="CW2" s="588"/>
      <c r="CX2" s="587">
        <v>2025</v>
      </c>
      <c r="CY2" s="588"/>
      <c r="CZ2" s="588"/>
      <c r="DA2" s="588"/>
      <c r="DB2" s="392"/>
      <c r="DC2" s="392"/>
      <c r="DD2" s="392"/>
      <c r="DE2" s="392"/>
      <c r="DF2" s="392"/>
      <c r="DG2" s="392"/>
      <c r="DH2" s="392"/>
      <c r="DI2" s="392"/>
      <c r="DJ2" s="392"/>
      <c r="DK2" s="392"/>
      <c r="DL2" s="392"/>
      <c r="DM2" s="392"/>
      <c r="DN2" s="392"/>
      <c r="DO2" s="392"/>
      <c r="DP2" s="392"/>
      <c r="DQ2" s="392"/>
      <c r="DR2" s="392"/>
      <c r="DS2" s="392"/>
      <c r="DT2" s="392"/>
      <c r="DU2" s="392"/>
      <c r="DV2" s="392"/>
      <c r="DW2" s="392"/>
      <c r="DX2" s="392"/>
      <c r="DY2" s="392"/>
      <c r="DZ2" s="392"/>
      <c r="EA2" s="392"/>
      <c r="EB2" s="392"/>
      <c r="EC2" s="611">
        <v>2025.5</v>
      </c>
      <c r="ED2" s="612"/>
      <c r="EE2" s="613"/>
    </row>
    <row r="3" spans="1:135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490" t="s">
        <v>5</v>
      </c>
      <c r="CI3" s="490" t="s">
        <v>124</v>
      </c>
      <c r="CJ3" s="490" t="s">
        <v>3</v>
      </c>
      <c r="CK3" s="490" t="s">
        <v>93</v>
      </c>
      <c r="CL3" s="490" t="s">
        <v>5</v>
      </c>
      <c r="CM3" s="490" t="s">
        <v>4</v>
      </c>
      <c r="CN3" s="490" t="s">
        <v>3</v>
      </c>
      <c r="CO3" s="490" t="s">
        <v>93</v>
      </c>
      <c r="CP3" s="490" t="s">
        <v>5</v>
      </c>
      <c r="CQ3" s="490" t="s">
        <v>4</v>
      </c>
      <c r="CR3" s="490" t="s">
        <v>3</v>
      </c>
      <c r="CS3" s="490" t="s">
        <v>93</v>
      </c>
      <c r="CT3" s="490" t="s">
        <v>5</v>
      </c>
      <c r="CU3" s="490" t="s">
        <v>4</v>
      </c>
      <c r="CV3" s="490" t="s">
        <v>3</v>
      </c>
      <c r="CW3" s="490" t="s">
        <v>93</v>
      </c>
      <c r="CX3" s="490" t="s">
        <v>5</v>
      </c>
      <c r="CY3" s="490" t="s">
        <v>4</v>
      </c>
      <c r="CZ3" s="490" t="s">
        <v>3</v>
      </c>
      <c r="DA3" s="490" t="s">
        <v>93</v>
      </c>
      <c r="DB3" s="571" t="s">
        <v>63</v>
      </c>
      <c r="DC3" s="571" t="s">
        <v>71</v>
      </c>
      <c r="DD3" s="571" t="s">
        <v>72</v>
      </c>
      <c r="DE3" s="571" t="s">
        <v>73</v>
      </c>
      <c r="DF3" s="571" t="s">
        <v>74</v>
      </c>
      <c r="DG3" s="571" t="s">
        <v>75</v>
      </c>
      <c r="DH3" s="571" t="s">
        <v>62</v>
      </c>
      <c r="DI3" s="571" t="s">
        <v>64</v>
      </c>
      <c r="DJ3" s="571" t="s">
        <v>65</v>
      </c>
      <c r="DK3" s="571" t="s">
        <v>66</v>
      </c>
      <c r="DL3" s="571" t="s">
        <v>67</v>
      </c>
      <c r="DM3" s="571" t="s">
        <v>76</v>
      </c>
      <c r="DN3" s="571" t="s">
        <v>77</v>
      </c>
      <c r="DO3" s="571" t="s">
        <v>78</v>
      </c>
      <c r="DP3" s="571" t="s">
        <v>79</v>
      </c>
      <c r="DQ3" s="571" t="s">
        <v>108</v>
      </c>
      <c r="DR3" s="571" t="s">
        <v>98</v>
      </c>
      <c r="DS3" s="571" t="s">
        <v>99</v>
      </c>
      <c r="DT3" s="571" t="s">
        <v>100</v>
      </c>
      <c r="DU3" s="571" t="s">
        <v>101</v>
      </c>
      <c r="DV3" s="571" t="s">
        <v>117</v>
      </c>
      <c r="DW3" s="571" t="s">
        <v>118</v>
      </c>
      <c r="DX3" s="571" t="s">
        <v>119</v>
      </c>
      <c r="DY3" s="571" t="s">
        <v>134</v>
      </c>
      <c r="DZ3" s="571" t="s">
        <v>135</v>
      </c>
      <c r="EA3" s="571" t="s">
        <v>136</v>
      </c>
      <c r="EB3" s="571" t="s">
        <v>136</v>
      </c>
      <c r="EC3" s="490" t="s">
        <v>56</v>
      </c>
      <c r="ED3" s="490" t="s">
        <v>57</v>
      </c>
      <c r="EE3" s="490" t="s">
        <v>58</v>
      </c>
    </row>
    <row r="4" spans="1:135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491"/>
      <c r="CM4" s="491"/>
      <c r="CN4" s="491"/>
      <c r="CO4" s="491"/>
      <c r="CP4" s="491"/>
      <c r="CQ4" s="491"/>
      <c r="CR4" s="491"/>
      <c r="CS4" s="491"/>
      <c r="CT4" s="491"/>
      <c r="CU4" s="491"/>
      <c r="CV4" s="491"/>
      <c r="CW4" s="491"/>
      <c r="CX4" s="491"/>
      <c r="CY4" s="491"/>
      <c r="CZ4" s="491"/>
      <c r="DA4" s="491"/>
      <c r="DB4" s="572"/>
      <c r="DC4" s="572"/>
      <c r="DD4" s="572"/>
      <c r="DE4" s="572"/>
      <c r="DF4" s="572"/>
      <c r="DG4" s="572"/>
      <c r="DH4" s="572"/>
      <c r="DI4" s="572"/>
      <c r="DJ4" s="572"/>
      <c r="DK4" s="572"/>
      <c r="DL4" s="572"/>
      <c r="DM4" s="572"/>
      <c r="DN4" s="572"/>
      <c r="DO4" s="572"/>
      <c r="DP4" s="572"/>
      <c r="DQ4" s="572"/>
      <c r="DR4" s="572"/>
      <c r="DS4" s="572"/>
      <c r="DT4" s="572"/>
      <c r="DU4" s="572"/>
      <c r="DV4" s="572"/>
      <c r="DW4" s="572"/>
      <c r="DX4" s="572"/>
      <c r="DY4" s="572"/>
      <c r="DZ4" s="572"/>
      <c r="EA4" s="572"/>
      <c r="EB4" s="572"/>
      <c r="EC4" s="491"/>
      <c r="ED4" s="491"/>
      <c r="EE4" s="491"/>
    </row>
    <row r="5" spans="1:135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290">
        <v>461340.9599999999</v>
      </c>
      <c r="CI5" s="290">
        <v>0</v>
      </c>
      <c r="CJ5" s="290"/>
      <c r="CK5" s="290"/>
      <c r="CL5" s="290">
        <v>954542.1</v>
      </c>
      <c r="CM5" s="290"/>
      <c r="CN5" s="290"/>
      <c r="CO5" s="290"/>
      <c r="CP5" s="290">
        <v>323521.71000000002</v>
      </c>
      <c r="CQ5" s="290"/>
      <c r="CR5" s="290"/>
      <c r="CS5" s="290"/>
      <c r="CT5" s="290">
        <v>212819</v>
      </c>
      <c r="CU5" s="290"/>
      <c r="CV5" s="290"/>
      <c r="CW5" s="290"/>
      <c r="CX5" s="430">
        <v>124661</v>
      </c>
      <c r="CY5" s="290">
        <f>IFERROR(IF((CM5+CQ5+CU5)/(CL5+CP5+CT5)&gt;0,((CM5+CQ5+CU5)/(CL5+CP5+CT5))*CX5,0),0)</f>
        <v>0</v>
      </c>
      <c r="CZ5" s="430"/>
      <c r="DA5" s="430"/>
      <c r="DB5" s="321">
        <f t="shared" ref="DB5:DB12" si="0">IF(D5=0,0,2001-(D5-F5)*C5/D5)</f>
        <v>1999.6451111805941</v>
      </c>
      <c r="DC5" s="333">
        <f t="shared" ref="DC5:DC12" si="1">IF((1-($EC$2-$DB5)/$C5)&gt;0,(1-($EC$2-$DB5)/$C5),0)</f>
        <v>0</v>
      </c>
      <c r="DD5" s="333">
        <f t="shared" ref="DD5:DD12" si="2">IF((1-($EC$2-G$2)/$C5)&gt;0,(1-($EC$2-G$2)/$C5),0)</f>
        <v>0</v>
      </c>
      <c r="DE5" s="333">
        <f t="shared" ref="DE5:DE12" si="3">IF((1-($EC$2-K$2)/$C5)&gt;0,(1-($EC$2-K$2)/$C5),0)</f>
        <v>0</v>
      </c>
      <c r="DF5" s="333">
        <f t="shared" ref="DF5:DF12" si="4">IF((1-($EC$2-O$2)/$C5)&gt;0,(1-($EC$2-O$2)/$C5),0)</f>
        <v>0</v>
      </c>
      <c r="DG5" s="333">
        <f t="shared" ref="DG5:DG12" si="5">IF((1-($EC$2-S$2)/$C5)&gt;0,(1-($EC$2-S$2)/$C5),0)</f>
        <v>0</v>
      </c>
      <c r="DH5" s="333">
        <f t="shared" ref="DH5:DH12" si="6">IF((1-($EC$2-W$2)/$C5)&gt;0,(1-($EC$2-W$2)/$C5),0)</f>
        <v>0</v>
      </c>
      <c r="DI5" s="333">
        <f t="shared" ref="DI5:DI12" si="7">IF((1-($EC$2-AA$2)/$C5)&gt;0,(1-($EC$2-AA$2)/$C5),0)</f>
        <v>0</v>
      </c>
      <c r="DJ5" s="333">
        <f t="shared" ref="DJ5:DJ12" si="8">IF((1-($EC$2-AE$2)/$C5)&gt;0,(1-($EC$2-AE$2)/$C5),0)</f>
        <v>0</v>
      </c>
      <c r="DK5" s="333">
        <f t="shared" ref="DK5:DK12" si="9">IF((1-($EC$2-AI$2)/$C5)&gt;0,(1-($EC$2-AI$2)/$C5),0)</f>
        <v>0</v>
      </c>
      <c r="DL5" s="333">
        <f t="shared" ref="DL5:DL12" si="10">IF((1-($EC$2-AM$2)/$C5)&gt;0,(1-($EC$2-AM$2)/$C5),0)</f>
        <v>0</v>
      </c>
      <c r="DM5" s="333">
        <f t="shared" ref="DM5:DM12" si="11">IF((1-($EC$2-AQ$2)/$C5)&gt;0,(1-($EC$2-AQ$2)/$C5),0)</f>
        <v>0</v>
      </c>
      <c r="DN5" s="333">
        <f t="shared" ref="DN5:DN12" si="12">IF((1-($EC$2-AU$2)/$C5)&gt;0,(1-($EC$2-AU$2)/$C5),0)</f>
        <v>0</v>
      </c>
      <c r="DO5" s="333">
        <f t="shared" ref="DO5:DO12" si="13">IF((1-($EC$2-AY$2)/$C5)&gt;0,(1-($EC$2-AY$2)/$C5),0)</f>
        <v>0</v>
      </c>
      <c r="DP5" s="333">
        <f t="shared" ref="DP5:DP12" si="14">IF((1-($EC$2-BC$2)/$C5)&gt;0,(1-($EC$2-BC$2)/$C5),0)</f>
        <v>0</v>
      </c>
      <c r="DQ5" s="333">
        <f t="shared" ref="DQ5:DQ12" si="15">IF(BG5=0,0,1-($EC$2-(2014.5-(BG5-BI5)*C5/BG5))/C5)</f>
        <v>0</v>
      </c>
      <c r="DR5" s="333">
        <f t="shared" ref="DR5:DR12" si="16">IF((1-($EC$2-BJ$2)/$C5)&gt;0,(1-($EC$2-BJ$2)/$C5),0)</f>
        <v>0</v>
      </c>
      <c r="DS5" s="333">
        <f t="shared" ref="DS5:DS12" si="17">IF((1-($EC$2-BN$2)/$C5)&gt;0,(1-($EC$2-BN$2)/$C5),0)</f>
        <v>0</v>
      </c>
      <c r="DT5" s="333">
        <f t="shared" ref="DT5:DT12" si="18">IF((1-($EC$2-BR$2)/$C5)&gt;0,(1-($EC$2-BR$2)/$C5),0)</f>
        <v>0</v>
      </c>
      <c r="DU5" s="333">
        <f t="shared" ref="DU5:DU12" si="19">IF((1-($EC$2-BV$2)/$C5)&gt;0,(1-($EC$2-BV$2)/$C5),0)</f>
        <v>0</v>
      </c>
      <c r="DV5" s="333">
        <f t="shared" ref="DV5:DV12" si="20">IF((1-($EC$2-BZ$2)/$C5)&gt;0,(1-($EC$2-BZ$2)/$C5),0)</f>
        <v>0</v>
      </c>
      <c r="DW5" s="333">
        <f t="shared" ref="DW5:DW12" si="21">IF((1-($EC$2-CD$2)/$C5)&gt;0,(1-($EC$2-CD$2)/$C5),0)</f>
        <v>0</v>
      </c>
      <c r="DX5" s="333">
        <f t="shared" ref="DX5:DX12" si="22">IF((1-($EC$2-CH$2)/$C5)&gt;0,(1-($EC$2-CH$2)/$C5),0)</f>
        <v>0</v>
      </c>
      <c r="DY5" s="333">
        <f>IF((1-($EC$2-CL$2)/$C5)&gt;0,(1-($EC$2-CL$2)/$C5),0)</f>
        <v>0.125</v>
      </c>
      <c r="DZ5" s="333">
        <f>IF((1-($EC$2-CP$2)/$C5)&gt;0,(1-($EC$2-CP$2)/$C5),0)</f>
        <v>0.375</v>
      </c>
      <c r="EA5" s="333">
        <f>IF((1-($EC$2-CT$2)/$C5)&gt;0,(1-($EC$2-CT$2)/$C5),0)</f>
        <v>0.625</v>
      </c>
      <c r="EB5" s="333">
        <f>IF((1-($EC$2-CX$2)/$C5)&gt;0,(1-($EC$2-CX$2)/$C5),0)</f>
        <v>0.875</v>
      </c>
      <c r="EC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+(CH5-CI5-CJ5)*$CH$60+(CL5-CM5-CN5)*$CL$60+(CP5-CQ5-CR5)*$CP$60+(CT5-CU5-CV5)*$CT$60+(CX5-CY5-CZ5)*$CX$60</f>
        <v>11204813.489541091</v>
      </c>
      <c r="ED5" s="334">
        <f>IF(DC5=0,D5-E5,0)+IF(DD5=0,(G5-H5-I5)*G$60,0)+IF(DE5=0,(K5-L5-M5)*K$60,0)+IF(DF5=0,(O5-P5-Q5)*O$60,0)+IF(DG5=0,(S5-T5-U5)*S$60,0)+IF(DH5=0,(W5-X5-Y5)*W$60,0)+IF(DI5=0,(AA5-AB5-AC5)*AA$60,0)+IF(DJ5=0,(AE5-AF5-AG5)*AE$60,0)+IF(DK5=0,(AI5-AJ5-AK5)*AI$60,0)+IF(DL5=0,(AM5-AN5-AO5)*AM$60,0)+IF(DM5=0,(AQ5-AR5-AS5)*$AQ$60,0)+IF(DN5=0,(AU5-AV5-AW5)*$AU$60,0)+IF(DO5=0,(AY5-AZ5-BA5)*$AY$60,0)++IF(DP5=0,(BC5-BD5-BE5)*$BC$60,0)+IF(DQ5=0,BG5,0)+IF(DR5=0,(BJ5-BK5-BL5)*$BJ$60,0)+IF(DS5=0,(BN5-BO5-BP5)*$BN$60,0)+IF(DT5=0,(BR5-BS5-BT5)*$BR$60,0)+IF(DU5=0,(BV5-BW5-BX5)*$BV$60,0)+IF(DV5=0,(BZ5-CA5-CB5)*$BZ$60,0)+IF(DW5=0,(CD5-CE5-CF5)*$CD$60,0)+IF(DX5=0,(CH5-CI5-CJ5)*$CH$60,0)+IF(DY5=0,(CL5-CM5-CN5)*$CL$60,0)+IF(DZ5=0,(CP5-CQ5-CR5)*$CP$60,0)+IF(EA5=0,(CT5-CU5-CV5)*$CT$60,0)+IF(EB5=0,(CX5-CY5-CZ5)*$CX$60,0)</f>
        <v>9750824.0605410896</v>
      </c>
      <c r="EE5" s="334">
        <f>(D5-E5)*DC5+((G5-H5-(I5-J5))*G$60)*DD5+((K5-L5-(M5-N5))*K$60)*DE5+((O5-P5-(Q5-R5))*O$60)*DF5+((S5-T5-(U5-V5))*S$60)*DG5+((W5-X5-(Y5-Z5))*W$60)*DH5+((AA5-AB5-(AC5-AD5))*AA$60)*DI5+((AE5-AF5-(AG5-AH5))*AE$60)*DJ5+((AI5-AJ5-(AK5-AL5))*AI$60)*DK5+((AM5-AN5-(AO5-AP5))*$AM$60)*DL5+((AQ5-AR5-(AS5-AT5))*$AQ$60)*DM5+((AU5-AV5-(AW5-AX5))*$AU$60)*DN5+((AY5-AZ5-(BA5-BB5))*$AY$60)*DO5+((BC5-BD5-(BE5-BF5))*$BC$60)*DP5+((BJ5-BK5-(BL5-BM5))*$BJ$60)*DR5+(BG5-BH5)*DQ5+((BN5-BO5-(BP5-BQ5))*$BN$60)*DS5+((BR5-BS5-(BT5-BU5))*$BR$60)*DT5+((BV5-BW5-(BX5-BY5))*$BV$60)*DU5+((BZ5-CA5-(CB5-CC5))*$BZ$60)*DV5+((CD5-CE5-(CF5-CG5))*$CD$60)*DW5+((CH5-CI5-(CJ5-CK5))*$CH$60*DX5)+((CL5-CM5-(CN5-CO5))*$CL$60*DY5)+((CP5-CQ5-(CR5-CS5))*$CP$60*DZ5)+((CT5-CU5-(CV5-CW5))*$CT$60*EA5)+((CX5-CY5-(CZ5-CAA5))*$CX$60*EA5)</f>
        <v>406407.06337500003</v>
      </c>
    </row>
    <row r="6" spans="1:135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290">
        <v>0</v>
      </c>
      <c r="CI6" s="290">
        <v>0</v>
      </c>
      <c r="CJ6" s="290"/>
      <c r="CK6" s="290"/>
      <c r="CL6" s="290">
        <v>0</v>
      </c>
      <c r="CM6" s="290"/>
      <c r="CN6" s="290"/>
      <c r="CO6" s="290"/>
      <c r="CP6" s="290">
        <v>0</v>
      </c>
      <c r="CQ6" s="290"/>
      <c r="CR6" s="290"/>
      <c r="CS6" s="290"/>
      <c r="CT6" s="290">
        <v>0</v>
      </c>
      <c r="CU6" s="290"/>
      <c r="CV6" s="290"/>
      <c r="CW6" s="290"/>
      <c r="CX6" s="430">
        <v>0</v>
      </c>
      <c r="CY6" s="430">
        <f t="shared" ref="CY6:CY12" si="23">IFERROR(IF((CM6+CQ6+CU6)/(CL6+CP6+CT6)&gt;0,((CM6+CQ6+CU6)/(CL6+CP6+CT6))*CX6,0),0)</f>
        <v>0</v>
      </c>
      <c r="CZ6" s="430"/>
      <c r="DA6" s="430"/>
      <c r="DB6" s="321">
        <f t="shared" si="0"/>
        <v>2001</v>
      </c>
      <c r="DC6" s="333">
        <f t="shared" si="1"/>
        <v>0.97550000000000003</v>
      </c>
      <c r="DD6" s="333">
        <f t="shared" si="2"/>
        <v>0.97650000000000003</v>
      </c>
      <c r="DE6" s="333">
        <f t="shared" si="3"/>
        <v>0.97750000000000004</v>
      </c>
      <c r="DF6" s="333">
        <f t="shared" si="4"/>
        <v>0.97850000000000004</v>
      </c>
      <c r="DG6" s="333">
        <f t="shared" si="5"/>
        <v>0.97950000000000004</v>
      </c>
      <c r="DH6" s="333">
        <f t="shared" si="6"/>
        <v>0.98050000000000004</v>
      </c>
      <c r="DI6" s="333">
        <f t="shared" si="7"/>
        <v>0.98150000000000004</v>
      </c>
      <c r="DJ6" s="333">
        <f t="shared" si="8"/>
        <v>0.98250000000000004</v>
      </c>
      <c r="DK6" s="333">
        <f t="shared" si="9"/>
        <v>0.98350000000000004</v>
      </c>
      <c r="DL6" s="333">
        <f t="shared" si="10"/>
        <v>0.98450000000000004</v>
      </c>
      <c r="DM6" s="333">
        <f t="shared" si="11"/>
        <v>0.98550000000000004</v>
      </c>
      <c r="DN6" s="333">
        <f t="shared" si="12"/>
        <v>0.98650000000000004</v>
      </c>
      <c r="DO6" s="333">
        <f t="shared" si="13"/>
        <v>0.98750000000000004</v>
      </c>
      <c r="DP6" s="333">
        <f t="shared" si="14"/>
        <v>0.98850000000000005</v>
      </c>
      <c r="DQ6" s="333">
        <f t="shared" si="15"/>
        <v>0.98899999999999999</v>
      </c>
      <c r="DR6" s="333">
        <f t="shared" si="16"/>
        <v>0.98950000000000005</v>
      </c>
      <c r="DS6" s="333">
        <f t="shared" si="17"/>
        <v>0.99050000000000005</v>
      </c>
      <c r="DT6" s="333">
        <f t="shared" si="18"/>
        <v>0.99150000000000005</v>
      </c>
      <c r="DU6" s="333">
        <f t="shared" si="19"/>
        <v>0.99250000000000005</v>
      </c>
      <c r="DV6" s="333">
        <f t="shared" si="20"/>
        <v>0.99350000000000005</v>
      </c>
      <c r="DW6" s="333">
        <f t="shared" si="21"/>
        <v>0.99450000000000005</v>
      </c>
      <c r="DX6" s="333">
        <f t="shared" si="22"/>
        <v>0.99550000000000005</v>
      </c>
      <c r="DY6" s="333">
        <f t="shared" ref="DY6:DY12" si="24">IF((1-($EC$2-CL$2)/$C6)&gt;0,(1-($EC$2-CL$2)/$C6),0)</f>
        <v>0.99650000000000005</v>
      </c>
      <c r="DZ6" s="333">
        <f t="shared" ref="DZ6:DZ12" si="25">IF((1-($EC$2-CP$2)/$C6)&gt;0,(1-($EC$2-CP$2)/$C6),0)</f>
        <v>0.99750000000000005</v>
      </c>
      <c r="EA6" s="333">
        <f t="shared" ref="EA6:EA12" si="26">IF((1-($EC$2-CT$2)/$C6)&gt;0,(1-($EC$2-CT$2)/$C6),0)</f>
        <v>0.99850000000000005</v>
      </c>
      <c r="EB6" s="333">
        <f t="shared" ref="EB6:EB12" si="27">IF((1-($EC$2-CX$2)/$C6)&gt;0,(1-($EC$2-CX$2)/$C6),0)</f>
        <v>0.99950000000000006</v>
      </c>
      <c r="EC6" s="334">
        <f t="shared" ref="EC6:EC12" si="28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+(CH6-CI6-CJ6)*$CH$60+(CL6-CM6-CN6)*$CL$60+(CP6-CQ6-CR6)*$CP$60+(CT6-CU6-CV6)*$CT$60+(CX6-CY6-CZ6)*$CX$60</f>
        <v>1314125.0854951243</v>
      </c>
      <c r="ED6" s="334">
        <f t="shared" ref="ED6:ED12" si="29">IF(DC6=0,D6-E6,0)+IF(DD6=0,(G6-H6-I6)*G$60,0)+IF(DE6=0,(K6-L6-M6)*K$60,0)+IF(DF6=0,(O6-P6-Q6)*O$60,0)+IF(DG6=0,(S6-T6-U6)*S$60,0)+IF(DH6=0,(W6-X6-Y6)*W$60,0)+IF(DI6=0,(AA6-AB6-AC6)*AA$60,0)+IF(DJ6=0,(AE6-AF6-AG6)*AE$60,0)+IF(DK6=0,(AI6-AJ6-AK6)*AI$60,0)+IF(DL6=0,(AM6-AN6-AO6)*AM$60,0)+IF(DM6=0,(AQ6-AR6-AS6)*$AQ$60,0)+IF(DN6=0,(AU6-AV6-AW6)*$AU$60,0)+IF(DO6=0,(AY6-AZ6-BA6)*$AY$60,0)++IF(DP6=0,(BC6-BD6-BE6)*$BC$60,0)+IF(DQ6=0,BG6,0)+IF(DR6=0,(BJ6-BK6-BL6)*$BJ$60,0)+IF(DS6=0,(BN6-BO6-BP6)*$BN$60,0)+IF(DT6=0,(BR6-BS6-BT6)*$BR$60,0)+IF(DU6=0,(BV6-BW6-BX6)*$BV$60,0)+IF(DV6=0,(BZ6-CA6-CB6)*$BZ$60,0)+IF(DW6=0,(CD6-CE6-CF6)*$CD$60,0)+IF(DX6=0,(CH6-CI6-CJ6)*$CH$60,0)+IF(DY6=0,(CL6-CM6-CN6)*$CL$60,0)+IF(DZ6=0,(CP6-CQ6-CR6)*$CP$60,0)+IF(EA6=0,(CT6-CU6-CV6)*$CT$60,0)+IF(EB6=0,(CX6-CY6-CZ6)*$CX$60,0)</f>
        <v>0</v>
      </c>
      <c r="EE6" s="334">
        <f t="shared" ref="EE6:EE12" si="30">(D6-E6)*DC6+((G6-H6-(I6-J6))*G$60)*DD6+((K6-L6-(M6-N6))*K$60)*DE6+((O6-P6-(Q6-R6))*O$60)*DF6+((S6-T6-(U6-V6))*S$60)*DG6+((W6-X6-(Y6-Z6))*W$60)*DH6+((AA6-AB6-(AC6-AD6))*AA$60)*DI6+((AE6-AF6-(AG6-AH6))*AE$60)*DJ6+((AI6-AJ6-(AK6-AL6))*AI$60)*DK6+((AM6-AN6-(AO6-AP6))*$AM$60)*DL6+((AQ6-AR6-(AS6-AT6))*$AQ$60)*DM6+((AU6-AV6-(AW6-AX6))*$AU$60)*DN6+((AY6-AZ6-(BA6-BB6))*$AY$60)*DO6+((BC6-BD6-(BE6-BF6))*$BC$60)*DP6+((BJ6-BK6-(BL6-BM6))*$BJ$60)*DR6+(BG6-BH6)*DQ6+((BN6-BO6-(BP6-BQ6))*$BN$60)*DS6+((BR6-BS6-(BT6-BU6))*$BR$60)*DT6+((BV6-BW6-(BX6-BY6))*$BV$60)*DU6+((BZ6-CA6-(CB6-CC6))*$BZ$60)*DV6+((CD6-CE6-(CF6-CG6))*$CD$60)*DW6+((CH6-CI6-(CJ6-CK6))*$CH$60*DX6)+((CL6-CM6-(CN6-CO6))*$CL$60*DY6)+((CP6-CQ6-(CR6-CS6))*$CP$60*DZ6)+((CT6-CU6-(CV6-CW6))*$CT$60*EA6)+((CX6-CY6-(CZ6-CAA6))*$CX$60*EA6)</f>
        <v>1298956.8752148498</v>
      </c>
    </row>
    <row r="7" spans="1:135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290">
        <v>224894.88999999998</v>
      </c>
      <c r="CI7" s="290">
        <v>0</v>
      </c>
      <c r="CJ7" s="290"/>
      <c r="CK7" s="290"/>
      <c r="CL7" s="290">
        <v>102170.87</v>
      </c>
      <c r="CM7" s="290"/>
      <c r="CN7" s="290"/>
      <c r="CO7" s="290"/>
      <c r="CP7" s="290">
        <v>24833</v>
      </c>
      <c r="CQ7" s="290"/>
      <c r="CR7" s="290"/>
      <c r="CS7" s="290"/>
      <c r="CT7" s="290">
        <v>130007</v>
      </c>
      <c r="CU7" s="290"/>
      <c r="CV7" s="290"/>
      <c r="CW7" s="290"/>
      <c r="CX7" s="430">
        <v>64918.770000000004</v>
      </c>
      <c r="CY7" s="430">
        <f t="shared" si="23"/>
        <v>0</v>
      </c>
      <c r="CZ7" s="430"/>
      <c r="DA7" s="430"/>
      <c r="DB7" s="321">
        <f t="shared" si="0"/>
        <v>1985.8657049273502</v>
      </c>
      <c r="DC7" s="333">
        <f t="shared" si="1"/>
        <v>9.1426231837544725E-3</v>
      </c>
      <c r="DD7" s="333">
        <f t="shared" si="2"/>
        <v>0.41249999999999998</v>
      </c>
      <c r="DE7" s="333">
        <f t="shared" si="3"/>
        <v>0.4375</v>
      </c>
      <c r="DF7" s="333">
        <f t="shared" si="4"/>
        <v>0.46250000000000002</v>
      </c>
      <c r="DG7" s="333">
        <f t="shared" si="5"/>
        <v>0.48750000000000004</v>
      </c>
      <c r="DH7" s="333">
        <f t="shared" si="6"/>
        <v>0.51249999999999996</v>
      </c>
      <c r="DI7" s="333">
        <f t="shared" si="7"/>
        <v>0.53749999999999998</v>
      </c>
      <c r="DJ7" s="333">
        <f t="shared" si="8"/>
        <v>0.5625</v>
      </c>
      <c r="DK7" s="333">
        <f t="shared" si="9"/>
        <v>0.58750000000000002</v>
      </c>
      <c r="DL7" s="333">
        <f t="shared" si="10"/>
        <v>0.61250000000000004</v>
      </c>
      <c r="DM7" s="333">
        <f t="shared" si="11"/>
        <v>0.63749999999999996</v>
      </c>
      <c r="DN7" s="333">
        <f t="shared" si="12"/>
        <v>0.66249999999999998</v>
      </c>
      <c r="DO7" s="333">
        <f t="shared" si="13"/>
        <v>0.6875</v>
      </c>
      <c r="DP7" s="333">
        <f t="shared" si="14"/>
        <v>0.71250000000000002</v>
      </c>
      <c r="DQ7" s="333">
        <f t="shared" si="15"/>
        <v>0.72499999999999998</v>
      </c>
      <c r="DR7" s="333">
        <f t="shared" si="16"/>
        <v>0.73750000000000004</v>
      </c>
      <c r="DS7" s="333">
        <f t="shared" si="17"/>
        <v>0.76249999999999996</v>
      </c>
      <c r="DT7" s="333">
        <f t="shared" si="18"/>
        <v>0.78749999999999998</v>
      </c>
      <c r="DU7" s="333">
        <f t="shared" si="19"/>
        <v>0.8125</v>
      </c>
      <c r="DV7" s="333">
        <f t="shared" si="20"/>
        <v>0.83750000000000002</v>
      </c>
      <c r="DW7" s="333">
        <f t="shared" si="21"/>
        <v>0.86250000000000004</v>
      </c>
      <c r="DX7" s="333">
        <f t="shared" si="22"/>
        <v>0.88749999999999996</v>
      </c>
      <c r="DY7" s="333">
        <f t="shared" si="24"/>
        <v>0.91249999999999998</v>
      </c>
      <c r="DZ7" s="333">
        <f t="shared" si="25"/>
        <v>0.9375</v>
      </c>
      <c r="EA7" s="333">
        <f t="shared" si="26"/>
        <v>0.96250000000000002</v>
      </c>
      <c r="EB7" s="333">
        <f t="shared" si="27"/>
        <v>0.98750000000000004</v>
      </c>
      <c r="EC7" s="334">
        <f t="shared" si="28"/>
        <v>2151003.1759245098</v>
      </c>
      <c r="ED7" s="334">
        <f t="shared" si="29"/>
        <v>0</v>
      </c>
      <c r="EE7" s="334">
        <f t="shared" si="30"/>
        <v>819039.62343819579</v>
      </c>
    </row>
    <row r="8" spans="1:135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290">
        <v>3954.7</v>
      </c>
      <c r="CI8" s="290">
        <v>0</v>
      </c>
      <c r="CJ8" s="290"/>
      <c r="CK8" s="290"/>
      <c r="CL8" s="290">
        <v>0</v>
      </c>
      <c r="CM8" s="290"/>
      <c r="CN8" s="290"/>
      <c r="CO8" s="290"/>
      <c r="CP8" s="290">
        <v>0</v>
      </c>
      <c r="CQ8" s="290"/>
      <c r="CR8" s="290"/>
      <c r="CS8" s="290"/>
      <c r="CT8" s="290">
        <v>0</v>
      </c>
      <c r="CU8" s="290"/>
      <c r="CV8" s="290"/>
      <c r="CW8" s="290"/>
      <c r="CX8" s="430">
        <v>2550.25</v>
      </c>
      <c r="CY8" s="430">
        <f t="shared" si="23"/>
        <v>0</v>
      </c>
      <c r="CZ8" s="430"/>
      <c r="DA8" s="430"/>
      <c r="DB8" s="321">
        <f t="shared" si="0"/>
        <v>1994.501126969511</v>
      </c>
      <c r="DC8" s="333">
        <f t="shared" si="1"/>
        <v>0</v>
      </c>
      <c r="DD8" s="333">
        <f t="shared" si="2"/>
        <v>0</v>
      </c>
      <c r="DE8" s="333">
        <f t="shared" si="3"/>
        <v>0</v>
      </c>
      <c r="DF8" s="333">
        <f t="shared" si="4"/>
        <v>0</v>
      </c>
      <c r="DG8" s="333">
        <f t="shared" si="5"/>
        <v>0</v>
      </c>
      <c r="DH8" s="333">
        <f t="shared" si="6"/>
        <v>0</v>
      </c>
      <c r="DI8" s="333">
        <f t="shared" si="7"/>
        <v>0</v>
      </c>
      <c r="DJ8" s="333">
        <f t="shared" si="8"/>
        <v>0</v>
      </c>
      <c r="DK8" s="333">
        <f t="shared" si="9"/>
        <v>0</v>
      </c>
      <c r="DL8" s="333">
        <f t="shared" si="10"/>
        <v>0</v>
      </c>
      <c r="DM8" s="333">
        <f t="shared" si="11"/>
        <v>0</v>
      </c>
      <c r="DN8" s="333">
        <f t="shared" si="12"/>
        <v>0</v>
      </c>
      <c r="DO8" s="333">
        <f t="shared" si="13"/>
        <v>0</v>
      </c>
      <c r="DP8" s="333">
        <f t="shared" si="14"/>
        <v>0</v>
      </c>
      <c r="DQ8" s="333">
        <f t="shared" si="15"/>
        <v>0</v>
      </c>
      <c r="DR8" s="333">
        <f t="shared" si="16"/>
        <v>0</v>
      </c>
      <c r="DS8" s="333">
        <f t="shared" si="17"/>
        <v>0</v>
      </c>
      <c r="DT8" s="333">
        <f t="shared" si="18"/>
        <v>0</v>
      </c>
      <c r="DU8" s="333">
        <f t="shared" si="19"/>
        <v>0</v>
      </c>
      <c r="DV8" s="333">
        <f t="shared" si="20"/>
        <v>7.1428571428571397E-2</v>
      </c>
      <c r="DW8" s="333">
        <f t="shared" si="21"/>
        <v>0.2142857142857143</v>
      </c>
      <c r="DX8" s="333">
        <f t="shared" si="22"/>
        <v>0.3571428571428571</v>
      </c>
      <c r="DY8" s="333">
        <f t="shared" si="24"/>
        <v>0.5</v>
      </c>
      <c r="DZ8" s="333">
        <f t="shared" si="25"/>
        <v>0.64285714285714279</v>
      </c>
      <c r="EA8" s="333">
        <f t="shared" si="26"/>
        <v>0.7857142857142857</v>
      </c>
      <c r="EB8" s="333">
        <f t="shared" si="27"/>
        <v>0.9285714285714286</v>
      </c>
      <c r="EC8" s="334">
        <f t="shared" si="28"/>
        <v>1058377.695294834</v>
      </c>
      <c r="ED8" s="334">
        <f t="shared" si="29"/>
        <v>1044291.8698791814</v>
      </c>
      <c r="EE8" s="334">
        <f t="shared" si="30"/>
        <v>3652.3315055901858</v>
      </c>
    </row>
    <row r="9" spans="1:135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290">
        <v>150207.26999999999</v>
      </c>
      <c r="CI9" s="290">
        <v>0</v>
      </c>
      <c r="CJ9" s="290"/>
      <c r="CK9" s="290"/>
      <c r="CL9" s="290">
        <v>196952.84</v>
      </c>
      <c r="CM9" s="290"/>
      <c r="CN9" s="290"/>
      <c r="CO9" s="290"/>
      <c r="CP9" s="290">
        <v>695929</v>
      </c>
      <c r="CQ9" s="290"/>
      <c r="CR9" s="290"/>
      <c r="CS9" s="290"/>
      <c r="CT9" s="290">
        <v>372310</v>
      </c>
      <c r="CU9" s="290"/>
      <c r="CV9" s="290"/>
      <c r="CW9" s="290"/>
      <c r="CX9" s="430">
        <v>1199453</v>
      </c>
      <c r="CY9" s="430">
        <f t="shared" si="23"/>
        <v>0</v>
      </c>
      <c r="CZ9" s="430"/>
      <c r="DA9" s="430"/>
      <c r="DB9" s="321">
        <f t="shared" si="0"/>
        <v>1997.9397485452369</v>
      </c>
      <c r="DC9" s="333">
        <f t="shared" si="1"/>
        <v>0</v>
      </c>
      <c r="DD9" s="333">
        <f t="shared" si="2"/>
        <v>0</v>
      </c>
      <c r="DE9" s="333">
        <f t="shared" si="3"/>
        <v>0</v>
      </c>
      <c r="DF9" s="333">
        <f t="shared" si="4"/>
        <v>0</v>
      </c>
      <c r="DG9" s="333">
        <f t="shared" si="5"/>
        <v>0</v>
      </c>
      <c r="DH9" s="333">
        <f t="shared" si="6"/>
        <v>0</v>
      </c>
      <c r="DI9" s="333">
        <f t="shared" si="7"/>
        <v>0</v>
      </c>
      <c r="DJ9" s="333">
        <f t="shared" si="8"/>
        <v>0</v>
      </c>
      <c r="DK9" s="333">
        <f t="shared" si="9"/>
        <v>0</v>
      </c>
      <c r="DL9" s="333">
        <f t="shared" si="10"/>
        <v>0</v>
      </c>
      <c r="DM9" s="333">
        <f t="shared" si="11"/>
        <v>0</v>
      </c>
      <c r="DN9" s="333">
        <f t="shared" si="12"/>
        <v>0</v>
      </c>
      <c r="DO9" s="333">
        <f t="shared" si="13"/>
        <v>0</v>
      </c>
      <c r="DP9" s="333">
        <f t="shared" si="14"/>
        <v>0</v>
      </c>
      <c r="DQ9" s="333">
        <f t="shared" si="15"/>
        <v>0</v>
      </c>
      <c r="DR9" s="333">
        <f t="shared" si="16"/>
        <v>0</v>
      </c>
      <c r="DS9" s="333">
        <f t="shared" si="17"/>
        <v>0</v>
      </c>
      <c r="DT9" s="333">
        <f t="shared" si="18"/>
        <v>0</v>
      </c>
      <c r="DU9" s="333">
        <f t="shared" si="19"/>
        <v>0</v>
      </c>
      <c r="DV9" s="333">
        <f t="shared" si="20"/>
        <v>0</v>
      </c>
      <c r="DW9" s="333">
        <f t="shared" si="21"/>
        <v>0</v>
      </c>
      <c r="DX9" s="333">
        <f t="shared" si="22"/>
        <v>0</v>
      </c>
      <c r="DY9" s="333">
        <f t="shared" si="24"/>
        <v>0.125</v>
      </c>
      <c r="DZ9" s="333">
        <f t="shared" si="25"/>
        <v>0.375</v>
      </c>
      <c r="EA9" s="333">
        <f t="shared" si="26"/>
        <v>0.625</v>
      </c>
      <c r="EB9" s="333">
        <f t="shared" si="27"/>
        <v>0.875</v>
      </c>
      <c r="EC9" s="334">
        <f t="shared" si="28"/>
        <v>4538764.6993069658</v>
      </c>
      <c r="ED9" s="334">
        <f t="shared" si="29"/>
        <v>2320584.3433069661</v>
      </c>
      <c r="EE9" s="334">
        <f t="shared" si="30"/>
        <v>1141149.9194999998</v>
      </c>
    </row>
    <row r="10" spans="1:135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290">
        <v>0</v>
      </c>
      <c r="CI10" s="290">
        <v>0</v>
      </c>
      <c r="CJ10" s="290"/>
      <c r="CK10" s="290"/>
      <c r="CL10" s="290">
        <v>0</v>
      </c>
      <c r="CM10" s="290"/>
      <c r="CN10" s="290"/>
      <c r="CO10" s="290"/>
      <c r="CP10" s="290">
        <v>0</v>
      </c>
      <c r="CQ10" s="290"/>
      <c r="CR10" s="290"/>
      <c r="CS10" s="290"/>
      <c r="CT10" s="290">
        <v>0</v>
      </c>
      <c r="CU10" s="290"/>
      <c r="CV10" s="290"/>
      <c r="CW10" s="290"/>
      <c r="CX10" s="430">
        <v>0</v>
      </c>
      <c r="CY10" s="430">
        <f t="shared" si="23"/>
        <v>0</v>
      </c>
      <c r="CZ10" s="430"/>
      <c r="DA10" s="430"/>
      <c r="DB10" s="321">
        <f t="shared" si="0"/>
        <v>1996.8815287911268</v>
      </c>
      <c r="DC10" s="333">
        <f t="shared" si="1"/>
        <v>0</v>
      </c>
      <c r="DD10" s="333">
        <f t="shared" si="2"/>
        <v>0</v>
      </c>
      <c r="DE10" s="333">
        <f t="shared" si="3"/>
        <v>0</v>
      </c>
      <c r="DF10" s="333">
        <f t="shared" si="4"/>
        <v>0</v>
      </c>
      <c r="DG10" s="333">
        <f t="shared" si="5"/>
        <v>0</v>
      </c>
      <c r="DH10" s="333">
        <f t="shared" si="6"/>
        <v>0</v>
      </c>
      <c r="DI10" s="333">
        <f t="shared" si="7"/>
        <v>0</v>
      </c>
      <c r="DJ10" s="333">
        <f t="shared" si="8"/>
        <v>0</v>
      </c>
      <c r="DK10" s="333">
        <f t="shared" si="9"/>
        <v>0</v>
      </c>
      <c r="DL10" s="333">
        <f t="shared" si="10"/>
        <v>0</v>
      </c>
      <c r="DM10" s="333">
        <f t="shared" si="11"/>
        <v>0</v>
      </c>
      <c r="DN10" s="333">
        <f t="shared" si="12"/>
        <v>0</v>
      </c>
      <c r="DO10" s="333">
        <f t="shared" si="13"/>
        <v>0</v>
      </c>
      <c r="DP10" s="333">
        <f t="shared" si="14"/>
        <v>0</v>
      </c>
      <c r="DQ10" s="333">
        <f t="shared" si="15"/>
        <v>0</v>
      </c>
      <c r="DR10" s="333">
        <f t="shared" si="16"/>
        <v>0</v>
      </c>
      <c r="DS10" s="333">
        <f t="shared" si="17"/>
        <v>0</v>
      </c>
      <c r="DT10" s="333">
        <f t="shared" si="18"/>
        <v>0</v>
      </c>
      <c r="DU10" s="333">
        <f t="shared" si="19"/>
        <v>0</v>
      </c>
      <c r="DV10" s="333">
        <f t="shared" si="20"/>
        <v>0</v>
      </c>
      <c r="DW10" s="333">
        <f t="shared" si="21"/>
        <v>0</v>
      </c>
      <c r="DX10" s="333">
        <f t="shared" si="22"/>
        <v>9.9999999999999978E-2</v>
      </c>
      <c r="DY10" s="333">
        <f t="shared" si="24"/>
        <v>0.30000000000000004</v>
      </c>
      <c r="DZ10" s="333">
        <f t="shared" si="25"/>
        <v>0.5</v>
      </c>
      <c r="EA10" s="333">
        <f t="shared" si="26"/>
        <v>0.7</v>
      </c>
      <c r="EB10" s="333">
        <f t="shared" si="27"/>
        <v>0.9</v>
      </c>
      <c r="EC10" s="334">
        <f t="shared" si="28"/>
        <v>2106488.1793448166</v>
      </c>
      <c r="ED10" s="334">
        <f t="shared" si="29"/>
        <v>2106488.1793448166</v>
      </c>
      <c r="EE10" s="334">
        <f t="shared" si="30"/>
        <v>0</v>
      </c>
    </row>
    <row r="11" spans="1:135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290">
        <v>0</v>
      </c>
      <c r="CI11" s="290">
        <v>0</v>
      </c>
      <c r="CJ11" s="290"/>
      <c r="CK11" s="290"/>
      <c r="CL11" s="290">
        <v>0</v>
      </c>
      <c r="CM11" s="290"/>
      <c r="CN11" s="290"/>
      <c r="CO11" s="290"/>
      <c r="CP11" s="290">
        <v>0</v>
      </c>
      <c r="CQ11" s="290"/>
      <c r="CR11" s="290"/>
      <c r="CS11" s="290"/>
      <c r="CT11" s="290">
        <v>0</v>
      </c>
      <c r="CU11" s="290"/>
      <c r="CV11" s="290"/>
      <c r="CW11" s="290"/>
      <c r="CX11" s="430">
        <v>0</v>
      </c>
      <c r="CY11" s="430">
        <f t="shared" si="23"/>
        <v>0</v>
      </c>
      <c r="CZ11" s="430"/>
      <c r="DA11" s="430"/>
      <c r="DB11" s="321">
        <f t="shared" si="0"/>
        <v>0</v>
      </c>
      <c r="DC11" s="333">
        <f t="shared" si="1"/>
        <v>0</v>
      </c>
      <c r="DD11" s="333">
        <f t="shared" si="2"/>
        <v>0</v>
      </c>
      <c r="DE11" s="333">
        <f t="shared" si="3"/>
        <v>0</v>
      </c>
      <c r="DF11" s="333">
        <f t="shared" si="4"/>
        <v>0</v>
      </c>
      <c r="DG11" s="333">
        <f t="shared" si="5"/>
        <v>0</v>
      </c>
      <c r="DH11" s="333">
        <f t="shared" si="6"/>
        <v>0</v>
      </c>
      <c r="DI11" s="333">
        <f t="shared" si="7"/>
        <v>0</v>
      </c>
      <c r="DJ11" s="333">
        <f t="shared" si="8"/>
        <v>0</v>
      </c>
      <c r="DK11" s="333">
        <f t="shared" si="9"/>
        <v>0</v>
      </c>
      <c r="DL11" s="333">
        <f t="shared" si="10"/>
        <v>0</v>
      </c>
      <c r="DM11" s="333">
        <f t="shared" si="11"/>
        <v>0</v>
      </c>
      <c r="DN11" s="333">
        <f t="shared" si="12"/>
        <v>0</v>
      </c>
      <c r="DO11" s="333">
        <f t="shared" si="13"/>
        <v>0</v>
      </c>
      <c r="DP11" s="333">
        <f t="shared" si="14"/>
        <v>0</v>
      </c>
      <c r="DQ11" s="333">
        <f t="shared" si="15"/>
        <v>0</v>
      </c>
      <c r="DR11" s="333">
        <f t="shared" si="16"/>
        <v>0</v>
      </c>
      <c r="DS11" s="333">
        <f t="shared" si="17"/>
        <v>0</v>
      </c>
      <c r="DT11" s="333">
        <f t="shared" si="18"/>
        <v>0</v>
      </c>
      <c r="DU11" s="333">
        <f t="shared" si="19"/>
        <v>6.25E-2</v>
      </c>
      <c r="DV11" s="333">
        <f t="shared" si="20"/>
        <v>0.1875</v>
      </c>
      <c r="DW11" s="333">
        <f t="shared" si="21"/>
        <v>0.3125</v>
      </c>
      <c r="DX11" s="333">
        <f t="shared" si="22"/>
        <v>0.4375</v>
      </c>
      <c r="DY11" s="333">
        <f t="shared" si="24"/>
        <v>0.5625</v>
      </c>
      <c r="DZ11" s="333">
        <f t="shared" si="25"/>
        <v>0.6875</v>
      </c>
      <c r="EA11" s="333">
        <f t="shared" si="26"/>
        <v>0.8125</v>
      </c>
      <c r="EB11" s="333">
        <f t="shared" si="27"/>
        <v>0.9375</v>
      </c>
      <c r="EC11" s="334">
        <f t="shared" si="28"/>
        <v>160060.38764167234</v>
      </c>
      <c r="ED11" s="334">
        <f t="shared" si="29"/>
        <v>160060.38764167234</v>
      </c>
      <c r="EE11" s="334">
        <f t="shared" si="30"/>
        <v>0</v>
      </c>
    </row>
    <row r="12" spans="1:135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291">
        <v>41291.910000000003</v>
      </c>
      <c r="CI12" s="290">
        <v>0</v>
      </c>
      <c r="CJ12" s="291"/>
      <c r="CK12" s="291"/>
      <c r="CL12" s="290">
        <v>0</v>
      </c>
      <c r="CM12" s="290"/>
      <c r="CN12" s="291"/>
      <c r="CO12" s="291"/>
      <c r="CP12" s="290">
        <v>27275.83</v>
      </c>
      <c r="CQ12" s="290"/>
      <c r="CR12" s="291"/>
      <c r="CS12" s="291"/>
      <c r="CT12" s="290">
        <v>188440.37</v>
      </c>
      <c r="CU12" s="290"/>
      <c r="CV12" s="291"/>
      <c r="CW12" s="291"/>
      <c r="CX12" s="430">
        <v>195140.74</v>
      </c>
      <c r="CY12" s="430">
        <f t="shared" si="23"/>
        <v>0</v>
      </c>
      <c r="CZ12" s="431"/>
      <c r="DA12" s="431"/>
      <c r="DB12" s="321">
        <f t="shared" si="0"/>
        <v>1992.645817714536</v>
      </c>
      <c r="DC12" s="333">
        <f t="shared" si="1"/>
        <v>0</v>
      </c>
      <c r="DD12" s="333">
        <f t="shared" si="2"/>
        <v>0</v>
      </c>
      <c r="DE12" s="333">
        <f t="shared" si="3"/>
        <v>0</v>
      </c>
      <c r="DF12" s="333">
        <f t="shared" si="4"/>
        <v>0</v>
      </c>
      <c r="DG12" s="333">
        <f t="shared" si="5"/>
        <v>0</v>
      </c>
      <c r="DH12" s="348">
        <f t="shared" si="6"/>
        <v>0</v>
      </c>
      <c r="DI12" s="333">
        <f t="shared" si="7"/>
        <v>0</v>
      </c>
      <c r="DJ12" s="333">
        <f t="shared" si="8"/>
        <v>0</v>
      </c>
      <c r="DK12" s="333">
        <f t="shared" si="9"/>
        <v>2.9411764705882359E-2</v>
      </c>
      <c r="DL12" s="333">
        <f t="shared" si="10"/>
        <v>8.8235294117647078E-2</v>
      </c>
      <c r="DM12" s="333">
        <f t="shared" si="11"/>
        <v>0.1470588235294118</v>
      </c>
      <c r="DN12" s="333">
        <f t="shared" si="12"/>
        <v>0.20588235294117652</v>
      </c>
      <c r="DO12" s="333">
        <f t="shared" si="13"/>
        <v>0.26470588235294112</v>
      </c>
      <c r="DP12" s="333">
        <f t="shared" si="14"/>
        <v>0.32352941176470584</v>
      </c>
      <c r="DQ12" s="333">
        <f t="shared" si="15"/>
        <v>0</v>
      </c>
      <c r="DR12" s="333">
        <f t="shared" si="16"/>
        <v>0.38235294117647056</v>
      </c>
      <c r="DS12" s="333">
        <f t="shared" si="17"/>
        <v>0.44117647058823528</v>
      </c>
      <c r="DT12" s="333">
        <f t="shared" si="18"/>
        <v>0.5</v>
      </c>
      <c r="DU12" s="333">
        <f t="shared" si="19"/>
        <v>0.55882352941176472</v>
      </c>
      <c r="DV12" s="333">
        <f t="shared" si="20"/>
        <v>0.61764705882352944</v>
      </c>
      <c r="DW12" s="333">
        <f t="shared" si="21"/>
        <v>0.67647058823529416</v>
      </c>
      <c r="DX12" s="333">
        <f t="shared" si="22"/>
        <v>0.73529411764705888</v>
      </c>
      <c r="DY12" s="333">
        <f t="shared" si="24"/>
        <v>0.79411764705882359</v>
      </c>
      <c r="DZ12" s="333">
        <f t="shared" si="25"/>
        <v>0.8529411764705882</v>
      </c>
      <c r="EA12" s="333">
        <f t="shared" si="26"/>
        <v>0.91176470588235292</v>
      </c>
      <c r="EB12" s="333">
        <f t="shared" si="27"/>
        <v>0.97058823529411764</v>
      </c>
      <c r="EC12" s="334">
        <f t="shared" si="28"/>
        <v>1373857.9337361334</v>
      </c>
      <c r="ED12" s="334">
        <f t="shared" si="29"/>
        <v>936974.17184008157</v>
      </c>
      <c r="EE12" s="334">
        <f t="shared" si="30"/>
        <v>374111.79447081208</v>
      </c>
    </row>
    <row r="13" spans="1:135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31">SUM(E5:E12)</f>
        <v>0</v>
      </c>
      <c r="F13" s="296">
        <f t="shared" si="31"/>
        <v>3156823.1414713804</v>
      </c>
      <c r="G13" s="296">
        <f t="shared" si="31"/>
        <v>266106.52899199998</v>
      </c>
      <c r="H13" s="296">
        <f t="shared" si="31"/>
        <v>0</v>
      </c>
      <c r="I13" s="296">
        <f t="shared" si="31"/>
        <v>0</v>
      </c>
      <c r="J13" s="296">
        <f t="shared" si="31"/>
        <v>0</v>
      </c>
      <c r="K13" s="296">
        <f t="shared" si="31"/>
        <v>107260.34</v>
      </c>
      <c r="L13" s="296">
        <f t="shared" si="31"/>
        <v>0</v>
      </c>
      <c r="M13" s="296">
        <f t="shared" si="31"/>
        <v>0</v>
      </c>
      <c r="N13" s="296">
        <f t="shared" si="31"/>
        <v>0</v>
      </c>
      <c r="O13" s="296">
        <f t="shared" si="31"/>
        <v>170017.04106100003</v>
      </c>
      <c r="P13" s="296">
        <f t="shared" si="31"/>
        <v>0</v>
      </c>
      <c r="Q13" s="296">
        <f t="shared" si="31"/>
        <v>0</v>
      </c>
      <c r="R13" s="296">
        <f t="shared" si="31"/>
        <v>0</v>
      </c>
      <c r="S13" s="296">
        <f t="shared" si="31"/>
        <v>141552.63</v>
      </c>
      <c r="T13" s="296">
        <f t="shared" si="31"/>
        <v>0</v>
      </c>
      <c r="U13" s="296">
        <f t="shared" si="31"/>
        <v>0</v>
      </c>
      <c r="V13" s="296">
        <f t="shared" si="31"/>
        <v>0</v>
      </c>
      <c r="W13" s="296">
        <f t="shared" si="31"/>
        <v>334246.14000000007</v>
      </c>
      <c r="X13" s="296">
        <f t="shared" si="31"/>
        <v>0</v>
      </c>
      <c r="Y13" s="296">
        <f t="shared" si="31"/>
        <v>0</v>
      </c>
      <c r="Z13" s="296">
        <f t="shared" si="31"/>
        <v>0</v>
      </c>
      <c r="AA13" s="296">
        <f t="shared" si="31"/>
        <v>167868.13</v>
      </c>
      <c r="AB13" s="296">
        <f t="shared" si="31"/>
        <v>0</v>
      </c>
      <c r="AC13" s="296">
        <f t="shared" si="31"/>
        <v>0</v>
      </c>
      <c r="AD13" s="296">
        <f t="shared" si="31"/>
        <v>0</v>
      </c>
      <c r="AE13" s="296">
        <f t="shared" si="31"/>
        <v>132511.28</v>
      </c>
      <c r="AF13" s="296">
        <f t="shared" si="31"/>
        <v>0</v>
      </c>
      <c r="AG13" s="296">
        <f t="shared" si="31"/>
        <v>0</v>
      </c>
      <c r="AH13" s="296">
        <f t="shared" si="31"/>
        <v>0</v>
      </c>
      <c r="AI13" s="296">
        <f t="shared" si="31"/>
        <v>323314.10387699993</v>
      </c>
      <c r="AJ13" s="296">
        <f t="shared" si="31"/>
        <v>0</v>
      </c>
      <c r="AK13" s="296">
        <f t="shared" si="31"/>
        <v>0</v>
      </c>
      <c r="AL13" s="296">
        <f t="shared" si="31"/>
        <v>0</v>
      </c>
      <c r="AM13" s="296">
        <f t="shared" si="31"/>
        <v>91335.93</v>
      </c>
      <c r="AN13" s="296">
        <f t="shared" si="31"/>
        <v>0</v>
      </c>
      <c r="AO13" s="296">
        <f t="shared" si="31"/>
        <v>0</v>
      </c>
      <c r="AP13" s="296">
        <f t="shared" si="31"/>
        <v>0</v>
      </c>
      <c r="AQ13" s="296">
        <f t="shared" si="31"/>
        <v>243514.73</v>
      </c>
      <c r="AR13" s="296">
        <f t="shared" si="31"/>
        <v>0</v>
      </c>
      <c r="AS13" s="296">
        <f t="shared" si="31"/>
        <v>0</v>
      </c>
      <c r="AT13" s="296">
        <f t="shared" si="31"/>
        <v>0</v>
      </c>
      <c r="AU13" s="296">
        <f t="shared" si="31"/>
        <v>0</v>
      </c>
      <c r="AV13" s="296">
        <f t="shared" si="31"/>
        <v>0</v>
      </c>
      <c r="AW13" s="296">
        <f t="shared" si="31"/>
        <v>0</v>
      </c>
      <c r="AX13" s="296">
        <f t="shared" si="31"/>
        <v>0</v>
      </c>
      <c r="AY13" s="296">
        <f t="shared" si="31"/>
        <v>56420.78</v>
      </c>
      <c r="AZ13" s="296">
        <f t="shared" si="31"/>
        <v>0</v>
      </c>
      <c r="BA13" s="296">
        <f t="shared" si="31"/>
        <v>0</v>
      </c>
      <c r="BB13" s="296">
        <f t="shared" si="31"/>
        <v>0</v>
      </c>
      <c r="BC13" s="296">
        <f t="shared" si="31"/>
        <v>1275811.54</v>
      </c>
      <c r="BD13" s="296">
        <f t="shared" si="31"/>
        <v>0</v>
      </c>
      <c r="BE13" s="296">
        <f t="shared" si="31"/>
        <v>0</v>
      </c>
      <c r="BF13" s="296">
        <f t="shared" si="31"/>
        <v>0</v>
      </c>
      <c r="BG13" s="296">
        <f t="shared" si="31"/>
        <v>940000</v>
      </c>
      <c r="BH13" s="296">
        <f t="shared" si="31"/>
        <v>0</v>
      </c>
      <c r="BI13" s="296">
        <f t="shared" si="31"/>
        <v>940000</v>
      </c>
      <c r="BJ13" s="296">
        <f t="shared" si="31"/>
        <v>917175.86</v>
      </c>
      <c r="BK13" s="296">
        <f t="shared" si="31"/>
        <v>0</v>
      </c>
      <c r="BL13" s="296">
        <f t="shared" si="31"/>
        <v>0</v>
      </c>
      <c r="BM13" s="296">
        <f t="shared" si="31"/>
        <v>0</v>
      </c>
      <c r="BN13" s="296">
        <f t="shared" si="31"/>
        <v>1105575.6700000002</v>
      </c>
      <c r="BO13" s="296">
        <f t="shared" si="31"/>
        <v>0</v>
      </c>
      <c r="BP13" s="296">
        <f t="shared" si="31"/>
        <v>0</v>
      </c>
      <c r="BQ13" s="296">
        <f t="shared" ref="BQ13:DA13" si="32">SUM(BQ5:BQ12)</f>
        <v>0</v>
      </c>
      <c r="BR13" s="296">
        <f t="shared" si="32"/>
        <v>1102455.8699999996</v>
      </c>
      <c r="BS13" s="296">
        <f t="shared" si="32"/>
        <v>0</v>
      </c>
      <c r="BT13" s="296">
        <f t="shared" si="32"/>
        <v>0</v>
      </c>
      <c r="BU13" s="296">
        <f t="shared" si="32"/>
        <v>0</v>
      </c>
      <c r="BV13" s="296">
        <f t="shared" si="32"/>
        <v>1120073.2300000004</v>
      </c>
      <c r="BW13" s="296">
        <f t="shared" si="32"/>
        <v>0</v>
      </c>
      <c r="BX13" s="296">
        <f t="shared" si="32"/>
        <v>0</v>
      </c>
      <c r="BY13" s="296">
        <f t="shared" si="32"/>
        <v>0</v>
      </c>
      <c r="BZ13" s="296">
        <f t="shared" si="32"/>
        <v>3586563.6400000011</v>
      </c>
      <c r="CA13" s="296">
        <f t="shared" si="32"/>
        <v>0</v>
      </c>
      <c r="CB13" s="296">
        <f t="shared" si="32"/>
        <v>0</v>
      </c>
      <c r="CC13" s="296">
        <f t="shared" si="32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6">
        <f t="shared" si="32"/>
        <v>881689.72999999986</v>
      </c>
      <c r="CI13" s="296">
        <f t="shared" si="32"/>
        <v>0</v>
      </c>
      <c r="CJ13" s="296">
        <f t="shared" si="32"/>
        <v>0</v>
      </c>
      <c r="CK13" s="296">
        <f t="shared" si="32"/>
        <v>0</v>
      </c>
      <c r="CL13" s="296">
        <f t="shared" si="32"/>
        <v>1253665.81</v>
      </c>
      <c r="CM13" s="296">
        <f t="shared" si="32"/>
        <v>0</v>
      </c>
      <c r="CN13" s="296">
        <f t="shared" si="32"/>
        <v>0</v>
      </c>
      <c r="CO13" s="296">
        <f t="shared" si="32"/>
        <v>0</v>
      </c>
      <c r="CP13" s="296">
        <f t="shared" si="32"/>
        <v>1071559.54</v>
      </c>
      <c r="CQ13" s="296">
        <f t="shared" si="32"/>
        <v>0</v>
      </c>
      <c r="CR13" s="296">
        <f t="shared" si="32"/>
        <v>0</v>
      </c>
      <c r="CS13" s="296">
        <f t="shared" si="32"/>
        <v>0</v>
      </c>
      <c r="CT13" s="296">
        <f t="shared" si="32"/>
        <v>903576.37</v>
      </c>
      <c r="CU13" s="296">
        <f t="shared" si="32"/>
        <v>0</v>
      </c>
      <c r="CV13" s="296">
        <f t="shared" si="32"/>
        <v>0</v>
      </c>
      <c r="CW13" s="296">
        <f t="shared" si="32"/>
        <v>0</v>
      </c>
      <c r="CX13" s="296">
        <f t="shared" si="32"/>
        <v>1586723.76</v>
      </c>
      <c r="CY13" s="296">
        <f t="shared" si="32"/>
        <v>0</v>
      </c>
      <c r="CZ13" s="296">
        <f t="shared" si="32"/>
        <v>0</v>
      </c>
      <c r="DA13" s="296">
        <f t="shared" si="32"/>
        <v>0</v>
      </c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7"/>
      <c r="DO13" s="297"/>
      <c r="DP13" s="297"/>
      <c r="DQ13" s="297"/>
      <c r="DR13" s="297"/>
      <c r="DS13" s="297"/>
      <c r="DT13" s="297"/>
      <c r="DU13" s="297"/>
      <c r="DV13" s="297"/>
      <c r="DW13" s="297"/>
      <c r="DX13" s="297"/>
      <c r="DY13" s="297"/>
      <c r="DZ13" s="297"/>
      <c r="EA13" s="297"/>
      <c r="EB13" s="297"/>
      <c r="EC13" s="298">
        <f>SUM(EC5:EC12)</f>
        <v>23907490.64628515</v>
      </c>
      <c r="ED13" s="298">
        <f>SUM(ED5:ED12)</f>
        <v>16319223.012553805</v>
      </c>
      <c r="EE13" s="298">
        <f>SUM(EE5:EE12)</f>
        <v>4043317.6075044479</v>
      </c>
    </row>
    <row r="14" spans="1:135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0"/>
      <c r="CX14" s="430"/>
      <c r="CY14" s="430"/>
      <c r="CZ14" s="430"/>
      <c r="DA14" s="430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3"/>
      <c r="DV14" s="333"/>
      <c r="DW14" s="333"/>
      <c r="DX14" s="333"/>
      <c r="DY14" s="333"/>
      <c r="DZ14" s="333"/>
      <c r="EA14" s="333"/>
      <c r="EB14" s="333"/>
      <c r="EC14" s="334"/>
      <c r="ED14" s="334"/>
      <c r="EE14" s="334"/>
    </row>
    <row r="15" spans="1:135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290">
        <v>0</v>
      </c>
      <c r="CI15" s="290">
        <v>0</v>
      </c>
      <c r="CJ15" s="290"/>
      <c r="CK15" s="290"/>
      <c r="CL15" s="290">
        <v>0</v>
      </c>
      <c r="CM15" s="290"/>
      <c r="CN15" s="290"/>
      <c r="CO15" s="290"/>
      <c r="CP15" s="290">
        <v>0</v>
      </c>
      <c r="CQ15" s="290"/>
      <c r="CR15" s="290"/>
      <c r="CS15" s="290"/>
      <c r="CT15" s="290">
        <v>0</v>
      </c>
      <c r="CU15" s="290"/>
      <c r="CV15" s="290"/>
      <c r="CW15" s="290"/>
      <c r="CX15" s="430">
        <v>0</v>
      </c>
      <c r="CY15" s="430">
        <f t="shared" ref="CY15:CY44" si="33">IFERROR(IF((CM15+CQ15+CU15)/(CL15+CP15+CT15)&gt;0,((CM15+CQ15+CU15)/(CL15+CP15+CT15))*CX15,0),0)</f>
        <v>0</v>
      </c>
      <c r="CZ15" s="430"/>
      <c r="DA15" s="430"/>
      <c r="DB15" s="321">
        <f>IF(D15=0,0,2001-(D15-F15)*C15/D15)</f>
        <v>0</v>
      </c>
      <c r="DC15" s="333">
        <f>IF((1-($EC$2-$DB15)/$C15)&gt;0,(1-($EC$2-$DB15)/$C15),0)</f>
        <v>0</v>
      </c>
      <c r="DD15" s="333">
        <f>IF((1-($EC$2-G$2)/$C15)&gt;0,(1-($EC$2-G$2)/$C15),0)</f>
        <v>0.21666666666666667</v>
      </c>
      <c r="DE15" s="333">
        <f>IF((1-($EC$2-K$2)/$C15)&gt;0,(1-($EC$2-K$2)/$C15),0)</f>
        <v>0.25</v>
      </c>
      <c r="DF15" s="333">
        <f>IF((1-($EC$2-O$2)/$C15)&gt;0,(1-($EC$2-O$2)/$C15),0)</f>
        <v>0.28333333333333333</v>
      </c>
      <c r="DG15" s="333">
        <f>IF((1-($EC$2-S$2)/$C15)&gt;0,(1-($EC$2-S$2)/$C15),0)</f>
        <v>0.31666666666666665</v>
      </c>
      <c r="DH15" s="333">
        <f>IF((1-($EC$2-W$2)/$C15)&gt;0,(1-($EC$2-W$2)/$C15),0)</f>
        <v>0.35</v>
      </c>
      <c r="DI15" s="333">
        <f>IF((1-($EC$2-AA$2)/$C15)&gt;0,(1-($EC$2-AA$2)/$C15),0)</f>
        <v>0.3833333333333333</v>
      </c>
      <c r="DJ15" s="333">
        <f>IF((1-($EC$2-AE$2)/$C15)&gt;0,(1-($EC$2-AE$2)/$C15),0)</f>
        <v>0.41666666666666663</v>
      </c>
      <c r="DK15" s="333">
        <f>IF((1-($EC$2-AI$2)/$C15)&gt;0,(1-($EC$2-AI$2)/$C15),0)</f>
        <v>0.44999999999999996</v>
      </c>
      <c r="DL15" s="333">
        <f>IF((1-($EC$2-AM$2)/$C15)&gt;0,(1-($EC$2-AM$2)/$C15),0)</f>
        <v>0.48333333333333328</v>
      </c>
      <c r="DM15" s="333">
        <f>IF((1-($EC$2-AQ$2)/$C15)&gt;0,(1-($EC$2-AQ$2)/$C15),0)</f>
        <v>0.51666666666666661</v>
      </c>
      <c r="DN15" s="333">
        <f>IF((1-($EC$2-AU$2)/$C15)&gt;0,(1-($EC$2-AU$2)/$C15),0)</f>
        <v>0.55000000000000004</v>
      </c>
      <c r="DO15" s="333">
        <f>IF((1-($EC$2-AY$2)/$C15)&gt;0,(1-($EC$2-AY$2)/$C15),0)</f>
        <v>0.58333333333333326</v>
      </c>
      <c r="DP15" s="333">
        <f>IF((1-($EC$2-BC$2)/$C15)&gt;0,(1-($EC$2-BC$2)/$C15),0)</f>
        <v>0.6166666666666667</v>
      </c>
      <c r="DQ15" s="333">
        <f>IF(BG15=0,0,1-($EC$2-(2014.5-(BG15-BI15)*C15/BG15))/C15)</f>
        <v>0</v>
      </c>
      <c r="DR15" s="333">
        <f>IF((1-($EC$2-BJ$2)/$C15)&gt;0,(1-($EC$2-BJ$2)/$C15),0)</f>
        <v>0.65</v>
      </c>
      <c r="DS15" s="333">
        <f>IF((1-($EC$2-BN$2)/$C15)&gt;0,(1-($EC$2-BN$2)/$C15),0)</f>
        <v>0.68333333333333335</v>
      </c>
      <c r="DT15" s="333">
        <f>IF((1-($EC$2-BR$2)/$C15)&gt;0,(1-($EC$2-BR$2)/$C15),0)</f>
        <v>0.71666666666666667</v>
      </c>
      <c r="DU15" s="333">
        <f>IF((1-($EC$2-BV$2)/$C15)&gt;0,(1-($EC$2-BV$2)/$C15),0)</f>
        <v>0.75</v>
      </c>
      <c r="DV15" s="333">
        <f>IF((1-($EC$2-BZ$2)/$C15)&gt;0,(1-($EC$2-BZ$2)/$C15),0)</f>
        <v>0.78333333333333333</v>
      </c>
      <c r="DW15" s="333">
        <f>IF((1-($EC$2-CD$2)/$C15)&gt;0,(1-($EC$2-CD$2)/$C15),0)</f>
        <v>0.81666666666666665</v>
      </c>
      <c r="DX15" s="333">
        <f>IF((1-($EC$2-CH$2)/$C15)&gt;0,(1-($EC$2-CH$2)/$C15),0)</f>
        <v>0.85</v>
      </c>
      <c r="DY15" s="333">
        <f>IF((1-($EC$2-CL$2)/$C15)&gt;0,(1-($EC$2-CL$2)/$C15),0)</f>
        <v>0.8833333333333333</v>
      </c>
      <c r="DZ15" s="333">
        <f t="shared" ref="DZ15:DZ17" si="34">IF((1-($EC$2-CP$2)/$C15)&gt;0,(1-($EC$2-CP$2)/$C15),0)</f>
        <v>0.91666666666666663</v>
      </c>
      <c r="EA15" s="333">
        <f t="shared" ref="EA15:EA17" si="35">IF((1-($EC$2-CT$2)/$C15)&gt;0,(1-($EC$2-CT$2)/$C15),0)</f>
        <v>0.95</v>
      </c>
      <c r="EB15" s="333">
        <f t="shared" ref="EB15:EB17" si="36">IF((1-($EC$2-CX$2)/$C15)&gt;0,(1-($EC$2-CX$2)/$C15),0)</f>
        <v>0.98333333333333328</v>
      </c>
      <c r="EC15" s="334">
        <f t="shared" ref="EC15:EC44" si="37">D15-E15+(G15-H15-I15)*G$60+(K15-L15-M15)*K$60+(O15-P15-Q15)*O$60+(S15-T15-U15)*S$60+(W15-X15-Y15)*W$60+(AA15-AB15-AC15)*AA$60+(AE15-AF15-AG15)*AE$60+(AI15-AJ15-AK15)*AI$60+(AM15-AN15-AO15)*AM$60+(AQ15-AR15-AS15)*$AQ$60+(AU15-AV15-AW15)*$AU$60+(AY15-AZ15-BA15)*$AY$60+(BC15-BD15-BE15)*$BC$60+BG15+(BJ15-BK15-BL15)*$BJ$60+(BN15-BO15-BP15)*$BN$60+(BR15-BS15-BT15)*$BR$60+(BV15-BW15-BX15)*$BV$60+(BZ15-CA15-CB15)*$BZ$60+(CD15-CE15-CF15)*$CD$60+(CH15-CI15-CJ15)*$CH$60+(CL15-CM15-CN15)*$CL$60+(CP15-CQ15-CR15)*$CP$60+(CT15-CU15-CV15)*$CT$60+(CX15-CY15-CZ15)*$CX$60</f>
        <v>2222028.6752719074</v>
      </c>
      <c r="ED15" s="334">
        <f t="shared" ref="ED15:ED44" si="38">IF(DC15=0,D15-E15,0)+IF(DD15=0,(G15-H15-I15)*G$60,0)+IF(DE15=0,(K15-L15-M15)*K$60,0)+IF(DF15=0,(O15-P15-Q15)*O$60,0)+IF(DG15=0,(S15-T15-U15)*S$60,0)+IF(DH15=0,(W15-X15-Y15)*W$60,0)+IF(DI15=0,(AA15-AB15-AC15)*AA$60,0)+IF(DJ15=0,(AE15-AF15-AG15)*AE$60,0)+IF(DK15=0,(AI15-AJ15-AK15)*AI$60,0)+IF(DL15=0,(AM15-AN15-AO15)*AM$60,0)+IF(DM15=0,(AQ15-AR15-AS15)*$AQ$60,0)+IF(DN15=0,(AU15-AV15-AW15)*$AU$60,0)+IF(DO15=0,(AY15-AZ15-BA15)*$AY$60,0)++IF(DP15=0,(BC15-BD15-BE15)*$BC$60,0)+IF(DQ15=0,BG15,0)+IF(DR15=0,(BJ15-BK15-BL15)*$BJ$60,0)+IF(DS15=0,(BN15-BO15-BP15)*$BN$60,0)+IF(DT15=0,(BR15-BS15-BT15)*$BR$60,0)+IF(DU15=0,(BV15-BW15-BX15)*$BV$60,0)+IF(DV15=0,(BZ15-CA15-CB15)*$BZ$60,0)+IF(DW15=0,(CD15-CE15-CF15)*$CD$60,0)+IF(DX15=0,(CH15-CI15-CJ15)*$CH$60,0)+IF(DY15=0,(CL15-CM15-CN15)*$CL$60,0)+IF(DZ15=0,(CP15-CQ15-CR15)*$CP$60,0)+IF(EA15=0,(CT15-CU15-CV15)*$CT$60,0)+IF(EB15=0,(CX15-CY15-CZ15)*$CX$60,0)</f>
        <v>0</v>
      </c>
      <c r="EE15" s="334">
        <f t="shared" ref="EE15:EE44" si="39">(D15-E15)*DC15+((G15-H15-(I15-J15))*G$60)*DD15+((K15-L15-(M15-N15))*K$60)*DE15+((O15-P15-(Q15-R15))*O$60)*DF15+((S15-T15-(U15-V15))*S$60)*DG15+((W15-X15-(Y15-Z15))*W$60)*DH15+((AA15-AB15-(AC15-AD15))*AA$60)*DI15+((AE15-AF15-(AG15-AH15))*AE$60)*DJ15+((AI15-AJ15-(AK15-AL15))*AI$60)*DK15+((AM15-AN15-(AO15-AP15))*$AM$60)*DL15+((AQ15-AR15-(AS15-AT15))*$AQ$60)*DM15+((AU15-AV15-(AW15-AX15))*$AU$60)*DN15+((AY15-AZ15-(BA15-BB15))*$AY$60)*DO15+((BC15-BD15-(BE15-BF15))*$BC$60)*DP15+((BJ15-BK15-(BL15-BM15))*$BJ$60)*DR15+(BG15-BH15)*DQ15+((BN15-BO15-(BP15-BQ15))*$BN$60)*DS15+((BR15-BS15-(BT15-BU15))*$BR$60)*DT15+((BV15-BW15-(BX15-BY15))*$BV$60)*DU15+((BZ15-CA15-(CB15-CC15))*$BZ$60)*DV15+((CD15-CE15-(CF15-CG15))*$CD$60)*DW15+((CH15-CI15-(CJ15-CK15))*$CH$60*DX15)+((CL15-CM15-(CN15-CO15))*$CL$60*DY15)+((CP15-CQ15-(CR15-CS15))*$CP$60*DZ15)+((CT15-CU15-(CV15-CW15))*$CT$60*EA15)+((CX15-CY15-(CZ15-CAA15))*$CX$60*EA15)</f>
        <v>1518386.2614358035</v>
      </c>
    </row>
    <row r="16" spans="1:135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290">
        <v>0</v>
      </c>
      <c r="CI16" s="290">
        <v>0</v>
      </c>
      <c r="CJ16" s="290"/>
      <c r="CK16" s="290"/>
      <c r="CL16" s="290">
        <v>0</v>
      </c>
      <c r="CM16" s="290"/>
      <c r="CN16" s="290"/>
      <c r="CO16" s="290"/>
      <c r="CP16" s="290">
        <v>0</v>
      </c>
      <c r="CQ16" s="290"/>
      <c r="CR16" s="290"/>
      <c r="CS16" s="290"/>
      <c r="CT16" s="290">
        <v>0</v>
      </c>
      <c r="CU16" s="290"/>
      <c r="CV16" s="290"/>
      <c r="CW16" s="290"/>
      <c r="CX16" s="430">
        <v>0</v>
      </c>
      <c r="CY16" s="430">
        <f t="shared" si="33"/>
        <v>0</v>
      </c>
      <c r="CZ16" s="430"/>
      <c r="DA16" s="430"/>
      <c r="DB16" s="321">
        <f>IF(D16=0,0,2001-(D16-F16)*C16/D16)</f>
        <v>0</v>
      </c>
      <c r="DC16" s="333">
        <f>IF((1-($EC$2-$DB16)/$C16)&gt;0,(1-($EC$2-$DB16)/$C16),0)</f>
        <v>0</v>
      </c>
      <c r="DD16" s="333">
        <f>IF((1-($EC$2-G$2)/$C16)&gt;0,(1-($EC$2-G$2)/$C16),0)</f>
        <v>0.21666666666666667</v>
      </c>
      <c r="DE16" s="333">
        <f>IF((1-($EC$2-K$2)/$C16)&gt;0,(1-($EC$2-K$2)/$C16),0)</f>
        <v>0.25</v>
      </c>
      <c r="DF16" s="333">
        <f>IF((1-($EC$2-O$2)/$C16)&gt;0,(1-($EC$2-O$2)/$C16),0)</f>
        <v>0.28333333333333333</v>
      </c>
      <c r="DG16" s="333">
        <f>IF((1-($EC$2-S$2)/$C16)&gt;0,(1-($EC$2-S$2)/$C16),0)</f>
        <v>0.31666666666666665</v>
      </c>
      <c r="DH16" s="333">
        <f>IF((1-($EC$2-W$2)/$C16)&gt;0,(1-($EC$2-W$2)/$C16),0)</f>
        <v>0.35</v>
      </c>
      <c r="DI16" s="333">
        <f>IF((1-($EC$2-AA$2)/$C16)&gt;0,(1-($EC$2-AA$2)/$C16),0)</f>
        <v>0.3833333333333333</v>
      </c>
      <c r="DJ16" s="333">
        <f>IF((1-($EC$2-AE$2)/$C16)&gt;0,(1-($EC$2-AE$2)/$C16),0)</f>
        <v>0.41666666666666663</v>
      </c>
      <c r="DK16" s="333">
        <f>IF((1-($EC$2-AI$2)/$C16)&gt;0,(1-($EC$2-AI$2)/$C16),0)</f>
        <v>0.44999999999999996</v>
      </c>
      <c r="DL16" s="333">
        <f>IF((1-($EC$2-AM$2)/$C16)&gt;0,(1-($EC$2-AM$2)/$C16),0)</f>
        <v>0.48333333333333328</v>
      </c>
      <c r="DM16" s="333">
        <f>IF((1-($EC$2-AQ$2)/$C16)&gt;0,(1-($EC$2-AQ$2)/$C16),0)</f>
        <v>0.51666666666666661</v>
      </c>
      <c r="DN16" s="333">
        <f>IF((1-($EC$2-AU$2)/$C16)&gt;0,(1-($EC$2-AU$2)/$C16),0)</f>
        <v>0.55000000000000004</v>
      </c>
      <c r="DO16" s="333">
        <f>IF((1-($EC$2-AY$2)/$C16)&gt;0,(1-($EC$2-AY$2)/$C16),0)</f>
        <v>0.58333333333333326</v>
      </c>
      <c r="DP16" s="333">
        <f>IF((1-($EC$2-BC$2)/$C16)&gt;0,(1-($EC$2-BC$2)/$C16),0)</f>
        <v>0.6166666666666667</v>
      </c>
      <c r="DQ16" s="333">
        <f>IF(BG16=0,0,1-($EC$2-(2014.5-(BG16-BI16)*C16/BG16))/C16)</f>
        <v>0</v>
      </c>
      <c r="DR16" s="333">
        <f>IF((1-($EC$2-BJ$2)/$C16)&gt;0,(1-($EC$2-BJ$2)/$C16),0)</f>
        <v>0.65</v>
      </c>
      <c r="DS16" s="333">
        <f>IF((1-($EC$2-BN$2)/$C16)&gt;0,(1-($EC$2-BN$2)/$C16),0)</f>
        <v>0.68333333333333335</v>
      </c>
      <c r="DT16" s="333">
        <f>IF((1-($EC$2-BR$2)/$C16)&gt;0,(1-($EC$2-BR$2)/$C16),0)</f>
        <v>0.71666666666666667</v>
      </c>
      <c r="DU16" s="333">
        <f>IF((1-($EC$2-BV$2)/$C16)&gt;0,(1-($EC$2-BV$2)/$C16),0)</f>
        <v>0.75</v>
      </c>
      <c r="DV16" s="333">
        <f>IF((1-($EC$2-BZ$2)/$C16)&gt;0,(1-($EC$2-BZ$2)/$C16),0)</f>
        <v>0.78333333333333333</v>
      </c>
      <c r="DW16" s="333">
        <f>IF((1-($EC$2-CD$2)/$C16)&gt;0,(1-($EC$2-CD$2)/$C16),0)</f>
        <v>0.81666666666666665</v>
      </c>
      <c r="DX16" s="333">
        <f>IF((1-($EC$2-CH$2)/$C16)&gt;0,(1-($EC$2-CH$2)/$C16),0)</f>
        <v>0.85</v>
      </c>
      <c r="DY16" s="333">
        <f>IF((1-($EC$2-CL$2)/$C16)&gt;0,(1-($EC$2-CL$2)/$C16),0)</f>
        <v>0.8833333333333333</v>
      </c>
      <c r="DZ16" s="333">
        <f t="shared" si="34"/>
        <v>0.91666666666666663</v>
      </c>
      <c r="EA16" s="333">
        <f t="shared" si="35"/>
        <v>0.95</v>
      </c>
      <c r="EB16" s="333">
        <f t="shared" si="36"/>
        <v>0.98333333333333328</v>
      </c>
      <c r="EC16" s="334">
        <f t="shared" si="37"/>
        <v>2138345.2228287542</v>
      </c>
      <c r="ED16" s="334">
        <f t="shared" si="38"/>
        <v>0</v>
      </c>
      <c r="EE16" s="334">
        <f t="shared" si="39"/>
        <v>1461202.5689329822</v>
      </c>
    </row>
    <row r="17" spans="1:135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290">
        <v>0</v>
      </c>
      <c r="CI17" s="290">
        <v>0</v>
      </c>
      <c r="CJ17" s="290"/>
      <c r="CK17" s="290"/>
      <c r="CL17" s="290">
        <v>0</v>
      </c>
      <c r="CM17" s="290"/>
      <c r="CN17" s="290"/>
      <c r="CO17" s="290"/>
      <c r="CP17" s="290">
        <v>0</v>
      </c>
      <c r="CQ17" s="290"/>
      <c r="CR17" s="290"/>
      <c r="CS17" s="290"/>
      <c r="CT17" s="290">
        <v>0</v>
      </c>
      <c r="CU17" s="290"/>
      <c r="CV17" s="290"/>
      <c r="CW17" s="290"/>
      <c r="CX17" s="430">
        <v>0</v>
      </c>
      <c r="CY17" s="430">
        <f t="shared" si="33"/>
        <v>0</v>
      </c>
      <c r="CZ17" s="430"/>
      <c r="DA17" s="430"/>
      <c r="DB17" s="321">
        <f>IF(D17=0,0,2001-(D17-F17)*C17/D17)</f>
        <v>0</v>
      </c>
      <c r="DC17" s="333">
        <f>IF((1-($EC$2-$DB17)/$C17)&gt;0,(1-($EC$2-$DB17)/$C17),0)</f>
        <v>0</v>
      </c>
      <c r="DD17" s="333">
        <f>IF((1-($EC$2-G$2)/$C17)&gt;0,(1-($EC$2-G$2)/$C17),0)</f>
        <v>0.21666666666666667</v>
      </c>
      <c r="DE17" s="333">
        <f>IF((1-($EC$2-K$2)/$C17)&gt;0,(1-($EC$2-K$2)/$C17),0)</f>
        <v>0.25</v>
      </c>
      <c r="DF17" s="333">
        <f>IF((1-($EC$2-O$2)/$C17)&gt;0,(1-($EC$2-O$2)/$C17),0)</f>
        <v>0.28333333333333333</v>
      </c>
      <c r="DG17" s="333">
        <f>IF((1-($EC$2-S$2)/$C17)&gt;0,(1-($EC$2-S$2)/$C17),0)</f>
        <v>0.31666666666666665</v>
      </c>
      <c r="DH17" s="333">
        <f>IF((1-($EC$2-W$2)/$C17)&gt;0,(1-($EC$2-W$2)/$C17),0)</f>
        <v>0.35</v>
      </c>
      <c r="DI17" s="333">
        <f>IF((1-($EC$2-AA$2)/$C17)&gt;0,(1-($EC$2-AA$2)/$C17),0)</f>
        <v>0.3833333333333333</v>
      </c>
      <c r="DJ17" s="333">
        <f>IF((1-($EC$2-AE$2)/$C17)&gt;0,(1-($EC$2-AE$2)/$C17),0)</f>
        <v>0.41666666666666663</v>
      </c>
      <c r="DK17" s="333">
        <f>IF((1-($EC$2-AI$2)/$C17)&gt;0,(1-($EC$2-AI$2)/$C17),0)</f>
        <v>0.44999999999999996</v>
      </c>
      <c r="DL17" s="333">
        <f>IF((1-($EC$2-AM$2)/$C17)&gt;0,(1-($EC$2-AM$2)/$C17),0)</f>
        <v>0.48333333333333328</v>
      </c>
      <c r="DM17" s="333">
        <f>IF((1-($EC$2-AQ$2)/$C17)&gt;0,(1-($EC$2-AQ$2)/$C17),0)</f>
        <v>0.51666666666666661</v>
      </c>
      <c r="DN17" s="333">
        <f>IF((1-($EC$2-AU$2)/$C17)&gt;0,(1-($EC$2-AU$2)/$C17),0)</f>
        <v>0.55000000000000004</v>
      </c>
      <c r="DO17" s="333">
        <f>IF((1-($EC$2-AY$2)/$C17)&gt;0,(1-($EC$2-AY$2)/$C17),0)</f>
        <v>0.58333333333333326</v>
      </c>
      <c r="DP17" s="333">
        <f>IF((1-($EC$2-BC$2)/$C17)&gt;0,(1-($EC$2-BC$2)/$C17),0)</f>
        <v>0.6166666666666667</v>
      </c>
      <c r="DQ17" s="333">
        <f>IF(BG17=0,0,1-($EC$2-(2014.5-(BG17-BI17)*C17/BG17))/C17)</f>
        <v>0</v>
      </c>
      <c r="DR17" s="333">
        <f>IF((1-($EC$2-BJ$2)/$C17)&gt;0,(1-($EC$2-BJ$2)/$C17),0)</f>
        <v>0.65</v>
      </c>
      <c r="DS17" s="333">
        <f>IF((1-($EC$2-BN$2)/$C17)&gt;0,(1-($EC$2-BN$2)/$C17),0)</f>
        <v>0.68333333333333335</v>
      </c>
      <c r="DT17" s="333">
        <f>IF((1-($EC$2-BR$2)/$C17)&gt;0,(1-($EC$2-BR$2)/$C17),0)</f>
        <v>0.71666666666666667</v>
      </c>
      <c r="DU17" s="333">
        <f>IF((1-($EC$2-BV$2)/$C17)&gt;0,(1-($EC$2-BV$2)/$C17),0)</f>
        <v>0.75</v>
      </c>
      <c r="DV17" s="333">
        <f>IF((1-($EC$2-BZ$2)/$C17)&gt;0,(1-($EC$2-BZ$2)/$C17),0)</f>
        <v>0.78333333333333333</v>
      </c>
      <c r="DW17" s="333">
        <f>IF((1-($EC$2-CD$2)/$C17)&gt;0,(1-($EC$2-CD$2)/$C17),0)</f>
        <v>0.81666666666666665</v>
      </c>
      <c r="DX17" s="333">
        <f>IF((1-($EC$2-CH$2)/$C17)&gt;0,(1-($EC$2-CH$2)/$C17),0)</f>
        <v>0.85</v>
      </c>
      <c r="DY17" s="333">
        <f>IF((1-($EC$2-CL$2)/$C17)&gt;0,(1-($EC$2-CL$2)/$C17),0)</f>
        <v>0.8833333333333333</v>
      </c>
      <c r="DZ17" s="333">
        <f t="shared" si="34"/>
        <v>0.91666666666666663</v>
      </c>
      <c r="EA17" s="333">
        <f t="shared" si="35"/>
        <v>0.95</v>
      </c>
      <c r="EB17" s="333">
        <f t="shared" si="36"/>
        <v>0.98333333333333328</v>
      </c>
      <c r="EC17" s="334">
        <f t="shared" si="37"/>
        <v>7512083.0024720617</v>
      </c>
      <c r="ED17" s="334">
        <f t="shared" si="38"/>
        <v>0</v>
      </c>
      <c r="EE17" s="334">
        <f t="shared" si="39"/>
        <v>5137547.8945626291</v>
      </c>
    </row>
    <row r="18" spans="1:135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290"/>
      <c r="CI18" s="290">
        <v>0</v>
      </c>
      <c r="CJ18" s="290"/>
      <c r="CK18" s="290"/>
      <c r="CL18" s="290">
        <v>0</v>
      </c>
      <c r="CM18" s="290"/>
      <c r="CN18" s="290"/>
      <c r="CO18" s="290"/>
      <c r="CP18" s="290">
        <v>0</v>
      </c>
      <c r="CQ18" s="290"/>
      <c r="CR18" s="290"/>
      <c r="CS18" s="290"/>
      <c r="CT18" s="290">
        <v>0</v>
      </c>
      <c r="CU18" s="290"/>
      <c r="CV18" s="290"/>
      <c r="CW18" s="290"/>
      <c r="CX18" s="430">
        <v>0</v>
      </c>
      <c r="CY18" s="430">
        <f t="shared" si="33"/>
        <v>0</v>
      </c>
      <c r="CZ18" s="430"/>
      <c r="DA18" s="430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3"/>
      <c r="DT18" s="333"/>
      <c r="DU18" s="333"/>
      <c r="DV18" s="333"/>
      <c r="DW18" s="333"/>
      <c r="DX18" s="333"/>
      <c r="DY18" s="333"/>
      <c r="DZ18" s="333"/>
      <c r="EA18" s="333"/>
      <c r="EB18" s="333"/>
      <c r="EC18" s="334">
        <f t="shared" si="37"/>
        <v>0</v>
      </c>
      <c r="ED18" s="334">
        <f t="shared" si="38"/>
        <v>0</v>
      </c>
      <c r="EE18" s="334">
        <f t="shared" si="39"/>
        <v>0</v>
      </c>
    </row>
    <row r="19" spans="1:135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290">
        <v>1243715.8800000001</v>
      </c>
      <c r="CI19" s="290">
        <v>34705.049949699998</v>
      </c>
      <c r="CJ19" s="290"/>
      <c r="CK19" s="290"/>
      <c r="CL19" s="290">
        <v>3004303.8000000007</v>
      </c>
      <c r="CM19" s="290"/>
      <c r="CN19" s="290"/>
      <c r="CO19" s="290"/>
      <c r="CP19" s="290">
        <v>7357711.6000000034</v>
      </c>
      <c r="CQ19" s="290">
        <v>97723.59</v>
      </c>
      <c r="CR19" s="290"/>
      <c r="CS19" s="290"/>
      <c r="CT19" s="290">
        <v>7174924.1800000016</v>
      </c>
      <c r="CU19" s="290">
        <v>869316.76</v>
      </c>
      <c r="CV19" s="290"/>
      <c r="CW19" s="290"/>
      <c r="CX19" s="430">
        <v>6262924.6399999997</v>
      </c>
      <c r="CY19" s="430">
        <f t="shared" si="33"/>
        <v>345356.77153135411</v>
      </c>
      <c r="CZ19" s="430"/>
      <c r="DA19" s="430"/>
      <c r="DB19" s="321">
        <f t="shared" ref="DB19:DB31" si="40">IF(D19=0,0,2001-(D19-F19)*C19/D19)</f>
        <v>1987.6168208038905</v>
      </c>
      <c r="DC19" s="333">
        <f t="shared" ref="DC19:DC31" si="41">IF((1-($EC$2-$DB19)/$C19)&gt;0,(1-($EC$2-$DB19)/$C19),0)</f>
        <v>0</v>
      </c>
      <c r="DD19" s="333">
        <f t="shared" ref="DD19:DD31" si="42">IF((1-($EC$2-G$2)/$C19)&gt;0,(1-($EC$2-G$2)/$C19),0)</f>
        <v>0.21666666666666667</v>
      </c>
      <c r="DE19" s="333">
        <f t="shared" ref="DE19:DE31" si="43">IF((1-($EC$2-K$2)/$C19)&gt;0,(1-($EC$2-K$2)/$C19),0)</f>
        <v>0.25</v>
      </c>
      <c r="DF19" s="333">
        <f t="shared" ref="DF19:DF31" si="44">IF((1-($EC$2-O$2)/$C19)&gt;0,(1-($EC$2-O$2)/$C19),0)</f>
        <v>0.28333333333333333</v>
      </c>
      <c r="DG19" s="333">
        <f t="shared" ref="DG19:DG31" si="45">IF((1-($EC$2-S$2)/$C19)&gt;0,(1-($EC$2-S$2)/$C19),0)</f>
        <v>0.31666666666666665</v>
      </c>
      <c r="DH19" s="333">
        <f t="shared" ref="DH19:DH31" si="46">IF((1-($EC$2-W$2)/$C19)&gt;0,(1-($EC$2-W$2)/$C19),0)</f>
        <v>0.35</v>
      </c>
      <c r="DI19" s="333">
        <f t="shared" ref="DI19:DI31" si="47">IF((1-($EC$2-AA$2)/$C19)&gt;0,(1-($EC$2-AA$2)/$C19),0)</f>
        <v>0.3833333333333333</v>
      </c>
      <c r="DJ19" s="333">
        <f t="shared" ref="DJ19:DJ31" si="48">IF((1-($EC$2-AE$2)/$C19)&gt;0,(1-($EC$2-AE$2)/$C19),0)</f>
        <v>0.41666666666666663</v>
      </c>
      <c r="DK19" s="333">
        <f t="shared" ref="DK19:DK31" si="49">IF((1-($EC$2-AI$2)/$C19)&gt;0,(1-($EC$2-AI$2)/$C19),0)</f>
        <v>0.44999999999999996</v>
      </c>
      <c r="DL19" s="333">
        <f t="shared" ref="DL19:DL31" si="50">IF((1-($EC$2-AM$2)/$C19)&gt;0,(1-($EC$2-AM$2)/$C19),0)</f>
        <v>0.48333333333333328</v>
      </c>
      <c r="DM19" s="333">
        <f t="shared" ref="DM19:DM31" si="51">IF((1-($EC$2-AQ$2)/$C19)&gt;0,(1-($EC$2-AQ$2)/$C19),0)</f>
        <v>0.51666666666666661</v>
      </c>
      <c r="DN19" s="333">
        <f t="shared" ref="DN19:DN31" si="52">IF((1-($EC$2-AU$2)/$C19)&gt;0,(1-($EC$2-AU$2)/$C19),0)</f>
        <v>0.55000000000000004</v>
      </c>
      <c r="DO19" s="333">
        <f t="shared" ref="DO19:DO31" si="53">IF((1-($EC$2-AY$2)/$C19)&gt;0,(1-($EC$2-AY$2)/$C19),0)</f>
        <v>0.58333333333333326</v>
      </c>
      <c r="DP19" s="333">
        <f t="shared" ref="DP19:DP31" si="54">IF((1-($EC$2-BC$2)/$C19)&gt;0,(1-($EC$2-BC$2)/$C19),0)</f>
        <v>0.6166666666666667</v>
      </c>
      <c r="DQ19" s="333">
        <f t="shared" ref="DQ19:DQ31" si="55">IF(BG19=0,0,1-($EC$2-(2014.5-(BG19-BI19)*C19/BG19))/C19)</f>
        <v>0.30506997735957009</v>
      </c>
      <c r="DR19" s="333">
        <f t="shared" ref="DR19:DR31" si="56">IF((1-($EC$2-BJ$2)/$C19)&gt;0,(1-($EC$2-BJ$2)/$C19),0)</f>
        <v>0.65</v>
      </c>
      <c r="DS19" s="333">
        <f t="shared" ref="DS19:DS31" si="57">IF((1-($EC$2-BN$2)/$C19)&gt;0,(1-($EC$2-BN$2)/$C19),0)</f>
        <v>0.68333333333333335</v>
      </c>
      <c r="DT19" s="333">
        <f t="shared" ref="DT19:DT31" si="58">IF((1-($EC$2-BR$2)/$C19)&gt;0,(1-($EC$2-BR$2)/$C19),0)</f>
        <v>0.71666666666666667</v>
      </c>
      <c r="DU19" s="333">
        <f t="shared" ref="DU19:DU31" si="59">IF((1-($EC$2-BV$2)/$C19)&gt;0,(1-($EC$2-BV$2)/$C19),0)</f>
        <v>0.75</v>
      </c>
      <c r="DV19" s="333">
        <f t="shared" ref="DV19:DV31" si="60">IF((1-($EC$2-BZ$2)/$C19)&gt;0,(1-($EC$2-BZ$2)/$C19),0)</f>
        <v>0.78333333333333333</v>
      </c>
      <c r="DW19" s="333">
        <f t="shared" ref="DW19:DW31" si="61">IF((1-($EC$2-CD$2)/$C19)&gt;0,(1-($EC$2-CD$2)/$C19),0)</f>
        <v>0.81666666666666665</v>
      </c>
      <c r="DX19" s="333">
        <f t="shared" ref="DX19:DX31" si="62">IF((1-($EC$2-CH$2)/$C19)&gt;0,(1-($EC$2-CH$2)/$C19),0)</f>
        <v>0.85</v>
      </c>
      <c r="DY19" s="333">
        <f t="shared" ref="DY19:DY31" si="63">IF((1-($EC$2-CL$2)/$C19)&gt;0,(1-($EC$2-CL$2)/$C19),0)</f>
        <v>0.8833333333333333</v>
      </c>
      <c r="DZ19" s="333">
        <f t="shared" ref="DZ19:DZ31" si="64">IF((1-($EC$2-CP$2)/$C19)&gt;0,(1-($EC$2-CP$2)/$C19),0)</f>
        <v>0.91666666666666663</v>
      </c>
      <c r="EA19" s="333">
        <f t="shared" ref="EA19:EA31" si="65">IF((1-($EC$2-CT$2)/$C19)&gt;0,(1-($EC$2-CT$2)/$C19),0)</f>
        <v>0.95</v>
      </c>
      <c r="EB19" s="333">
        <f t="shared" ref="EB19:EB31" si="66">IF((1-($EC$2-CX$2)/$C19)&gt;0,(1-($EC$2-CX$2)/$C19),0)</f>
        <v>0.98333333333333328</v>
      </c>
      <c r="EC19" s="334">
        <f t="shared" si="37"/>
        <v>70455996.11382775</v>
      </c>
      <c r="ED19" s="334">
        <f t="shared" si="38"/>
        <v>20631115.423739497</v>
      </c>
      <c r="EE19" s="334">
        <f t="shared" si="39"/>
        <v>34795265.019903362</v>
      </c>
    </row>
    <row r="20" spans="1:135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290">
        <v>1453339.2800000005</v>
      </c>
      <c r="CI20" s="290">
        <v>27821.311839000002</v>
      </c>
      <c r="CJ20" s="290"/>
      <c r="CK20" s="290"/>
      <c r="CL20" s="290">
        <v>1233452.23</v>
      </c>
      <c r="CM20" s="290"/>
      <c r="CN20" s="290"/>
      <c r="CO20" s="290"/>
      <c r="CP20" s="290">
        <v>1726610.3399999994</v>
      </c>
      <c r="CQ20" s="290"/>
      <c r="CR20" s="290"/>
      <c r="CS20" s="290"/>
      <c r="CT20" s="290">
        <v>2337956.8699999987</v>
      </c>
      <c r="CU20" s="290">
        <v>4989.49</v>
      </c>
      <c r="CV20" s="290"/>
      <c r="CW20" s="290"/>
      <c r="CX20" s="430">
        <v>1672446.1500000001</v>
      </c>
      <c r="CY20" s="430">
        <f t="shared" si="33"/>
        <v>1575.05147639917</v>
      </c>
      <c r="CZ20" s="430"/>
      <c r="DA20" s="430"/>
      <c r="DB20" s="321">
        <f t="shared" si="40"/>
        <v>1987.6165577130359</v>
      </c>
      <c r="DC20" s="333">
        <f t="shared" si="41"/>
        <v>0</v>
      </c>
      <c r="DD20" s="333">
        <f t="shared" si="42"/>
        <v>0.21666666666666667</v>
      </c>
      <c r="DE20" s="333">
        <f t="shared" si="43"/>
        <v>0.25</v>
      </c>
      <c r="DF20" s="333">
        <f t="shared" si="44"/>
        <v>0.28333333333333333</v>
      </c>
      <c r="DG20" s="333">
        <f t="shared" si="45"/>
        <v>0.31666666666666665</v>
      </c>
      <c r="DH20" s="333">
        <f t="shared" si="46"/>
        <v>0.35</v>
      </c>
      <c r="DI20" s="333">
        <f t="shared" si="47"/>
        <v>0.3833333333333333</v>
      </c>
      <c r="DJ20" s="333">
        <f t="shared" si="48"/>
        <v>0.41666666666666663</v>
      </c>
      <c r="DK20" s="333">
        <f t="shared" si="49"/>
        <v>0.44999999999999996</v>
      </c>
      <c r="DL20" s="333">
        <f t="shared" si="50"/>
        <v>0.48333333333333328</v>
      </c>
      <c r="DM20" s="333">
        <f t="shared" si="51"/>
        <v>0.51666666666666661</v>
      </c>
      <c r="DN20" s="333">
        <f t="shared" si="52"/>
        <v>0.55000000000000004</v>
      </c>
      <c r="DO20" s="333">
        <f t="shared" si="53"/>
        <v>0.58333333333333326</v>
      </c>
      <c r="DP20" s="333">
        <f t="shared" si="54"/>
        <v>0.6166666666666667</v>
      </c>
      <c r="DQ20" s="333">
        <f t="shared" si="55"/>
        <v>0</v>
      </c>
      <c r="DR20" s="333">
        <f t="shared" si="56"/>
        <v>0.65</v>
      </c>
      <c r="DS20" s="333">
        <f t="shared" si="57"/>
        <v>0.68333333333333335</v>
      </c>
      <c r="DT20" s="333">
        <f t="shared" si="58"/>
        <v>0.71666666666666667</v>
      </c>
      <c r="DU20" s="333">
        <f t="shared" si="59"/>
        <v>0.75</v>
      </c>
      <c r="DV20" s="333">
        <f t="shared" si="60"/>
        <v>0.78333333333333333</v>
      </c>
      <c r="DW20" s="333">
        <f t="shared" si="61"/>
        <v>0.81666666666666665</v>
      </c>
      <c r="DX20" s="333">
        <f t="shared" si="62"/>
        <v>0.85</v>
      </c>
      <c r="DY20" s="333">
        <f t="shared" si="63"/>
        <v>0.8833333333333333</v>
      </c>
      <c r="DZ20" s="333">
        <f t="shared" si="64"/>
        <v>0.91666666666666663</v>
      </c>
      <c r="EA20" s="333">
        <f t="shared" si="65"/>
        <v>0.95</v>
      </c>
      <c r="EB20" s="333">
        <f t="shared" si="66"/>
        <v>0.98333333333333328</v>
      </c>
      <c r="EC20" s="334">
        <f t="shared" si="37"/>
        <v>39405507.461568825</v>
      </c>
      <c r="ED20" s="334">
        <f t="shared" si="38"/>
        <v>20319163.888809633</v>
      </c>
      <c r="EE20" s="334">
        <f t="shared" si="39"/>
        <v>14214773.654711876</v>
      </c>
    </row>
    <row r="21" spans="1:135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290">
        <v>0</v>
      </c>
      <c r="CI21" s="290">
        <v>0</v>
      </c>
      <c r="CJ21" s="290"/>
      <c r="CK21" s="290"/>
      <c r="CL21" s="290">
        <v>0</v>
      </c>
      <c r="CM21" s="290"/>
      <c r="CN21" s="290"/>
      <c r="CO21" s="290"/>
      <c r="CP21" s="290">
        <v>0</v>
      </c>
      <c r="CQ21" s="290"/>
      <c r="CR21" s="290"/>
      <c r="CS21" s="290"/>
      <c r="CT21" s="290">
        <v>0</v>
      </c>
      <c r="CU21" s="290"/>
      <c r="CV21" s="290"/>
      <c r="CW21" s="290"/>
      <c r="CX21" s="430">
        <v>0</v>
      </c>
      <c r="CY21" s="430">
        <f t="shared" si="33"/>
        <v>0</v>
      </c>
      <c r="CZ21" s="430"/>
      <c r="DA21" s="430"/>
      <c r="DB21" s="321">
        <f t="shared" si="40"/>
        <v>1987.6167726485194</v>
      </c>
      <c r="DC21" s="333">
        <f t="shared" si="41"/>
        <v>0</v>
      </c>
      <c r="DD21" s="333">
        <f t="shared" si="42"/>
        <v>0.21666666666666667</v>
      </c>
      <c r="DE21" s="333">
        <f t="shared" si="43"/>
        <v>0.25</v>
      </c>
      <c r="DF21" s="333">
        <f t="shared" si="44"/>
        <v>0.28333333333333333</v>
      </c>
      <c r="DG21" s="333">
        <f t="shared" si="45"/>
        <v>0.31666666666666665</v>
      </c>
      <c r="DH21" s="333">
        <f t="shared" si="46"/>
        <v>0.35</v>
      </c>
      <c r="DI21" s="333">
        <f t="shared" si="47"/>
        <v>0.3833333333333333</v>
      </c>
      <c r="DJ21" s="333">
        <f t="shared" si="48"/>
        <v>0.41666666666666663</v>
      </c>
      <c r="DK21" s="333">
        <f t="shared" si="49"/>
        <v>0.44999999999999996</v>
      </c>
      <c r="DL21" s="333">
        <f t="shared" si="50"/>
        <v>0.48333333333333328</v>
      </c>
      <c r="DM21" s="333">
        <f t="shared" si="51"/>
        <v>0.51666666666666661</v>
      </c>
      <c r="DN21" s="333">
        <f t="shared" si="52"/>
        <v>0.55000000000000004</v>
      </c>
      <c r="DO21" s="333">
        <f t="shared" si="53"/>
        <v>0.58333333333333326</v>
      </c>
      <c r="DP21" s="333">
        <f t="shared" si="54"/>
        <v>0.6166666666666667</v>
      </c>
      <c r="DQ21" s="333">
        <f t="shared" si="55"/>
        <v>0.33333340376395126</v>
      </c>
      <c r="DR21" s="333">
        <f t="shared" si="56"/>
        <v>0.65</v>
      </c>
      <c r="DS21" s="333">
        <f t="shared" si="57"/>
        <v>0.68333333333333335</v>
      </c>
      <c r="DT21" s="333">
        <f t="shared" si="58"/>
        <v>0.71666666666666667</v>
      </c>
      <c r="DU21" s="333">
        <f t="shared" si="59"/>
        <v>0.75</v>
      </c>
      <c r="DV21" s="333">
        <f t="shared" si="60"/>
        <v>0.78333333333333333</v>
      </c>
      <c r="DW21" s="333">
        <f t="shared" si="61"/>
        <v>0.81666666666666665</v>
      </c>
      <c r="DX21" s="333">
        <f t="shared" si="62"/>
        <v>0.85</v>
      </c>
      <c r="DY21" s="333">
        <f t="shared" si="63"/>
        <v>0.8833333333333333</v>
      </c>
      <c r="DZ21" s="333">
        <f t="shared" si="64"/>
        <v>0.91666666666666663</v>
      </c>
      <c r="EA21" s="333">
        <f t="shared" si="65"/>
        <v>0.95</v>
      </c>
      <c r="EB21" s="333">
        <f t="shared" si="66"/>
        <v>0.98333333333333328</v>
      </c>
      <c r="EC21" s="334">
        <f t="shared" si="37"/>
        <v>220572.67704669843</v>
      </c>
      <c r="ED21" s="334">
        <f t="shared" si="38"/>
        <v>149580.82704669842</v>
      </c>
      <c r="EE21" s="334">
        <f t="shared" si="39"/>
        <v>23663.954999999867</v>
      </c>
    </row>
    <row r="22" spans="1:135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290">
        <v>651665.85</v>
      </c>
      <c r="CI22" s="290">
        <v>4568.1160339999997</v>
      </c>
      <c r="CJ22" s="290"/>
      <c r="CK22" s="290"/>
      <c r="CL22" s="290">
        <v>121215.21</v>
      </c>
      <c r="CM22" s="290"/>
      <c r="CN22" s="290"/>
      <c r="CO22" s="290"/>
      <c r="CP22" s="290">
        <v>17110513.980000004</v>
      </c>
      <c r="CQ22" s="290"/>
      <c r="CR22" s="290"/>
      <c r="CS22" s="290"/>
      <c r="CT22" s="290">
        <v>1072951.01</v>
      </c>
      <c r="CU22" s="290">
        <v>277047.57</v>
      </c>
      <c r="CV22" s="290"/>
      <c r="CW22" s="290"/>
      <c r="CX22" s="430">
        <v>4286967.8600000003</v>
      </c>
      <c r="CY22" s="430">
        <f t="shared" si="33"/>
        <v>64884.718842621456</v>
      </c>
      <c r="CZ22" s="430"/>
      <c r="DA22" s="430"/>
      <c r="DB22" s="321">
        <f t="shared" si="40"/>
        <v>0</v>
      </c>
      <c r="DC22" s="333">
        <f t="shared" si="41"/>
        <v>0</v>
      </c>
      <c r="DD22" s="333">
        <f t="shared" si="42"/>
        <v>0.21666666666666667</v>
      </c>
      <c r="DE22" s="333">
        <f t="shared" si="43"/>
        <v>0.25</v>
      </c>
      <c r="DF22" s="333">
        <f t="shared" si="44"/>
        <v>0.28333333333333333</v>
      </c>
      <c r="DG22" s="333">
        <f t="shared" si="45"/>
        <v>0.31666666666666665</v>
      </c>
      <c r="DH22" s="333">
        <f t="shared" si="46"/>
        <v>0.35</v>
      </c>
      <c r="DI22" s="333">
        <f t="shared" si="47"/>
        <v>0.3833333333333333</v>
      </c>
      <c r="DJ22" s="333">
        <f t="shared" si="48"/>
        <v>0.41666666666666663</v>
      </c>
      <c r="DK22" s="333">
        <f t="shared" si="49"/>
        <v>0.44999999999999996</v>
      </c>
      <c r="DL22" s="333">
        <f t="shared" si="50"/>
        <v>0.48333333333333328</v>
      </c>
      <c r="DM22" s="333">
        <f t="shared" si="51"/>
        <v>0.51666666666666661</v>
      </c>
      <c r="DN22" s="333">
        <f t="shared" si="52"/>
        <v>0.55000000000000004</v>
      </c>
      <c r="DO22" s="333">
        <f t="shared" si="53"/>
        <v>0.58333333333333326</v>
      </c>
      <c r="DP22" s="333">
        <f t="shared" si="54"/>
        <v>0.6166666666666667</v>
      </c>
      <c r="DQ22" s="333">
        <f t="shared" si="55"/>
        <v>0</v>
      </c>
      <c r="DR22" s="333">
        <f t="shared" si="56"/>
        <v>0.65</v>
      </c>
      <c r="DS22" s="333">
        <f t="shared" si="57"/>
        <v>0.68333333333333335</v>
      </c>
      <c r="DT22" s="333">
        <f t="shared" si="58"/>
        <v>0.71666666666666667</v>
      </c>
      <c r="DU22" s="333">
        <f t="shared" si="59"/>
        <v>0.75</v>
      </c>
      <c r="DV22" s="333">
        <f t="shared" si="60"/>
        <v>0.78333333333333333</v>
      </c>
      <c r="DW22" s="333">
        <f t="shared" si="61"/>
        <v>0.81666666666666665</v>
      </c>
      <c r="DX22" s="333">
        <f t="shared" si="62"/>
        <v>0.85</v>
      </c>
      <c r="DY22" s="333">
        <f t="shared" si="63"/>
        <v>0.8833333333333333</v>
      </c>
      <c r="DZ22" s="333">
        <f t="shared" si="64"/>
        <v>0.91666666666666663</v>
      </c>
      <c r="EA22" s="333">
        <f t="shared" si="65"/>
        <v>0.95</v>
      </c>
      <c r="EB22" s="333">
        <f t="shared" si="66"/>
        <v>0.98333333333333328</v>
      </c>
      <c r="EC22" s="334">
        <f t="shared" si="37"/>
        <v>24707625.994552795</v>
      </c>
      <c r="ED22" s="334">
        <f t="shared" si="38"/>
        <v>0</v>
      </c>
      <c r="EE22" s="334">
        <f t="shared" si="39"/>
        <v>21757010.475038353</v>
      </c>
    </row>
    <row r="23" spans="1:135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290">
        <v>228894.65</v>
      </c>
      <c r="CI23" s="290">
        <v>0</v>
      </c>
      <c r="CJ23" s="290"/>
      <c r="CK23" s="290"/>
      <c r="CL23" s="290">
        <v>429753.95999999996</v>
      </c>
      <c r="CM23" s="290"/>
      <c r="CN23" s="290"/>
      <c r="CO23" s="290"/>
      <c r="CP23" s="290">
        <v>613343.15</v>
      </c>
      <c r="CQ23" s="290"/>
      <c r="CR23" s="290"/>
      <c r="CS23" s="290"/>
      <c r="CT23" s="290">
        <v>96864.66</v>
      </c>
      <c r="CU23" s="290">
        <v>5774.91</v>
      </c>
      <c r="CV23" s="290"/>
      <c r="CW23" s="290"/>
      <c r="CX23" s="430">
        <v>396456.9599999999</v>
      </c>
      <c r="CY23" s="430">
        <f t="shared" si="33"/>
        <v>2008.4035474922982</v>
      </c>
      <c r="CZ23" s="430"/>
      <c r="DA23" s="430"/>
      <c r="DB23" s="321">
        <f t="shared" si="40"/>
        <v>0</v>
      </c>
      <c r="DC23" s="333">
        <f t="shared" si="41"/>
        <v>0</v>
      </c>
      <c r="DD23" s="333">
        <f t="shared" si="42"/>
        <v>0.21666666666666667</v>
      </c>
      <c r="DE23" s="333">
        <f t="shared" si="43"/>
        <v>0.25</v>
      </c>
      <c r="DF23" s="333">
        <f t="shared" si="44"/>
        <v>0.28333333333333333</v>
      </c>
      <c r="DG23" s="333">
        <f t="shared" si="45"/>
        <v>0.31666666666666665</v>
      </c>
      <c r="DH23" s="333">
        <f t="shared" si="46"/>
        <v>0.35</v>
      </c>
      <c r="DI23" s="333">
        <f t="shared" si="47"/>
        <v>0.3833333333333333</v>
      </c>
      <c r="DJ23" s="333">
        <f t="shared" si="48"/>
        <v>0.41666666666666663</v>
      </c>
      <c r="DK23" s="333">
        <f t="shared" si="49"/>
        <v>0.44999999999999996</v>
      </c>
      <c r="DL23" s="333">
        <f t="shared" si="50"/>
        <v>0.48333333333333328</v>
      </c>
      <c r="DM23" s="333">
        <f t="shared" si="51"/>
        <v>0.51666666666666661</v>
      </c>
      <c r="DN23" s="333">
        <f t="shared" si="52"/>
        <v>0.55000000000000004</v>
      </c>
      <c r="DO23" s="333">
        <f t="shared" si="53"/>
        <v>0.58333333333333326</v>
      </c>
      <c r="DP23" s="333">
        <f t="shared" si="54"/>
        <v>0.6166666666666667</v>
      </c>
      <c r="DQ23" s="333">
        <f t="shared" si="55"/>
        <v>0</v>
      </c>
      <c r="DR23" s="333">
        <f t="shared" si="56"/>
        <v>0.65</v>
      </c>
      <c r="DS23" s="333">
        <f t="shared" si="57"/>
        <v>0.68333333333333335</v>
      </c>
      <c r="DT23" s="333">
        <f t="shared" si="58"/>
        <v>0.71666666666666667</v>
      </c>
      <c r="DU23" s="333">
        <f t="shared" si="59"/>
        <v>0.75</v>
      </c>
      <c r="DV23" s="333">
        <f t="shared" si="60"/>
        <v>0.78333333333333333</v>
      </c>
      <c r="DW23" s="333">
        <f t="shared" si="61"/>
        <v>0.81666666666666665</v>
      </c>
      <c r="DX23" s="333">
        <f t="shared" si="62"/>
        <v>0.85</v>
      </c>
      <c r="DY23" s="333">
        <f t="shared" si="63"/>
        <v>0.8833333333333333</v>
      </c>
      <c r="DZ23" s="333">
        <f t="shared" si="64"/>
        <v>0.91666666666666663</v>
      </c>
      <c r="EA23" s="333">
        <f t="shared" si="65"/>
        <v>0.95</v>
      </c>
      <c r="EB23" s="333">
        <f t="shared" si="66"/>
        <v>0.98333333333333328</v>
      </c>
      <c r="EC23" s="334">
        <f t="shared" si="37"/>
        <v>5712289.3641316528</v>
      </c>
      <c r="ED23" s="334">
        <f t="shared" si="38"/>
        <v>0</v>
      </c>
      <c r="EE23" s="334">
        <f t="shared" si="39"/>
        <v>4230706.8503728257</v>
      </c>
    </row>
    <row r="24" spans="1:135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290">
        <v>0</v>
      </c>
      <c r="CI24" s="290">
        <v>0</v>
      </c>
      <c r="CJ24" s="290"/>
      <c r="CK24" s="290"/>
      <c r="CL24" s="290">
        <v>0</v>
      </c>
      <c r="CM24" s="290"/>
      <c r="CN24" s="290"/>
      <c r="CO24" s="290"/>
      <c r="CP24" s="290">
        <v>0</v>
      </c>
      <c r="CQ24" s="290"/>
      <c r="CR24" s="290"/>
      <c r="CS24" s="290"/>
      <c r="CT24" s="290">
        <v>0</v>
      </c>
      <c r="CU24" s="290"/>
      <c r="CV24" s="290"/>
      <c r="CW24" s="290"/>
      <c r="CX24" s="430">
        <v>0</v>
      </c>
      <c r="CY24" s="430">
        <f t="shared" si="33"/>
        <v>0</v>
      </c>
      <c r="CZ24" s="430"/>
      <c r="DA24" s="430"/>
      <c r="DB24" s="321">
        <f t="shared" si="40"/>
        <v>0</v>
      </c>
      <c r="DC24" s="333">
        <f t="shared" si="41"/>
        <v>0</v>
      </c>
      <c r="DD24" s="333">
        <f t="shared" si="42"/>
        <v>0.21666666666666667</v>
      </c>
      <c r="DE24" s="333">
        <f t="shared" si="43"/>
        <v>0.25</v>
      </c>
      <c r="DF24" s="333">
        <f t="shared" si="44"/>
        <v>0.28333333333333333</v>
      </c>
      <c r="DG24" s="333">
        <f t="shared" si="45"/>
        <v>0.31666666666666665</v>
      </c>
      <c r="DH24" s="333">
        <f t="shared" si="46"/>
        <v>0.35</v>
      </c>
      <c r="DI24" s="333">
        <f t="shared" si="47"/>
        <v>0.3833333333333333</v>
      </c>
      <c r="DJ24" s="333">
        <f t="shared" si="48"/>
        <v>0.41666666666666663</v>
      </c>
      <c r="DK24" s="333">
        <f t="shared" si="49"/>
        <v>0.44999999999999996</v>
      </c>
      <c r="DL24" s="333">
        <f t="shared" si="50"/>
        <v>0.48333333333333328</v>
      </c>
      <c r="DM24" s="333">
        <f t="shared" si="51"/>
        <v>0.51666666666666661</v>
      </c>
      <c r="DN24" s="333">
        <f t="shared" si="52"/>
        <v>0.55000000000000004</v>
      </c>
      <c r="DO24" s="333">
        <f t="shared" si="53"/>
        <v>0.58333333333333326</v>
      </c>
      <c r="DP24" s="333">
        <f t="shared" si="54"/>
        <v>0.6166666666666667</v>
      </c>
      <c r="DQ24" s="333">
        <f t="shared" si="55"/>
        <v>0</v>
      </c>
      <c r="DR24" s="333">
        <f t="shared" si="56"/>
        <v>0.65</v>
      </c>
      <c r="DS24" s="333">
        <f t="shared" si="57"/>
        <v>0.68333333333333335</v>
      </c>
      <c r="DT24" s="333">
        <f t="shared" si="58"/>
        <v>0.71666666666666667</v>
      </c>
      <c r="DU24" s="333">
        <f t="shared" si="59"/>
        <v>0.75</v>
      </c>
      <c r="DV24" s="333">
        <f t="shared" si="60"/>
        <v>0.78333333333333333</v>
      </c>
      <c r="DW24" s="333">
        <f t="shared" si="61"/>
        <v>0.81666666666666665</v>
      </c>
      <c r="DX24" s="333">
        <f t="shared" si="62"/>
        <v>0.85</v>
      </c>
      <c r="DY24" s="333">
        <f t="shared" si="63"/>
        <v>0.8833333333333333</v>
      </c>
      <c r="DZ24" s="333">
        <f t="shared" si="64"/>
        <v>0.91666666666666663</v>
      </c>
      <c r="EA24" s="333">
        <f t="shared" si="65"/>
        <v>0.95</v>
      </c>
      <c r="EB24" s="333">
        <f t="shared" si="66"/>
        <v>0.98333333333333328</v>
      </c>
      <c r="EC24" s="334">
        <f t="shared" si="37"/>
        <v>0</v>
      </c>
      <c r="ED24" s="334">
        <f t="shared" si="38"/>
        <v>0</v>
      </c>
      <c r="EE24" s="334">
        <f t="shared" si="39"/>
        <v>0</v>
      </c>
    </row>
    <row r="25" spans="1:135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290">
        <v>0</v>
      </c>
      <c r="CI25" s="290">
        <v>0</v>
      </c>
      <c r="CJ25" s="290"/>
      <c r="CK25" s="290"/>
      <c r="CL25" s="290">
        <v>76613.399999999994</v>
      </c>
      <c r="CM25" s="290"/>
      <c r="CN25" s="290"/>
      <c r="CO25" s="290"/>
      <c r="CP25" s="290">
        <v>5879472.1299999999</v>
      </c>
      <c r="CQ25" s="290"/>
      <c r="CR25" s="290"/>
      <c r="CS25" s="290"/>
      <c r="CT25" s="290">
        <v>0</v>
      </c>
      <c r="CU25" s="290"/>
      <c r="CV25" s="290"/>
      <c r="CW25" s="290"/>
      <c r="CX25" s="430">
        <v>1005572.69</v>
      </c>
      <c r="CY25" s="430">
        <f t="shared" si="33"/>
        <v>0</v>
      </c>
      <c r="CZ25" s="430"/>
      <c r="DA25" s="430"/>
      <c r="DB25" s="321">
        <f t="shared" si="40"/>
        <v>1983.0579643777135</v>
      </c>
      <c r="DC25" s="333">
        <f t="shared" si="41"/>
        <v>0</v>
      </c>
      <c r="DD25" s="333">
        <f t="shared" si="42"/>
        <v>0.21666666666666667</v>
      </c>
      <c r="DE25" s="333">
        <f t="shared" si="43"/>
        <v>0.25</v>
      </c>
      <c r="DF25" s="333">
        <f t="shared" si="44"/>
        <v>0.28333333333333333</v>
      </c>
      <c r="DG25" s="333">
        <f t="shared" si="45"/>
        <v>0.31666666666666665</v>
      </c>
      <c r="DH25" s="333">
        <f t="shared" si="46"/>
        <v>0.35</v>
      </c>
      <c r="DI25" s="333">
        <f t="shared" si="47"/>
        <v>0.3833333333333333</v>
      </c>
      <c r="DJ25" s="333">
        <f t="shared" si="48"/>
        <v>0.41666666666666663</v>
      </c>
      <c r="DK25" s="333">
        <f t="shared" si="49"/>
        <v>0.44999999999999996</v>
      </c>
      <c r="DL25" s="333">
        <f t="shared" si="50"/>
        <v>0.48333333333333328</v>
      </c>
      <c r="DM25" s="333">
        <f t="shared" si="51"/>
        <v>0.51666666666666661</v>
      </c>
      <c r="DN25" s="333">
        <f t="shared" si="52"/>
        <v>0.55000000000000004</v>
      </c>
      <c r="DO25" s="333">
        <f t="shared" si="53"/>
        <v>0.58333333333333326</v>
      </c>
      <c r="DP25" s="333">
        <f t="shared" si="54"/>
        <v>0.6166666666666667</v>
      </c>
      <c r="DQ25" s="333">
        <f t="shared" si="55"/>
        <v>0.18576094194191528</v>
      </c>
      <c r="DR25" s="333">
        <f t="shared" si="56"/>
        <v>0.65</v>
      </c>
      <c r="DS25" s="333">
        <f t="shared" si="57"/>
        <v>0.68333333333333335</v>
      </c>
      <c r="DT25" s="333">
        <f t="shared" si="58"/>
        <v>0.71666666666666667</v>
      </c>
      <c r="DU25" s="333">
        <f t="shared" si="59"/>
        <v>0.75</v>
      </c>
      <c r="DV25" s="333">
        <f t="shared" si="60"/>
        <v>0.78333333333333333</v>
      </c>
      <c r="DW25" s="333">
        <f t="shared" si="61"/>
        <v>0.81666666666666665</v>
      </c>
      <c r="DX25" s="333">
        <f t="shared" si="62"/>
        <v>0.85</v>
      </c>
      <c r="DY25" s="333">
        <f t="shared" si="63"/>
        <v>0.8833333333333333</v>
      </c>
      <c r="DZ25" s="333">
        <f t="shared" si="64"/>
        <v>0.91666666666666663</v>
      </c>
      <c r="EA25" s="333">
        <f t="shared" si="65"/>
        <v>0.95</v>
      </c>
      <c r="EB25" s="333">
        <f t="shared" si="66"/>
        <v>0.98333333333333328</v>
      </c>
      <c r="EC25" s="334">
        <f t="shared" si="37"/>
        <v>16497901.412987761</v>
      </c>
      <c r="ED25" s="334">
        <f t="shared" si="38"/>
        <v>5501374.3444445133</v>
      </c>
      <c r="EE25" s="334">
        <f t="shared" si="39"/>
        <v>8340213.0828046165</v>
      </c>
    </row>
    <row r="26" spans="1:135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290">
        <v>0</v>
      </c>
      <c r="CI26" s="290">
        <v>0</v>
      </c>
      <c r="CJ26" s="290"/>
      <c r="CK26" s="290"/>
      <c r="CL26" s="290">
        <v>0</v>
      </c>
      <c r="CM26" s="290"/>
      <c r="CN26" s="290"/>
      <c r="CO26" s="290"/>
      <c r="CP26" s="290">
        <v>0</v>
      </c>
      <c r="CQ26" s="290"/>
      <c r="CR26" s="290"/>
      <c r="CS26" s="290"/>
      <c r="CT26" s="290">
        <v>0</v>
      </c>
      <c r="CU26" s="290"/>
      <c r="CV26" s="290"/>
      <c r="CW26" s="290"/>
      <c r="CX26" s="430">
        <v>0</v>
      </c>
      <c r="CY26" s="430">
        <f t="shared" si="33"/>
        <v>0</v>
      </c>
      <c r="CZ26" s="430"/>
      <c r="DA26" s="430"/>
      <c r="DB26" s="321">
        <f t="shared" si="40"/>
        <v>0</v>
      </c>
      <c r="DC26" s="333">
        <f t="shared" si="41"/>
        <v>0</v>
      </c>
      <c r="DD26" s="333">
        <f t="shared" si="42"/>
        <v>0.21666666666666667</v>
      </c>
      <c r="DE26" s="333">
        <f t="shared" si="43"/>
        <v>0.25</v>
      </c>
      <c r="DF26" s="333">
        <f t="shared" si="44"/>
        <v>0.28333333333333333</v>
      </c>
      <c r="DG26" s="333">
        <f t="shared" si="45"/>
        <v>0.31666666666666665</v>
      </c>
      <c r="DH26" s="333">
        <f t="shared" si="46"/>
        <v>0.35</v>
      </c>
      <c r="DI26" s="333">
        <f t="shared" si="47"/>
        <v>0.3833333333333333</v>
      </c>
      <c r="DJ26" s="333">
        <f t="shared" si="48"/>
        <v>0.41666666666666663</v>
      </c>
      <c r="DK26" s="333">
        <f t="shared" si="49"/>
        <v>0.44999999999999996</v>
      </c>
      <c r="DL26" s="333">
        <f t="shared" si="50"/>
        <v>0.48333333333333328</v>
      </c>
      <c r="DM26" s="333">
        <f t="shared" si="51"/>
        <v>0.51666666666666661</v>
      </c>
      <c r="DN26" s="333">
        <f t="shared" si="52"/>
        <v>0.55000000000000004</v>
      </c>
      <c r="DO26" s="333">
        <f t="shared" si="53"/>
        <v>0.58333333333333326</v>
      </c>
      <c r="DP26" s="333">
        <f t="shared" si="54"/>
        <v>0.6166666666666667</v>
      </c>
      <c r="DQ26" s="333">
        <f t="shared" si="55"/>
        <v>0.38745741249573107</v>
      </c>
      <c r="DR26" s="333">
        <f t="shared" si="56"/>
        <v>0.65</v>
      </c>
      <c r="DS26" s="333">
        <f t="shared" si="57"/>
        <v>0.68333333333333335</v>
      </c>
      <c r="DT26" s="333">
        <f t="shared" si="58"/>
        <v>0.71666666666666667</v>
      </c>
      <c r="DU26" s="333">
        <f t="shared" si="59"/>
        <v>0.75</v>
      </c>
      <c r="DV26" s="333">
        <f t="shared" si="60"/>
        <v>0.78333333333333333</v>
      </c>
      <c r="DW26" s="333">
        <f t="shared" si="61"/>
        <v>0.81666666666666665</v>
      </c>
      <c r="DX26" s="333">
        <f t="shared" si="62"/>
        <v>0.85</v>
      </c>
      <c r="DY26" s="333">
        <f t="shared" si="63"/>
        <v>0.8833333333333333</v>
      </c>
      <c r="DZ26" s="333">
        <f t="shared" si="64"/>
        <v>0.91666666666666663</v>
      </c>
      <c r="EA26" s="333">
        <f t="shared" si="65"/>
        <v>0.95</v>
      </c>
      <c r="EB26" s="333">
        <f t="shared" si="66"/>
        <v>0.98333333333333328</v>
      </c>
      <c r="EC26" s="334">
        <f t="shared" si="37"/>
        <v>2503042.5259680757</v>
      </c>
      <c r="ED26" s="334">
        <f t="shared" si="38"/>
        <v>0</v>
      </c>
      <c r="EE26" s="334">
        <f t="shared" si="39"/>
        <v>0</v>
      </c>
    </row>
    <row r="27" spans="1:135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290">
        <v>0</v>
      </c>
      <c r="CI27" s="290">
        <v>0</v>
      </c>
      <c r="CJ27" s="290"/>
      <c r="CK27" s="290"/>
      <c r="CL27" s="290">
        <v>0</v>
      </c>
      <c r="CM27" s="290"/>
      <c r="CN27" s="290"/>
      <c r="CO27" s="290"/>
      <c r="CP27" s="290">
        <v>0</v>
      </c>
      <c r="CQ27" s="290"/>
      <c r="CR27" s="290"/>
      <c r="CS27" s="290"/>
      <c r="CT27" s="290">
        <v>0</v>
      </c>
      <c r="CU27" s="290"/>
      <c r="CV27" s="290"/>
      <c r="CW27" s="290"/>
      <c r="CX27" s="430">
        <v>0</v>
      </c>
      <c r="CY27" s="430">
        <f t="shared" si="33"/>
        <v>0</v>
      </c>
      <c r="CZ27" s="430"/>
      <c r="DA27" s="430"/>
      <c r="DB27" s="321">
        <f t="shared" si="40"/>
        <v>0</v>
      </c>
      <c r="DC27" s="333">
        <f t="shared" si="41"/>
        <v>0</v>
      </c>
      <c r="DD27" s="333">
        <f t="shared" si="42"/>
        <v>0.21666666666666667</v>
      </c>
      <c r="DE27" s="333">
        <f t="shared" si="43"/>
        <v>0.25</v>
      </c>
      <c r="DF27" s="333">
        <f t="shared" si="44"/>
        <v>0.28333333333333333</v>
      </c>
      <c r="DG27" s="333">
        <f t="shared" si="45"/>
        <v>0.31666666666666665</v>
      </c>
      <c r="DH27" s="333">
        <f t="shared" si="46"/>
        <v>0.35</v>
      </c>
      <c r="DI27" s="333">
        <f t="shared" si="47"/>
        <v>0.3833333333333333</v>
      </c>
      <c r="DJ27" s="333">
        <f t="shared" si="48"/>
        <v>0.41666666666666663</v>
      </c>
      <c r="DK27" s="333">
        <f t="shared" si="49"/>
        <v>0.44999999999999996</v>
      </c>
      <c r="DL27" s="333">
        <f t="shared" si="50"/>
        <v>0.48333333333333328</v>
      </c>
      <c r="DM27" s="333">
        <f t="shared" si="51"/>
        <v>0.51666666666666661</v>
      </c>
      <c r="DN27" s="333">
        <f t="shared" si="52"/>
        <v>0.55000000000000004</v>
      </c>
      <c r="DO27" s="333">
        <f t="shared" si="53"/>
        <v>0.58333333333333326</v>
      </c>
      <c r="DP27" s="333">
        <f t="shared" si="54"/>
        <v>0.6166666666666667</v>
      </c>
      <c r="DQ27" s="333">
        <f t="shared" si="55"/>
        <v>0</v>
      </c>
      <c r="DR27" s="333">
        <f t="shared" si="56"/>
        <v>0.65</v>
      </c>
      <c r="DS27" s="333">
        <f t="shared" si="57"/>
        <v>0.68333333333333335</v>
      </c>
      <c r="DT27" s="333">
        <f t="shared" si="58"/>
        <v>0.71666666666666667</v>
      </c>
      <c r="DU27" s="333">
        <f t="shared" si="59"/>
        <v>0.75</v>
      </c>
      <c r="DV27" s="333">
        <f t="shared" si="60"/>
        <v>0.78333333333333333</v>
      </c>
      <c r="DW27" s="333">
        <f t="shared" si="61"/>
        <v>0.81666666666666665</v>
      </c>
      <c r="DX27" s="333">
        <f t="shared" si="62"/>
        <v>0.85</v>
      </c>
      <c r="DY27" s="333">
        <f t="shared" si="63"/>
        <v>0.8833333333333333</v>
      </c>
      <c r="DZ27" s="333">
        <f t="shared" si="64"/>
        <v>0.91666666666666663</v>
      </c>
      <c r="EA27" s="333">
        <f t="shared" si="65"/>
        <v>0.95</v>
      </c>
      <c r="EB27" s="333">
        <f t="shared" si="66"/>
        <v>0.98333333333333328</v>
      </c>
      <c r="EC27" s="334">
        <f t="shared" si="37"/>
        <v>0</v>
      </c>
      <c r="ED27" s="334">
        <f t="shared" si="38"/>
        <v>0</v>
      </c>
      <c r="EE27" s="334">
        <f t="shared" si="39"/>
        <v>0</v>
      </c>
    </row>
    <row r="28" spans="1:135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290">
        <v>0</v>
      </c>
      <c r="CI28" s="290">
        <v>0</v>
      </c>
      <c r="CJ28" s="290"/>
      <c r="CK28" s="290"/>
      <c r="CL28" s="290">
        <v>0</v>
      </c>
      <c r="CM28" s="290"/>
      <c r="CN28" s="290"/>
      <c r="CO28" s="290"/>
      <c r="CP28" s="290">
        <v>0</v>
      </c>
      <c r="CQ28" s="290"/>
      <c r="CR28" s="290"/>
      <c r="CS28" s="290"/>
      <c r="CT28" s="290">
        <v>0</v>
      </c>
      <c r="CU28" s="290"/>
      <c r="CV28" s="290"/>
      <c r="CW28" s="290"/>
      <c r="CX28" s="430">
        <v>0</v>
      </c>
      <c r="CY28" s="430">
        <f t="shared" si="33"/>
        <v>0</v>
      </c>
      <c r="CZ28" s="430"/>
      <c r="DA28" s="430"/>
      <c r="DB28" s="321">
        <f t="shared" si="40"/>
        <v>0</v>
      </c>
      <c r="DC28" s="333">
        <f t="shared" si="41"/>
        <v>0</v>
      </c>
      <c r="DD28" s="333">
        <f t="shared" si="42"/>
        <v>0.21666666666666667</v>
      </c>
      <c r="DE28" s="333">
        <f t="shared" si="43"/>
        <v>0.25</v>
      </c>
      <c r="DF28" s="333">
        <f t="shared" si="44"/>
        <v>0.28333333333333333</v>
      </c>
      <c r="DG28" s="333">
        <f t="shared" si="45"/>
        <v>0.31666666666666665</v>
      </c>
      <c r="DH28" s="333">
        <f t="shared" si="46"/>
        <v>0.35</v>
      </c>
      <c r="DI28" s="333">
        <f t="shared" si="47"/>
        <v>0.3833333333333333</v>
      </c>
      <c r="DJ28" s="333">
        <f t="shared" si="48"/>
        <v>0.41666666666666663</v>
      </c>
      <c r="DK28" s="333">
        <f t="shared" si="49"/>
        <v>0.44999999999999996</v>
      </c>
      <c r="DL28" s="333">
        <f t="shared" si="50"/>
        <v>0.48333333333333328</v>
      </c>
      <c r="DM28" s="333">
        <f t="shared" si="51"/>
        <v>0.51666666666666661</v>
      </c>
      <c r="DN28" s="333">
        <f t="shared" si="52"/>
        <v>0.55000000000000004</v>
      </c>
      <c r="DO28" s="333">
        <f t="shared" si="53"/>
        <v>0.58333333333333326</v>
      </c>
      <c r="DP28" s="333">
        <f t="shared" si="54"/>
        <v>0.6166666666666667</v>
      </c>
      <c r="DQ28" s="333">
        <f t="shared" si="55"/>
        <v>0</v>
      </c>
      <c r="DR28" s="333">
        <f t="shared" si="56"/>
        <v>0.65</v>
      </c>
      <c r="DS28" s="333">
        <f t="shared" si="57"/>
        <v>0.68333333333333335</v>
      </c>
      <c r="DT28" s="333">
        <f t="shared" si="58"/>
        <v>0.71666666666666667</v>
      </c>
      <c r="DU28" s="333">
        <f t="shared" si="59"/>
        <v>0.75</v>
      </c>
      <c r="DV28" s="333">
        <f t="shared" si="60"/>
        <v>0.78333333333333333</v>
      </c>
      <c r="DW28" s="333">
        <f t="shared" si="61"/>
        <v>0.81666666666666665</v>
      </c>
      <c r="DX28" s="333">
        <f t="shared" si="62"/>
        <v>0.85</v>
      </c>
      <c r="DY28" s="333">
        <f t="shared" si="63"/>
        <v>0.8833333333333333</v>
      </c>
      <c r="DZ28" s="333">
        <f t="shared" si="64"/>
        <v>0.91666666666666663</v>
      </c>
      <c r="EA28" s="333">
        <f t="shared" si="65"/>
        <v>0.95</v>
      </c>
      <c r="EB28" s="333">
        <f t="shared" si="66"/>
        <v>0.98333333333333328</v>
      </c>
      <c r="EC28" s="334">
        <f t="shared" si="37"/>
        <v>21877.608</v>
      </c>
      <c r="ED28" s="334">
        <f t="shared" si="38"/>
        <v>0</v>
      </c>
      <c r="EE28" s="334">
        <f t="shared" si="39"/>
        <v>12761.937999999998</v>
      </c>
    </row>
    <row r="29" spans="1:135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290">
        <v>2447494.7299999995</v>
      </c>
      <c r="CI29" s="290">
        <v>9332.3399969999991</v>
      </c>
      <c r="CJ29" s="290"/>
      <c r="CK29" s="290"/>
      <c r="CL29" s="290">
        <v>2423874.1799999992</v>
      </c>
      <c r="CM29" s="290"/>
      <c r="CN29" s="290"/>
      <c r="CO29" s="290"/>
      <c r="CP29" s="290">
        <v>1323873.800000001</v>
      </c>
      <c r="CQ29" s="290">
        <v>9996.4699999999993</v>
      </c>
      <c r="CR29" s="290"/>
      <c r="CS29" s="290"/>
      <c r="CT29" s="290">
        <v>2685218.95</v>
      </c>
      <c r="CU29" s="290">
        <v>327952.12000000005</v>
      </c>
      <c r="CV29" s="290"/>
      <c r="CW29" s="290"/>
      <c r="CX29" s="430">
        <v>2525544.6199999992</v>
      </c>
      <c r="CY29" s="430">
        <f t="shared" si="33"/>
        <v>132676.60981292895</v>
      </c>
      <c r="CZ29" s="430"/>
      <c r="DA29" s="430"/>
      <c r="DB29" s="321">
        <f t="shared" si="40"/>
        <v>1990.0430180109104</v>
      </c>
      <c r="DC29" s="333">
        <f t="shared" si="41"/>
        <v>0</v>
      </c>
      <c r="DD29" s="333">
        <f t="shared" si="42"/>
        <v>0.21666666666666667</v>
      </c>
      <c r="DE29" s="333">
        <f t="shared" si="43"/>
        <v>0.25</v>
      </c>
      <c r="DF29" s="333">
        <f t="shared" si="44"/>
        <v>0.28333333333333333</v>
      </c>
      <c r="DG29" s="333">
        <f t="shared" si="45"/>
        <v>0.31666666666666665</v>
      </c>
      <c r="DH29" s="333">
        <f t="shared" si="46"/>
        <v>0.35</v>
      </c>
      <c r="DI29" s="333">
        <f t="shared" si="47"/>
        <v>0.3833333333333333</v>
      </c>
      <c r="DJ29" s="333">
        <f t="shared" si="48"/>
        <v>0.41666666666666663</v>
      </c>
      <c r="DK29" s="333">
        <f t="shared" si="49"/>
        <v>0.44999999999999996</v>
      </c>
      <c r="DL29" s="333">
        <f t="shared" si="50"/>
        <v>0.48333333333333328</v>
      </c>
      <c r="DM29" s="333">
        <f t="shared" si="51"/>
        <v>0.51666666666666661</v>
      </c>
      <c r="DN29" s="333">
        <f t="shared" si="52"/>
        <v>0.55000000000000004</v>
      </c>
      <c r="DO29" s="333">
        <f t="shared" si="53"/>
        <v>0.58333333333333326</v>
      </c>
      <c r="DP29" s="333">
        <f t="shared" si="54"/>
        <v>0.6166666666666667</v>
      </c>
      <c r="DQ29" s="333">
        <f t="shared" si="55"/>
        <v>0.38745741249573107</v>
      </c>
      <c r="DR29" s="333">
        <f t="shared" si="56"/>
        <v>0.65</v>
      </c>
      <c r="DS29" s="333">
        <f t="shared" si="57"/>
        <v>0.68333333333333335</v>
      </c>
      <c r="DT29" s="333">
        <f t="shared" si="58"/>
        <v>0.71666666666666667</v>
      </c>
      <c r="DU29" s="333">
        <f t="shared" si="59"/>
        <v>0.75</v>
      </c>
      <c r="DV29" s="333">
        <f t="shared" si="60"/>
        <v>0.78333333333333333</v>
      </c>
      <c r="DW29" s="333">
        <f t="shared" si="61"/>
        <v>0.81666666666666665</v>
      </c>
      <c r="DX29" s="333">
        <f t="shared" si="62"/>
        <v>0.85</v>
      </c>
      <c r="DY29" s="333">
        <f t="shared" si="63"/>
        <v>0.8833333333333333</v>
      </c>
      <c r="DZ29" s="333">
        <f t="shared" si="64"/>
        <v>0.91666666666666663</v>
      </c>
      <c r="EA29" s="333">
        <f t="shared" si="65"/>
        <v>0.95</v>
      </c>
      <c r="EB29" s="333">
        <f t="shared" si="66"/>
        <v>0.98333333333333328</v>
      </c>
      <c r="EC29" s="334">
        <f t="shared" si="37"/>
        <v>33770131.89982117</v>
      </c>
      <c r="ED29" s="334">
        <f t="shared" si="38"/>
        <v>3799108.6462719133</v>
      </c>
      <c r="EE29" s="334">
        <f t="shared" si="39"/>
        <v>21906503.725912564</v>
      </c>
    </row>
    <row r="30" spans="1:135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290">
        <v>1270655.6599999995</v>
      </c>
      <c r="CI30" s="290">
        <v>21137.23675</v>
      </c>
      <c r="CJ30" s="290"/>
      <c r="CK30" s="290"/>
      <c r="CL30" s="290">
        <v>1640369.1900000006</v>
      </c>
      <c r="CM30" s="290"/>
      <c r="CN30" s="290"/>
      <c r="CO30" s="290"/>
      <c r="CP30" s="290">
        <v>558797.26000000013</v>
      </c>
      <c r="CQ30" s="290"/>
      <c r="CR30" s="290"/>
      <c r="CS30" s="290"/>
      <c r="CT30" s="290">
        <v>828077.88000000012</v>
      </c>
      <c r="CU30" s="290">
        <v>6128.38</v>
      </c>
      <c r="CV30" s="290"/>
      <c r="CW30" s="290"/>
      <c r="CX30" s="430">
        <v>1278320.6599999997</v>
      </c>
      <c r="CY30" s="430">
        <f t="shared" si="33"/>
        <v>2587.8435673974145</v>
      </c>
      <c r="CZ30" s="430"/>
      <c r="DA30" s="430"/>
      <c r="DB30" s="321">
        <f t="shared" si="40"/>
        <v>1990.0418779969095</v>
      </c>
      <c r="DC30" s="333">
        <f t="shared" si="41"/>
        <v>0</v>
      </c>
      <c r="DD30" s="333">
        <f t="shared" si="42"/>
        <v>0.21666666666666667</v>
      </c>
      <c r="DE30" s="333">
        <f t="shared" si="43"/>
        <v>0.25</v>
      </c>
      <c r="DF30" s="333">
        <f t="shared" si="44"/>
        <v>0.28333333333333333</v>
      </c>
      <c r="DG30" s="333">
        <f t="shared" si="45"/>
        <v>0.31666666666666665</v>
      </c>
      <c r="DH30" s="333">
        <f t="shared" si="46"/>
        <v>0.35</v>
      </c>
      <c r="DI30" s="333">
        <f t="shared" si="47"/>
        <v>0.3833333333333333</v>
      </c>
      <c r="DJ30" s="333">
        <f t="shared" si="48"/>
        <v>0.41666666666666663</v>
      </c>
      <c r="DK30" s="333">
        <f t="shared" si="49"/>
        <v>0.44999999999999996</v>
      </c>
      <c r="DL30" s="333">
        <f t="shared" si="50"/>
        <v>0.48333333333333328</v>
      </c>
      <c r="DM30" s="333">
        <f t="shared" si="51"/>
        <v>0.51666666666666661</v>
      </c>
      <c r="DN30" s="333">
        <f t="shared" si="52"/>
        <v>0.55000000000000004</v>
      </c>
      <c r="DO30" s="333">
        <f t="shared" si="53"/>
        <v>0.58333333333333326</v>
      </c>
      <c r="DP30" s="333">
        <f t="shared" si="54"/>
        <v>0.6166666666666667</v>
      </c>
      <c r="DQ30" s="333">
        <f t="shared" si="55"/>
        <v>0</v>
      </c>
      <c r="DR30" s="333">
        <f t="shared" si="56"/>
        <v>0.65</v>
      </c>
      <c r="DS30" s="333">
        <f t="shared" si="57"/>
        <v>0.68333333333333335</v>
      </c>
      <c r="DT30" s="333">
        <f t="shared" si="58"/>
        <v>0.71666666666666667</v>
      </c>
      <c r="DU30" s="333">
        <f t="shared" si="59"/>
        <v>0.75</v>
      </c>
      <c r="DV30" s="333">
        <f t="shared" si="60"/>
        <v>0.78333333333333333</v>
      </c>
      <c r="DW30" s="333">
        <f t="shared" si="61"/>
        <v>0.81666666666666665</v>
      </c>
      <c r="DX30" s="333">
        <f t="shared" si="62"/>
        <v>0.85</v>
      </c>
      <c r="DY30" s="333">
        <f t="shared" si="63"/>
        <v>0.8833333333333333</v>
      </c>
      <c r="DZ30" s="333">
        <f t="shared" si="64"/>
        <v>0.91666666666666663</v>
      </c>
      <c r="EA30" s="333">
        <f t="shared" si="65"/>
        <v>0.95</v>
      </c>
      <c r="EB30" s="333">
        <f t="shared" si="66"/>
        <v>0.98333333333333328</v>
      </c>
      <c r="EC30" s="334">
        <f t="shared" si="37"/>
        <v>19999455.007926058</v>
      </c>
      <c r="ED30" s="334">
        <f t="shared" si="38"/>
        <v>3801860.6462719133</v>
      </c>
      <c r="EE30" s="334">
        <f t="shared" si="39"/>
        <v>11814839.005760904</v>
      </c>
    </row>
    <row r="31" spans="1:135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290">
        <v>226390.16000000006</v>
      </c>
      <c r="CI31" s="290">
        <v>0</v>
      </c>
      <c r="CJ31" s="290"/>
      <c r="CK31" s="290"/>
      <c r="CL31" s="290">
        <v>367558.94000000006</v>
      </c>
      <c r="CM31" s="290"/>
      <c r="CN31" s="290"/>
      <c r="CO31" s="290"/>
      <c r="CP31" s="290">
        <v>338991.51</v>
      </c>
      <c r="CQ31" s="290"/>
      <c r="CR31" s="290"/>
      <c r="CS31" s="290"/>
      <c r="CT31" s="290">
        <v>300152.33000000007</v>
      </c>
      <c r="CU31" s="290"/>
      <c r="CV31" s="290"/>
      <c r="CW31" s="290"/>
      <c r="CX31" s="430">
        <v>0</v>
      </c>
      <c r="CY31" s="430">
        <f t="shared" si="33"/>
        <v>0</v>
      </c>
      <c r="CZ31" s="430"/>
      <c r="DA31" s="430"/>
      <c r="DB31" s="321">
        <f t="shared" si="40"/>
        <v>0</v>
      </c>
      <c r="DC31" s="333">
        <f t="shared" si="41"/>
        <v>0</v>
      </c>
      <c r="DD31" s="333">
        <f t="shared" si="42"/>
        <v>0.21666666666666667</v>
      </c>
      <c r="DE31" s="333">
        <f t="shared" si="43"/>
        <v>0.25</v>
      </c>
      <c r="DF31" s="333">
        <f t="shared" si="44"/>
        <v>0.28333333333333333</v>
      </c>
      <c r="DG31" s="333">
        <f t="shared" si="45"/>
        <v>0.31666666666666665</v>
      </c>
      <c r="DH31" s="333">
        <f t="shared" si="46"/>
        <v>0.35</v>
      </c>
      <c r="DI31" s="333">
        <f t="shared" si="47"/>
        <v>0.3833333333333333</v>
      </c>
      <c r="DJ31" s="333">
        <f t="shared" si="48"/>
        <v>0.41666666666666663</v>
      </c>
      <c r="DK31" s="333">
        <f t="shared" si="49"/>
        <v>0.44999999999999996</v>
      </c>
      <c r="DL31" s="333">
        <f t="shared" si="50"/>
        <v>0.48333333333333328</v>
      </c>
      <c r="DM31" s="333">
        <f t="shared" si="51"/>
        <v>0.51666666666666661</v>
      </c>
      <c r="DN31" s="333">
        <f t="shared" si="52"/>
        <v>0.55000000000000004</v>
      </c>
      <c r="DO31" s="333">
        <f t="shared" si="53"/>
        <v>0.58333333333333326</v>
      </c>
      <c r="DP31" s="333">
        <f t="shared" si="54"/>
        <v>0.6166666666666667</v>
      </c>
      <c r="DQ31" s="333">
        <f t="shared" si="55"/>
        <v>0</v>
      </c>
      <c r="DR31" s="333">
        <f t="shared" si="56"/>
        <v>0.65</v>
      </c>
      <c r="DS31" s="333">
        <f t="shared" si="57"/>
        <v>0.68333333333333335</v>
      </c>
      <c r="DT31" s="333">
        <f t="shared" si="58"/>
        <v>0.71666666666666667</v>
      </c>
      <c r="DU31" s="333">
        <f t="shared" si="59"/>
        <v>0.75</v>
      </c>
      <c r="DV31" s="333">
        <f t="shared" si="60"/>
        <v>0.78333333333333333</v>
      </c>
      <c r="DW31" s="333">
        <f t="shared" si="61"/>
        <v>0.81666666666666665</v>
      </c>
      <c r="DX31" s="333">
        <f t="shared" si="62"/>
        <v>0.85</v>
      </c>
      <c r="DY31" s="333">
        <f t="shared" si="63"/>
        <v>0.8833333333333333</v>
      </c>
      <c r="DZ31" s="333">
        <f t="shared" si="64"/>
        <v>0.91666666666666663</v>
      </c>
      <c r="EA31" s="333">
        <f t="shared" si="65"/>
        <v>0.95</v>
      </c>
      <c r="EB31" s="333">
        <f t="shared" si="66"/>
        <v>0.98333333333333328</v>
      </c>
      <c r="EC31" s="334">
        <f t="shared" si="37"/>
        <v>2627029.799770236</v>
      </c>
      <c r="ED31" s="334">
        <f t="shared" si="38"/>
        <v>0</v>
      </c>
      <c r="EE31" s="334">
        <f t="shared" si="39"/>
        <v>2126012.0057715354</v>
      </c>
    </row>
    <row r="32" spans="1:135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>
        <v>0</v>
      </c>
      <c r="CJ32" s="290"/>
      <c r="CK32" s="290"/>
      <c r="CL32" s="290">
        <v>0</v>
      </c>
      <c r="CM32" s="290"/>
      <c r="CN32" s="290"/>
      <c r="CO32" s="290"/>
      <c r="CP32" s="290">
        <v>0</v>
      </c>
      <c r="CQ32" s="290"/>
      <c r="CR32" s="290"/>
      <c r="CS32" s="290"/>
      <c r="CT32" s="290">
        <v>0</v>
      </c>
      <c r="CU32" s="290"/>
      <c r="CV32" s="290"/>
      <c r="CW32" s="290"/>
      <c r="CX32" s="430">
        <v>0</v>
      </c>
      <c r="CY32" s="430">
        <f t="shared" si="33"/>
        <v>0</v>
      </c>
      <c r="CZ32" s="430"/>
      <c r="DA32" s="430"/>
      <c r="DB32" s="333"/>
      <c r="DC32" s="333"/>
      <c r="DD32" s="333"/>
      <c r="DE32" s="333"/>
      <c r="DF32" s="333"/>
      <c r="DG32" s="333"/>
      <c r="DH32" s="333"/>
      <c r="DI32" s="333"/>
      <c r="DJ32" s="333"/>
      <c r="DK32" s="333"/>
      <c r="DL32" s="333"/>
      <c r="DM32" s="333"/>
      <c r="DN32" s="333"/>
      <c r="DO32" s="333"/>
      <c r="DP32" s="333"/>
      <c r="DQ32" s="333"/>
      <c r="DR32" s="333"/>
      <c r="DS32" s="333"/>
      <c r="DT32" s="333"/>
      <c r="DU32" s="333"/>
      <c r="DV32" s="333"/>
      <c r="DW32" s="333"/>
      <c r="DX32" s="333"/>
      <c r="DY32" s="333"/>
      <c r="DZ32" s="333"/>
      <c r="EA32" s="333"/>
      <c r="EB32" s="333"/>
      <c r="EC32" s="334">
        <f t="shared" si="37"/>
        <v>0</v>
      </c>
      <c r="ED32" s="334">
        <f t="shared" si="38"/>
        <v>0</v>
      </c>
      <c r="EE32" s="334">
        <f t="shared" si="39"/>
        <v>0</v>
      </c>
    </row>
    <row r="33" spans="1:135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290">
        <v>3914894.2299999944</v>
      </c>
      <c r="CI33" s="290">
        <v>35647.347027299998</v>
      </c>
      <c r="CJ33" s="290"/>
      <c r="CK33" s="290"/>
      <c r="CL33" s="290">
        <v>4296729.32</v>
      </c>
      <c r="CM33" s="290"/>
      <c r="CN33" s="290"/>
      <c r="CO33" s="290"/>
      <c r="CP33" s="290">
        <v>4006016.3400000045</v>
      </c>
      <c r="CQ33" s="290">
        <v>38812.339999999997</v>
      </c>
      <c r="CR33" s="290"/>
      <c r="CS33" s="290"/>
      <c r="CT33" s="290">
        <v>5248523.8599999975</v>
      </c>
      <c r="CU33" s="290">
        <v>412781.24</v>
      </c>
      <c r="CV33" s="290"/>
      <c r="CW33" s="290"/>
      <c r="CX33" s="430">
        <v>5023319.1399999997</v>
      </c>
      <c r="CY33" s="430">
        <f t="shared" si="33"/>
        <v>167401.19223273484</v>
      </c>
      <c r="CZ33" s="430"/>
      <c r="DA33" s="430"/>
      <c r="DB33" s="321">
        <f>IF(D33=0,0,2001-(D33-F33)*C33/D33)</f>
        <v>0</v>
      </c>
      <c r="DC33" s="333">
        <f>IF((1-($EC$2-$DB33)/$C33)&gt;0,(1-($EC$2-$DB33)/$C33),0)</f>
        <v>0</v>
      </c>
      <c r="DD33" s="333">
        <f>IF((1-($EC$2-G$2)/$C33)&gt;0,(1-($EC$2-G$2)/$C33),0)</f>
        <v>0.21666666666666667</v>
      </c>
      <c r="DE33" s="333">
        <f>IF((1-($EC$2-K$2)/$C33)&gt;0,(1-($EC$2-K$2)/$C33),0)</f>
        <v>0.25</v>
      </c>
      <c r="DF33" s="333">
        <f>IF((1-($EC$2-O$2)/$C33)&gt;0,(1-($EC$2-O$2)/$C33),0)</f>
        <v>0.28333333333333333</v>
      </c>
      <c r="DG33" s="333">
        <f>IF((1-($EC$2-S$2)/$C33)&gt;0,(1-($EC$2-S$2)/$C33),0)</f>
        <v>0.31666666666666665</v>
      </c>
      <c r="DH33" s="333">
        <f>IF((1-($EC$2-W$2)/$C33)&gt;0,(1-($EC$2-W$2)/$C33),0)</f>
        <v>0.35</v>
      </c>
      <c r="DI33" s="333">
        <f>IF((1-($EC$2-AA$2)/$C33)&gt;0,(1-($EC$2-AA$2)/$C33),0)</f>
        <v>0.3833333333333333</v>
      </c>
      <c r="DJ33" s="333">
        <f>IF((1-($EC$2-AE$2)/$C33)&gt;0,(1-($EC$2-AE$2)/$C33),0)</f>
        <v>0.41666666666666663</v>
      </c>
      <c r="DK33" s="333">
        <f>IF((1-($EC$2-AI$2)/$C33)&gt;0,(1-($EC$2-AI$2)/$C33),0)</f>
        <v>0.44999999999999996</v>
      </c>
      <c r="DL33" s="333">
        <f>IF((1-($EC$2-AM$2)/$C33)&gt;0,(1-($EC$2-AM$2)/$C33),0)</f>
        <v>0.48333333333333328</v>
      </c>
      <c r="DM33" s="333">
        <f>IF((1-($EC$2-AQ$2)/$C33)&gt;0,(1-($EC$2-AQ$2)/$C33),0)</f>
        <v>0.51666666666666661</v>
      </c>
      <c r="DN33" s="333">
        <f>IF((1-($EC$2-AU$2)/$C33)&gt;0,(1-($EC$2-AU$2)/$C33),0)</f>
        <v>0.55000000000000004</v>
      </c>
      <c r="DO33" s="333">
        <f>IF((1-($EC$2-AY$2)/$C33)&gt;0,(1-($EC$2-AY$2)/$C33),0)</f>
        <v>0.58333333333333326</v>
      </c>
      <c r="DP33" s="333">
        <f>IF((1-($EC$2-BC$2)/$C33)&gt;0,(1-($EC$2-BC$2)/$C33),0)</f>
        <v>0.6166666666666667</v>
      </c>
      <c r="DQ33" s="333">
        <f>IF(BG33=0,0,1-($EC$2-(2014.5-(BG33-BI33)*C33/BG33))/C33)</f>
        <v>0.38745741249573107</v>
      </c>
      <c r="DR33" s="333">
        <f>IF((1-($EC$2-BJ$2)/$C33)&gt;0,(1-($EC$2-BJ$2)/$C33),0)</f>
        <v>0.65</v>
      </c>
      <c r="DS33" s="333">
        <f>IF((1-($EC$2-BN$2)/$C33)&gt;0,(1-($EC$2-BN$2)/$C33),0)</f>
        <v>0.68333333333333335</v>
      </c>
      <c r="DT33" s="333">
        <f>IF((1-($EC$2-BR$2)/$C33)&gt;0,(1-($EC$2-BR$2)/$C33),0)</f>
        <v>0.71666666666666667</v>
      </c>
      <c r="DU33" s="333">
        <f>IF((1-($EC$2-BV$2)/$C33)&gt;0,(1-($EC$2-BV$2)/$C33),0)</f>
        <v>0.75</v>
      </c>
      <c r="DV33" s="333">
        <f>IF((1-($EC$2-BZ$2)/$C33)&gt;0,(1-($EC$2-BZ$2)/$C33),0)</f>
        <v>0.78333333333333333</v>
      </c>
      <c r="DW33" s="333">
        <f>IF((1-($EC$2-CD$2)/$C33)&gt;0,(1-($EC$2-CD$2)/$C33),0)</f>
        <v>0.81666666666666665</v>
      </c>
      <c r="DX33" s="333">
        <f>IF((1-($EC$2-CH$2)/$C33)&gt;0,(1-($EC$2-CH$2)/$C33),0)</f>
        <v>0.85</v>
      </c>
      <c r="DY33" s="333">
        <f>IF((1-($EC$2-CL$2)/$C33)&gt;0,(1-($EC$2-CL$2)/$C33),0)</f>
        <v>0.8833333333333333</v>
      </c>
      <c r="DZ33" s="333">
        <f t="shared" ref="DZ33:DZ35" si="67">IF((1-($EC$2-CP$2)/$C33)&gt;0,(1-($EC$2-CP$2)/$C33),0)</f>
        <v>0.91666666666666663</v>
      </c>
      <c r="EA33" s="333">
        <f t="shared" ref="EA33:EA35" si="68">IF((1-($EC$2-CT$2)/$C33)&gt;0,(1-($EC$2-CT$2)/$C33),0)</f>
        <v>0.95</v>
      </c>
      <c r="EB33" s="333">
        <f t="shared" ref="EB33:EB35" si="69">IF((1-($EC$2-CX$2)/$C33)&gt;0,(1-($EC$2-CX$2)/$C33),0)</f>
        <v>0.98333333333333328</v>
      </c>
      <c r="EC33" s="334">
        <f t="shared" si="37"/>
        <v>44438553.668414161</v>
      </c>
      <c r="ED33" s="334">
        <f t="shared" si="38"/>
        <v>0</v>
      </c>
      <c r="EE33" s="334">
        <f t="shared" si="39"/>
        <v>33037294.35087816</v>
      </c>
    </row>
    <row r="34" spans="1:135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290">
        <v>565782.81999999995</v>
      </c>
      <c r="CI34" s="290">
        <v>10213.723609999999</v>
      </c>
      <c r="CJ34" s="290"/>
      <c r="CK34" s="290"/>
      <c r="CL34" s="290">
        <v>1055983.78</v>
      </c>
      <c r="CM34" s="290"/>
      <c r="CN34" s="290"/>
      <c r="CO34" s="290"/>
      <c r="CP34" s="290">
        <v>347804.18000000005</v>
      </c>
      <c r="CQ34" s="290"/>
      <c r="CR34" s="290"/>
      <c r="CS34" s="290"/>
      <c r="CT34" s="290">
        <v>1200533.42</v>
      </c>
      <c r="CU34" s="290">
        <v>30077.73</v>
      </c>
      <c r="CV34" s="290"/>
      <c r="CW34" s="290"/>
      <c r="CX34" s="430">
        <v>1060072.54</v>
      </c>
      <c r="CY34" s="430">
        <f t="shared" si="33"/>
        <v>12242.949692535336</v>
      </c>
      <c r="CZ34" s="430"/>
      <c r="DA34" s="430"/>
      <c r="DB34" s="321">
        <f>IF(D34=0,0,2001-(D34-F34)*C34/D34)</f>
        <v>0</v>
      </c>
      <c r="DC34" s="333">
        <f>IF((1-($EC$2-$DB34)/$C34)&gt;0,(1-($EC$2-$DB34)/$C34),0)</f>
        <v>0</v>
      </c>
      <c r="DD34" s="333">
        <f>IF((1-($EC$2-G$2)/$C34)&gt;0,(1-($EC$2-G$2)/$C34),0)</f>
        <v>0.21666666666666667</v>
      </c>
      <c r="DE34" s="333">
        <f>IF((1-($EC$2-K$2)/$C34)&gt;0,(1-($EC$2-K$2)/$C34),0)</f>
        <v>0.25</v>
      </c>
      <c r="DF34" s="333">
        <f>IF((1-($EC$2-O$2)/$C34)&gt;0,(1-($EC$2-O$2)/$C34),0)</f>
        <v>0.28333333333333333</v>
      </c>
      <c r="DG34" s="333">
        <f>IF((1-($EC$2-S$2)/$C34)&gt;0,(1-($EC$2-S$2)/$C34),0)</f>
        <v>0.31666666666666665</v>
      </c>
      <c r="DH34" s="333">
        <f>IF((1-($EC$2-W$2)/$C34)&gt;0,(1-($EC$2-W$2)/$C34),0)</f>
        <v>0.35</v>
      </c>
      <c r="DI34" s="333">
        <f>IF((1-($EC$2-AA$2)/$C34)&gt;0,(1-($EC$2-AA$2)/$C34),0)</f>
        <v>0.3833333333333333</v>
      </c>
      <c r="DJ34" s="333">
        <f>IF((1-($EC$2-AE$2)/$C34)&gt;0,(1-($EC$2-AE$2)/$C34),0)</f>
        <v>0.41666666666666663</v>
      </c>
      <c r="DK34" s="333">
        <f>IF((1-($EC$2-AI$2)/$C34)&gt;0,(1-($EC$2-AI$2)/$C34),0)</f>
        <v>0.44999999999999996</v>
      </c>
      <c r="DL34" s="333">
        <f>IF((1-($EC$2-AM$2)/$C34)&gt;0,(1-($EC$2-AM$2)/$C34),0)</f>
        <v>0.48333333333333328</v>
      </c>
      <c r="DM34" s="333">
        <f>IF((1-($EC$2-AQ$2)/$C34)&gt;0,(1-($EC$2-AQ$2)/$C34),0)</f>
        <v>0.51666666666666661</v>
      </c>
      <c r="DN34" s="333">
        <f>IF((1-($EC$2-AU$2)/$C34)&gt;0,(1-($EC$2-AU$2)/$C34),0)</f>
        <v>0.55000000000000004</v>
      </c>
      <c r="DO34" s="333">
        <f>IF((1-($EC$2-AY$2)/$C34)&gt;0,(1-($EC$2-AY$2)/$C34),0)</f>
        <v>0.58333333333333326</v>
      </c>
      <c r="DP34" s="333">
        <f>IF((1-($EC$2-BC$2)/$C34)&gt;0,(1-($EC$2-BC$2)/$C34),0)</f>
        <v>0.6166666666666667</v>
      </c>
      <c r="DQ34" s="333">
        <f>IF(BG34=0,0,1-($EC$2-(2014.5-(BG34-BI34)*C34/BG34))/C34)</f>
        <v>0</v>
      </c>
      <c r="DR34" s="333">
        <f>IF((1-($EC$2-BJ$2)/$C34)&gt;0,(1-($EC$2-BJ$2)/$C34),0)</f>
        <v>0.65</v>
      </c>
      <c r="DS34" s="333">
        <f>IF((1-($EC$2-BN$2)/$C34)&gt;0,(1-($EC$2-BN$2)/$C34),0)</f>
        <v>0.68333333333333335</v>
      </c>
      <c r="DT34" s="333">
        <f>IF((1-($EC$2-BR$2)/$C34)&gt;0,(1-($EC$2-BR$2)/$C34),0)</f>
        <v>0.71666666666666667</v>
      </c>
      <c r="DU34" s="333">
        <f>IF((1-($EC$2-BV$2)/$C34)&gt;0,(1-($EC$2-BV$2)/$C34),0)</f>
        <v>0.75</v>
      </c>
      <c r="DV34" s="333">
        <f>IF((1-($EC$2-BZ$2)/$C34)&gt;0,(1-($EC$2-BZ$2)/$C34),0)</f>
        <v>0.78333333333333333</v>
      </c>
      <c r="DW34" s="333">
        <f>IF((1-($EC$2-CD$2)/$C34)&gt;0,(1-($EC$2-CD$2)/$C34),0)</f>
        <v>0.81666666666666665</v>
      </c>
      <c r="DX34" s="333">
        <f>IF((1-($EC$2-CH$2)/$C34)&gt;0,(1-($EC$2-CH$2)/$C34),0)</f>
        <v>0.85</v>
      </c>
      <c r="DY34" s="333">
        <f>IF((1-($EC$2-CL$2)/$C34)&gt;0,(1-($EC$2-CL$2)/$C34),0)</f>
        <v>0.8833333333333333</v>
      </c>
      <c r="DZ34" s="333">
        <f t="shared" si="67"/>
        <v>0.91666666666666663</v>
      </c>
      <c r="EA34" s="333">
        <f t="shared" si="68"/>
        <v>0.95</v>
      </c>
      <c r="EB34" s="333">
        <f t="shared" si="69"/>
        <v>0.98333333333333328</v>
      </c>
      <c r="EC34" s="334">
        <f t="shared" si="37"/>
        <v>11842276.403265389</v>
      </c>
      <c r="ED34" s="334">
        <f t="shared" si="38"/>
        <v>0</v>
      </c>
      <c r="EE34" s="334">
        <f t="shared" si="39"/>
        <v>9194531.0335276015</v>
      </c>
    </row>
    <row r="35" spans="1:135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290">
        <v>295989.71999999997</v>
      </c>
      <c r="CI35" s="290">
        <v>0</v>
      </c>
      <c r="CJ35" s="290"/>
      <c r="CK35" s="290"/>
      <c r="CL35" s="290">
        <v>277530.59999999998</v>
      </c>
      <c r="CM35" s="290"/>
      <c r="CN35" s="290"/>
      <c r="CO35" s="290"/>
      <c r="CP35" s="290">
        <v>285580.46999999997</v>
      </c>
      <c r="CQ35" s="290"/>
      <c r="CR35" s="290"/>
      <c r="CS35" s="290"/>
      <c r="CT35" s="290">
        <v>225693.13</v>
      </c>
      <c r="CU35" s="290"/>
      <c r="CV35" s="290"/>
      <c r="CW35" s="290"/>
      <c r="CX35" s="430">
        <v>238978.52000000002</v>
      </c>
      <c r="CY35" s="430">
        <f t="shared" si="33"/>
        <v>0</v>
      </c>
      <c r="CZ35" s="430"/>
      <c r="DA35" s="430"/>
      <c r="DB35" s="321">
        <f>IF(D35=0,0,2001-(D35-F35)*C35/D35)</f>
        <v>1991.607642802117</v>
      </c>
      <c r="DC35" s="333">
        <f>IF((1-($EC$2-$DB35)/$C35)&gt;0,(1-($EC$2-$DB35)/$C35),0)</f>
        <v>0</v>
      </c>
      <c r="DD35" s="333">
        <f>IF((1-($EC$2-G$2)/$C35)&gt;0,(1-($EC$2-G$2)/$C35),0)</f>
        <v>0.21666666666666667</v>
      </c>
      <c r="DE35" s="333">
        <f>IF((1-($EC$2-K$2)/$C35)&gt;0,(1-($EC$2-K$2)/$C35),0)</f>
        <v>0.25</v>
      </c>
      <c r="DF35" s="333">
        <f>IF((1-($EC$2-O$2)/$C35)&gt;0,(1-($EC$2-O$2)/$C35),0)</f>
        <v>0.28333333333333333</v>
      </c>
      <c r="DG35" s="333">
        <f>IF((1-($EC$2-S$2)/$C35)&gt;0,(1-($EC$2-S$2)/$C35),0)</f>
        <v>0.31666666666666665</v>
      </c>
      <c r="DH35" s="333">
        <f>IF((1-($EC$2-W$2)/$C35)&gt;0,(1-($EC$2-W$2)/$C35),0)</f>
        <v>0.35</v>
      </c>
      <c r="DI35" s="333">
        <f>IF((1-($EC$2-AA$2)/$C35)&gt;0,(1-($EC$2-AA$2)/$C35),0)</f>
        <v>0.3833333333333333</v>
      </c>
      <c r="DJ35" s="333">
        <f>IF((1-($EC$2-AE$2)/$C35)&gt;0,(1-($EC$2-AE$2)/$C35),0)</f>
        <v>0.41666666666666663</v>
      </c>
      <c r="DK35" s="333">
        <f>IF((1-($EC$2-AI$2)/$C35)&gt;0,(1-($EC$2-AI$2)/$C35),0)</f>
        <v>0.44999999999999996</v>
      </c>
      <c r="DL35" s="333">
        <f>IF((1-($EC$2-AM$2)/$C35)&gt;0,(1-($EC$2-AM$2)/$C35),0)</f>
        <v>0.48333333333333328</v>
      </c>
      <c r="DM35" s="333">
        <f>IF((1-($EC$2-AQ$2)/$C35)&gt;0,(1-($EC$2-AQ$2)/$C35),0)</f>
        <v>0.51666666666666661</v>
      </c>
      <c r="DN35" s="333">
        <f>IF((1-($EC$2-AU$2)/$C35)&gt;0,(1-($EC$2-AU$2)/$C35),0)</f>
        <v>0.55000000000000004</v>
      </c>
      <c r="DO35" s="333">
        <f>IF((1-($EC$2-AY$2)/$C35)&gt;0,(1-($EC$2-AY$2)/$C35),0)</f>
        <v>0.58333333333333326</v>
      </c>
      <c r="DP35" s="333">
        <f>IF((1-($EC$2-BC$2)/$C35)&gt;0,(1-($EC$2-BC$2)/$C35),0)</f>
        <v>0.6166666666666667</v>
      </c>
      <c r="DQ35" s="333">
        <f>IF(BG35=0,0,1-($EC$2-(2014.5-(BG35-BI35)*C35/BG35))/C35)</f>
        <v>0.38745741249573107</v>
      </c>
      <c r="DR35" s="333">
        <f>IF((1-($EC$2-BJ$2)/$C35)&gt;0,(1-($EC$2-BJ$2)/$C35),0)</f>
        <v>0.65</v>
      </c>
      <c r="DS35" s="333">
        <f>IF((1-($EC$2-BN$2)/$C35)&gt;0,(1-($EC$2-BN$2)/$C35),0)</f>
        <v>0.68333333333333335</v>
      </c>
      <c r="DT35" s="333">
        <f>IF((1-($EC$2-BR$2)/$C35)&gt;0,(1-($EC$2-BR$2)/$C35),0)</f>
        <v>0.71666666666666667</v>
      </c>
      <c r="DU35" s="333">
        <f>IF((1-($EC$2-BV$2)/$C35)&gt;0,(1-($EC$2-BV$2)/$C35),0)</f>
        <v>0.75</v>
      </c>
      <c r="DV35" s="333">
        <f>IF((1-($EC$2-BZ$2)/$C35)&gt;0,(1-($EC$2-BZ$2)/$C35),0)</f>
        <v>0.78333333333333333</v>
      </c>
      <c r="DW35" s="333">
        <f>IF((1-($EC$2-CD$2)/$C35)&gt;0,(1-($EC$2-CD$2)/$C35),0)</f>
        <v>0.81666666666666665</v>
      </c>
      <c r="DX35" s="333">
        <f>IF((1-($EC$2-CH$2)/$C35)&gt;0,(1-($EC$2-CH$2)/$C35),0)</f>
        <v>0.85</v>
      </c>
      <c r="DY35" s="333">
        <f>IF((1-($EC$2-CL$2)/$C35)&gt;0,(1-($EC$2-CL$2)/$C35),0)</f>
        <v>0.8833333333333333</v>
      </c>
      <c r="DZ35" s="333">
        <f t="shared" si="67"/>
        <v>0.91666666666666663</v>
      </c>
      <c r="EA35" s="333">
        <f t="shared" si="68"/>
        <v>0.95</v>
      </c>
      <c r="EB35" s="333">
        <f t="shared" si="69"/>
        <v>0.98333333333333328</v>
      </c>
      <c r="EC35" s="334">
        <f t="shared" si="37"/>
        <v>15741632.681732956</v>
      </c>
      <c r="ED35" s="334">
        <f t="shared" si="38"/>
        <v>10109999.26940603</v>
      </c>
      <c r="EE35" s="334">
        <f t="shared" si="39"/>
        <v>3450451.3831001604</v>
      </c>
    </row>
    <row r="36" spans="1:135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>
        <v>0</v>
      </c>
      <c r="CJ36" s="290"/>
      <c r="CK36" s="290"/>
      <c r="CL36" s="290">
        <v>0</v>
      </c>
      <c r="CM36" s="290"/>
      <c r="CN36" s="290"/>
      <c r="CO36" s="290"/>
      <c r="CP36" s="290">
        <v>0</v>
      </c>
      <c r="CQ36" s="290"/>
      <c r="CR36" s="290"/>
      <c r="CS36" s="290"/>
      <c r="CT36" s="290">
        <v>0</v>
      </c>
      <c r="CU36" s="290"/>
      <c r="CV36" s="290"/>
      <c r="CW36" s="290"/>
      <c r="CX36" s="430">
        <v>0</v>
      </c>
      <c r="CY36" s="430">
        <f t="shared" si="33"/>
        <v>0</v>
      </c>
      <c r="CZ36" s="430"/>
      <c r="DA36" s="430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3"/>
      <c r="DO36" s="333"/>
      <c r="DP36" s="333"/>
      <c r="DQ36" s="333"/>
      <c r="DR36" s="333"/>
      <c r="DS36" s="333"/>
      <c r="DT36" s="333"/>
      <c r="DU36" s="333"/>
      <c r="DV36" s="333"/>
      <c r="DW36" s="333"/>
      <c r="DX36" s="333"/>
      <c r="DY36" s="333"/>
      <c r="DZ36" s="333"/>
      <c r="EA36" s="333"/>
      <c r="EB36" s="333"/>
      <c r="EC36" s="334">
        <f t="shared" si="37"/>
        <v>0</v>
      </c>
      <c r="ED36" s="334">
        <f t="shared" si="38"/>
        <v>0</v>
      </c>
      <c r="EE36" s="334">
        <f t="shared" si="39"/>
        <v>0</v>
      </c>
    </row>
    <row r="37" spans="1:135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290">
        <v>0</v>
      </c>
      <c r="CI37" s="290">
        <v>0</v>
      </c>
      <c r="CJ37" s="290"/>
      <c r="CK37" s="290"/>
      <c r="CL37" s="290">
        <v>0</v>
      </c>
      <c r="CM37" s="290"/>
      <c r="CN37" s="290"/>
      <c r="CO37" s="290"/>
      <c r="CP37" s="290">
        <v>0</v>
      </c>
      <c r="CQ37" s="290"/>
      <c r="CR37" s="290"/>
      <c r="CS37" s="290"/>
      <c r="CT37" s="290">
        <v>0</v>
      </c>
      <c r="CU37" s="290"/>
      <c r="CV37" s="290"/>
      <c r="CW37" s="290"/>
      <c r="CX37" s="430">
        <v>0</v>
      </c>
      <c r="CY37" s="430">
        <f t="shared" si="33"/>
        <v>0</v>
      </c>
      <c r="CZ37" s="430"/>
      <c r="DA37" s="430"/>
      <c r="DB37" s="321">
        <f t="shared" ref="DB37:DB44" si="70">IF(D37=0,0,2001-(D37-F37)*C37/D37)</f>
        <v>0</v>
      </c>
      <c r="DC37" s="333">
        <f t="shared" ref="DC37:DC44" si="71">IF((1-($EC$2-$DB37)/$C37)&gt;0,(1-($EC$2-$DB37)/$C37),0)</f>
        <v>0</v>
      </c>
      <c r="DD37" s="333">
        <f t="shared" ref="DD37:DD44" si="72">IF((1-($EC$2-G$2)/$C37)&gt;0,(1-($EC$2-G$2)/$C37),0)</f>
        <v>0</v>
      </c>
      <c r="DE37" s="333">
        <f t="shared" ref="DE37:DE44" si="73">IF((1-($EC$2-K$2)/$C37)&gt;0,(1-($EC$2-K$2)/$C37),0)</f>
        <v>0</v>
      </c>
      <c r="DF37" s="333">
        <f t="shared" ref="DF37:DF44" si="74">IF((1-($EC$2-O$2)/$C37)&gt;0,(1-($EC$2-O$2)/$C37),0)</f>
        <v>0</v>
      </c>
      <c r="DG37" s="333">
        <f t="shared" ref="DG37:DG44" si="75">IF((1-($EC$2-S$2)/$C37)&gt;0,(1-($EC$2-S$2)/$C37),0)</f>
        <v>0</v>
      </c>
      <c r="DH37" s="333">
        <f t="shared" ref="DH37:DH44" si="76">IF((1-($EC$2-W$2)/$C37)&gt;0,(1-($EC$2-W$2)/$C37),0)</f>
        <v>0</v>
      </c>
      <c r="DI37" s="333">
        <f t="shared" ref="DI37:DI44" si="77">IF((1-($EC$2-AA$2)/$C37)&gt;0,(1-($EC$2-AA$2)/$C37),0)</f>
        <v>0</v>
      </c>
      <c r="DJ37" s="333">
        <f t="shared" ref="DJ37:DJ44" si="78">IF((1-($EC$2-AE$2)/$C37)&gt;0,(1-($EC$2-AE$2)/$C37),0)</f>
        <v>0</v>
      </c>
      <c r="DK37" s="333">
        <f t="shared" ref="DK37:DK44" si="79">IF((1-($EC$2-AI$2)/$C37)&gt;0,(1-($EC$2-AI$2)/$C37),0)</f>
        <v>0</v>
      </c>
      <c r="DL37" s="333">
        <f t="shared" ref="DL37:DL44" si="80">IF((1-($EC$2-AM$2)/$C37)&gt;0,(1-($EC$2-AM$2)/$C37),0)</f>
        <v>0</v>
      </c>
      <c r="DM37" s="333">
        <f t="shared" ref="DM37:DM44" si="81">IF((1-($EC$2-AQ$2)/$C37)&gt;0,(1-($EC$2-AQ$2)/$C37),0)</f>
        <v>0</v>
      </c>
      <c r="DN37" s="333">
        <f t="shared" ref="DN37:DN44" si="82">IF((1-($EC$2-AU$2)/$C37)&gt;0,(1-($EC$2-AU$2)/$C37),0)</f>
        <v>0</v>
      </c>
      <c r="DO37" s="333">
        <f t="shared" ref="DO37:DO44" si="83">IF((1-($EC$2-AY$2)/$C37)&gt;0,(1-($EC$2-AY$2)/$C37),0)</f>
        <v>0</v>
      </c>
      <c r="DP37" s="333">
        <f t="shared" ref="DP37:DP44" si="84">IF((1-($EC$2-BC$2)/$C37)&gt;0,(1-($EC$2-BC$2)/$C37),0)</f>
        <v>0</v>
      </c>
      <c r="DQ37" s="333">
        <f t="shared" ref="DQ37:DQ44" si="85">IF(BG37=0,0,1-($EC$2-(2014.5-(BG37-BI37)*C37/BG37))/C37)</f>
        <v>0</v>
      </c>
      <c r="DR37" s="333">
        <f t="shared" ref="DR37:DR44" si="86">IF((1-($EC$2-BJ$2)/$C37)&gt;0,(1-($EC$2-BJ$2)/$C37),0)</f>
        <v>0</v>
      </c>
      <c r="DS37" s="333">
        <f t="shared" ref="DS37:DS44" si="87">IF((1-($EC$2-BN$2)/$C37)&gt;0,(1-($EC$2-BN$2)/$C37),0)</f>
        <v>5.0000000000000044E-2</v>
      </c>
      <c r="DT37" s="333">
        <f t="shared" ref="DT37:DT44" si="88">IF((1-($EC$2-BR$2)/$C37)&gt;0,(1-($EC$2-BR$2)/$C37),0)</f>
        <v>0.15000000000000002</v>
      </c>
      <c r="DU37" s="333">
        <f t="shared" ref="DU37:DU44" si="89">IF((1-($EC$2-BV$2)/$C37)&gt;0,(1-($EC$2-BV$2)/$C37),0)</f>
        <v>0.25</v>
      </c>
      <c r="DV37" s="333">
        <f t="shared" ref="DV37:DV44" si="90">IF((1-($EC$2-BZ$2)/$C37)&gt;0,(1-($EC$2-BZ$2)/$C37),0)</f>
        <v>0.35</v>
      </c>
      <c r="DW37" s="333">
        <f t="shared" ref="DW37:DW44" si="91">IF((1-($EC$2-CD$2)/$C37)&gt;0,(1-($EC$2-CD$2)/$C37),0)</f>
        <v>0.44999999999999996</v>
      </c>
      <c r="DX37" s="333">
        <f t="shared" ref="DX37:DX44" si="92">IF((1-($EC$2-CH$2)/$C37)&gt;0,(1-($EC$2-CH$2)/$C37),0)</f>
        <v>0.55000000000000004</v>
      </c>
      <c r="DY37" s="333">
        <f t="shared" ref="DY37:DY44" si="93">IF((1-($EC$2-CL$2)/$C37)&gt;0,(1-($EC$2-CL$2)/$C37),0)</f>
        <v>0.65</v>
      </c>
      <c r="DZ37" s="333">
        <f t="shared" ref="DZ37:DZ44" si="94">IF((1-($EC$2-CP$2)/$C37)&gt;0,(1-($EC$2-CP$2)/$C37),0)</f>
        <v>0.75</v>
      </c>
      <c r="EA37" s="333">
        <f t="shared" ref="EA37:EA44" si="95">IF((1-($EC$2-CT$2)/$C37)&gt;0,(1-($EC$2-CT$2)/$C37),0)</f>
        <v>0.85</v>
      </c>
      <c r="EB37" s="333">
        <f t="shared" ref="EB37:EB44" si="96">IF((1-($EC$2-CX$2)/$C37)&gt;0,(1-($EC$2-CX$2)/$C37),0)</f>
        <v>0.95</v>
      </c>
      <c r="EC37" s="334">
        <f t="shared" si="37"/>
        <v>0</v>
      </c>
      <c r="ED37" s="334">
        <f t="shared" si="38"/>
        <v>0</v>
      </c>
      <c r="EE37" s="334">
        <f t="shared" si="39"/>
        <v>0</v>
      </c>
    </row>
    <row r="38" spans="1:135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>
        <v>0</v>
      </c>
      <c r="CJ38" s="290"/>
      <c r="CK38" s="290"/>
      <c r="CL38" s="290"/>
      <c r="CM38" s="290"/>
      <c r="CN38" s="290"/>
      <c r="CO38" s="290"/>
      <c r="CP38" s="290"/>
      <c r="CQ38" s="290"/>
      <c r="CR38" s="290"/>
      <c r="CS38" s="290"/>
      <c r="CT38" s="290"/>
      <c r="CU38" s="290"/>
      <c r="CV38" s="290"/>
      <c r="CW38" s="290"/>
      <c r="CX38" s="430">
        <v>0</v>
      </c>
      <c r="CY38" s="430">
        <f t="shared" si="33"/>
        <v>0</v>
      </c>
      <c r="CZ38" s="430"/>
      <c r="DA38" s="430"/>
      <c r="DB38" s="321">
        <f t="shared" si="70"/>
        <v>0</v>
      </c>
      <c r="DC38" s="333">
        <f t="shared" si="71"/>
        <v>0</v>
      </c>
      <c r="DD38" s="333">
        <f t="shared" si="72"/>
        <v>0</v>
      </c>
      <c r="DE38" s="333">
        <f t="shared" si="73"/>
        <v>0</v>
      </c>
      <c r="DF38" s="333">
        <f t="shared" si="74"/>
        <v>0</v>
      </c>
      <c r="DG38" s="333">
        <f t="shared" si="75"/>
        <v>0</v>
      </c>
      <c r="DH38" s="333">
        <f t="shared" si="76"/>
        <v>0</v>
      </c>
      <c r="DI38" s="333">
        <f t="shared" si="77"/>
        <v>0</v>
      </c>
      <c r="DJ38" s="333">
        <f t="shared" si="78"/>
        <v>0</v>
      </c>
      <c r="DK38" s="333">
        <f t="shared" si="79"/>
        <v>0</v>
      </c>
      <c r="DL38" s="333">
        <f t="shared" si="80"/>
        <v>0</v>
      </c>
      <c r="DM38" s="333">
        <f t="shared" si="81"/>
        <v>0</v>
      </c>
      <c r="DN38" s="333">
        <f t="shared" si="82"/>
        <v>0</v>
      </c>
      <c r="DO38" s="333">
        <f t="shared" si="83"/>
        <v>0</v>
      </c>
      <c r="DP38" s="333">
        <f t="shared" si="84"/>
        <v>0</v>
      </c>
      <c r="DQ38" s="333">
        <f t="shared" si="85"/>
        <v>0</v>
      </c>
      <c r="DR38" s="333">
        <f t="shared" si="86"/>
        <v>0</v>
      </c>
      <c r="DS38" s="333">
        <f t="shared" si="87"/>
        <v>0</v>
      </c>
      <c r="DT38" s="333">
        <f t="shared" si="88"/>
        <v>0</v>
      </c>
      <c r="DU38" s="333">
        <f t="shared" si="89"/>
        <v>0</v>
      </c>
      <c r="DV38" s="333">
        <f t="shared" si="90"/>
        <v>0</v>
      </c>
      <c r="DW38" s="333">
        <f t="shared" si="91"/>
        <v>0</v>
      </c>
      <c r="DX38" s="333">
        <f t="shared" si="92"/>
        <v>9.9999999999999978E-2</v>
      </c>
      <c r="DY38" s="333">
        <f t="shared" si="93"/>
        <v>0.30000000000000004</v>
      </c>
      <c r="DZ38" s="333">
        <f t="shared" si="94"/>
        <v>0.5</v>
      </c>
      <c r="EA38" s="333">
        <f t="shared" si="95"/>
        <v>0.7</v>
      </c>
      <c r="EB38" s="333">
        <f t="shared" si="96"/>
        <v>0.9</v>
      </c>
      <c r="EC38" s="334">
        <f t="shared" si="37"/>
        <v>13307.93</v>
      </c>
      <c r="ED38" s="334">
        <f t="shared" si="38"/>
        <v>13307.93</v>
      </c>
      <c r="EE38" s="334">
        <f t="shared" si="39"/>
        <v>0</v>
      </c>
    </row>
    <row r="39" spans="1:135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>
        <v>0</v>
      </c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290"/>
      <c r="CU39" s="290"/>
      <c r="CV39" s="290"/>
      <c r="CW39" s="290"/>
      <c r="CX39" s="430">
        <v>0</v>
      </c>
      <c r="CY39" s="430">
        <f t="shared" si="33"/>
        <v>0</v>
      </c>
      <c r="CZ39" s="430"/>
      <c r="DA39" s="430"/>
      <c r="DB39" s="321">
        <f t="shared" si="70"/>
        <v>0</v>
      </c>
      <c r="DC39" s="333">
        <f t="shared" si="71"/>
        <v>0</v>
      </c>
      <c r="DD39" s="333">
        <f t="shared" si="72"/>
        <v>0.97650000000000003</v>
      </c>
      <c r="DE39" s="333">
        <f t="shared" si="73"/>
        <v>0.97750000000000004</v>
      </c>
      <c r="DF39" s="333">
        <f t="shared" si="74"/>
        <v>0.97850000000000004</v>
      </c>
      <c r="DG39" s="333">
        <f t="shared" si="75"/>
        <v>0.97950000000000004</v>
      </c>
      <c r="DH39" s="333">
        <f t="shared" si="76"/>
        <v>0.98050000000000004</v>
      </c>
      <c r="DI39" s="333">
        <f t="shared" si="77"/>
        <v>0.98150000000000004</v>
      </c>
      <c r="DJ39" s="333">
        <f t="shared" si="78"/>
        <v>0.98250000000000004</v>
      </c>
      <c r="DK39" s="333">
        <f t="shared" si="79"/>
        <v>0.98350000000000004</v>
      </c>
      <c r="DL39" s="333">
        <f t="shared" si="80"/>
        <v>0.98450000000000004</v>
      </c>
      <c r="DM39" s="333">
        <f t="shared" si="81"/>
        <v>0.98550000000000004</v>
      </c>
      <c r="DN39" s="333">
        <f t="shared" si="82"/>
        <v>0.98650000000000004</v>
      </c>
      <c r="DO39" s="333">
        <f t="shared" si="83"/>
        <v>0.98750000000000004</v>
      </c>
      <c r="DP39" s="333">
        <f t="shared" si="84"/>
        <v>0.98850000000000005</v>
      </c>
      <c r="DQ39" s="333">
        <f t="shared" si="85"/>
        <v>0</v>
      </c>
      <c r="DR39" s="333">
        <f t="shared" si="86"/>
        <v>0.98950000000000005</v>
      </c>
      <c r="DS39" s="333">
        <f t="shared" si="87"/>
        <v>0.99050000000000005</v>
      </c>
      <c r="DT39" s="333">
        <f t="shared" si="88"/>
        <v>0.99150000000000005</v>
      </c>
      <c r="DU39" s="333">
        <f t="shared" si="89"/>
        <v>0.99250000000000005</v>
      </c>
      <c r="DV39" s="333">
        <f t="shared" si="90"/>
        <v>0.99350000000000005</v>
      </c>
      <c r="DW39" s="333">
        <f t="shared" si="91"/>
        <v>0.99450000000000005</v>
      </c>
      <c r="DX39" s="333">
        <f t="shared" si="92"/>
        <v>0.99550000000000005</v>
      </c>
      <c r="DY39" s="333">
        <f t="shared" si="93"/>
        <v>0.99650000000000005</v>
      </c>
      <c r="DZ39" s="333">
        <f t="shared" si="94"/>
        <v>0.99750000000000005</v>
      </c>
      <c r="EA39" s="333">
        <f t="shared" si="95"/>
        <v>0.99850000000000005</v>
      </c>
      <c r="EB39" s="333">
        <f t="shared" si="96"/>
        <v>0.99950000000000006</v>
      </c>
      <c r="EC39" s="334">
        <f t="shared" si="37"/>
        <v>0</v>
      </c>
      <c r="ED39" s="334">
        <f t="shared" si="38"/>
        <v>0</v>
      </c>
      <c r="EE39" s="334">
        <f t="shared" si="39"/>
        <v>0</v>
      </c>
    </row>
    <row r="40" spans="1:135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>
        <v>0</v>
      </c>
      <c r="CJ40" s="290"/>
      <c r="CK40" s="290"/>
      <c r="CL40" s="290"/>
      <c r="CM40" s="290"/>
      <c r="CN40" s="290"/>
      <c r="CO40" s="290"/>
      <c r="CP40" s="290"/>
      <c r="CQ40" s="290"/>
      <c r="CR40" s="290"/>
      <c r="CS40" s="290"/>
      <c r="CT40" s="290"/>
      <c r="CU40" s="290"/>
      <c r="CV40" s="290"/>
      <c r="CW40" s="290"/>
      <c r="CX40" s="430"/>
      <c r="CY40" s="430">
        <f t="shared" si="33"/>
        <v>0</v>
      </c>
      <c r="CZ40" s="430"/>
      <c r="DA40" s="430"/>
      <c r="DB40" s="321">
        <f t="shared" si="70"/>
        <v>0</v>
      </c>
      <c r="DC40" s="333">
        <f t="shared" si="71"/>
        <v>0</v>
      </c>
      <c r="DD40" s="333">
        <f t="shared" si="72"/>
        <v>0.41249999999999998</v>
      </c>
      <c r="DE40" s="333">
        <f t="shared" si="73"/>
        <v>0.4375</v>
      </c>
      <c r="DF40" s="333">
        <f t="shared" si="74"/>
        <v>0.46250000000000002</v>
      </c>
      <c r="DG40" s="333">
        <f t="shared" si="75"/>
        <v>0.48750000000000004</v>
      </c>
      <c r="DH40" s="333">
        <f t="shared" si="76"/>
        <v>0.51249999999999996</v>
      </c>
      <c r="DI40" s="333">
        <f t="shared" si="77"/>
        <v>0.53749999999999998</v>
      </c>
      <c r="DJ40" s="333">
        <f t="shared" si="78"/>
        <v>0.5625</v>
      </c>
      <c r="DK40" s="333">
        <f t="shared" si="79"/>
        <v>0.58750000000000002</v>
      </c>
      <c r="DL40" s="333">
        <f t="shared" si="80"/>
        <v>0.61250000000000004</v>
      </c>
      <c r="DM40" s="333">
        <f t="shared" si="81"/>
        <v>0.63749999999999996</v>
      </c>
      <c r="DN40" s="333">
        <f t="shared" si="82"/>
        <v>0.66249999999999998</v>
      </c>
      <c r="DO40" s="333">
        <f t="shared" si="83"/>
        <v>0.6875</v>
      </c>
      <c r="DP40" s="333">
        <f t="shared" si="84"/>
        <v>0.71250000000000002</v>
      </c>
      <c r="DQ40" s="333">
        <f t="shared" si="85"/>
        <v>0</v>
      </c>
      <c r="DR40" s="333">
        <f t="shared" si="86"/>
        <v>0.73750000000000004</v>
      </c>
      <c r="DS40" s="333">
        <f t="shared" si="87"/>
        <v>0.76249999999999996</v>
      </c>
      <c r="DT40" s="333">
        <f t="shared" si="88"/>
        <v>0.78749999999999998</v>
      </c>
      <c r="DU40" s="333">
        <f t="shared" si="89"/>
        <v>0.8125</v>
      </c>
      <c r="DV40" s="333">
        <f t="shared" si="90"/>
        <v>0.83750000000000002</v>
      </c>
      <c r="DW40" s="333">
        <f t="shared" si="91"/>
        <v>0.86250000000000004</v>
      </c>
      <c r="DX40" s="333">
        <f t="shared" si="92"/>
        <v>0.88749999999999996</v>
      </c>
      <c r="DY40" s="333">
        <f t="shared" si="93"/>
        <v>0.91249999999999998</v>
      </c>
      <c r="DZ40" s="333">
        <f t="shared" si="94"/>
        <v>0.9375</v>
      </c>
      <c r="EA40" s="333">
        <f t="shared" si="95"/>
        <v>0.96250000000000002</v>
      </c>
      <c r="EB40" s="333">
        <f t="shared" si="96"/>
        <v>0.98750000000000004</v>
      </c>
      <c r="EC40" s="334">
        <f t="shared" si="37"/>
        <v>0</v>
      </c>
      <c r="ED40" s="334">
        <f t="shared" si="38"/>
        <v>0</v>
      </c>
      <c r="EE40" s="334">
        <f t="shared" si="39"/>
        <v>0</v>
      </c>
    </row>
    <row r="41" spans="1:135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290">
        <v>1564664.1</v>
      </c>
      <c r="CI41" s="290">
        <v>0</v>
      </c>
      <c r="CJ41" s="290"/>
      <c r="CK41" s="290"/>
      <c r="CL41" s="290">
        <v>851576.63</v>
      </c>
      <c r="CM41" s="290"/>
      <c r="CN41" s="290"/>
      <c r="CO41" s="290"/>
      <c r="CP41" s="290">
        <v>1257071.68</v>
      </c>
      <c r="CQ41" s="290"/>
      <c r="CR41" s="290"/>
      <c r="CS41" s="290"/>
      <c r="CT41" s="290">
        <v>1144191.3600000001</v>
      </c>
      <c r="CU41" s="290"/>
      <c r="CV41" s="290"/>
      <c r="CW41" s="290"/>
      <c r="CX41" s="430">
        <v>388239.16000000003</v>
      </c>
      <c r="CY41" s="430">
        <f t="shared" si="33"/>
        <v>0</v>
      </c>
      <c r="CZ41" s="430"/>
      <c r="DA41" s="430"/>
      <c r="DB41" s="321">
        <f t="shared" si="70"/>
        <v>1991</v>
      </c>
      <c r="DC41" s="333">
        <f t="shared" si="71"/>
        <v>0</v>
      </c>
      <c r="DD41" s="333">
        <f t="shared" si="72"/>
        <v>0</v>
      </c>
      <c r="DE41" s="333">
        <f t="shared" si="73"/>
        <v>0</v>
      </c>
      <c r="DF41" s="333">
        <f t="shared" si="74"/>
        <v>0</v>
      </c>
      <c r="DG41" s="333">
        <f t="shared" si="75"/>
        <v>0</v>
      </c>
      <c r="DH41" s="333">
        <f t="shared" si="76"/>
        <v>0</v>
      </c>
      <c r="DI41" s="333">
        <f t="shared" si="77"/>
        <v>0</v>
      </c>
      <c r="DJ41" s="333">
        <f t="shared" si="78"/>
        <v>0</v>
      </c>
      <c r="DK41" s="333">
        <f t="shared" si="79"/>
        <v>0</v>
      </c>
      <c r="DL41" s="333">
        <f t="shared" si="80"/>
        <v>0</v>
      </c>
      <c r="DM41" s="333">
        <f t="shared" si="81"/>
        <v>0</v>
      </c>
      <c r="DN41" s="333">
        <f t="shared" si="82"/>
        <v>0</v>
      </c>
      <c r="DO41" s="333">
        <f t="shared" si="83"/>
        <v>0</v>
      </c>
      <c r="DP41" s="333">
        <f t="shared" si="84"/>
        <v>0</v>
      </c>
      <c r="DQ41" s="333">
        <f t="shared" si="85"/>
        <v>0</v>
      </c>
      <c r="DR41" s="333">
        <f t="shared" si="86"/>
        <v>0</v>
      </c>
      <c r="DS41" s="333">
        <f t="shared" si="87"/>
        <v>5.0000000000000044E-2</v>
      </c>
      <c r="DT41" s="333">
        <f t="shared" si="88"/>
        <v>0.15000000000000002</v>
      </c>
      <c r="DU41" s="333">
        <f t="shared" si="89"/>
        <v>0.25</v>
      </c>
      <c r="DV41" s="333">
        <f t="shared" si="90"/>
        <v>0.35</v>
      </c>
      <c r="DW41" s="333">
        <f t="shared" si="91"/>
        <v>0.44999999999999996</v>
      </c>
      <c r="DX41" s="333">
        <f t="shared" si="92"/>
        <v>0.55000000000000004</v>
      </c>
      <c r="DY41" s="333">
        <f t="shared" si="93"/>
        <v>0.65</v>
      </c>
      <c r="DZ41" s="333">
        <f t="shared" si="94"/>
        <v>0.75</v>
      </c>
      <c r="EA41" s="333">
        <f t="shared" si="95"/>
        <v>0.85</v>
      </c>
      <c r="EB41" s="333">
        <f t="shared" si="96"/>
        <v>0.95</v>
      </c>
      <c r="EC41" s="334">
        <f t="shared" si="37"/>
        <v>10038389.239586765</v>
      </c>
      <c r="ED41" s="334">
        <f t="shared" si="38"/>
        <v>1323822.7242444642</v>
      </c>
      <c r="EE41" s="334">
        <f t="shared" si="39"/>
        <v>4194452.6111086104</v>
      </c>
    </row>
    <row r="42" spans="1:135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290">
        <v>211466.45</v>
      </c>
      <c r="CI42" s="290">
        <v>0</v>
      </c>
      <c r="CJ42" s="290"/>
      <c r="CK42" s="290"/>
      <c r="CL42" s="290">
        <v>237731.02000000002</v>
      </c>
      <c r="CM42" s="290"/>
      <c r="CN42" s="290"/>
      <c r="CO42" s="290"/>
      <c r="CP42" s="290">
        <v>215918.29000000004</v>
      </c>
      <c r="CQ42" s="290"/>
      <c r="CR42" s="290"/>
      <c r="CS42" s="290"/>
      <c r="CT42" s="290">
        <v>109224.11</v>
      </c>
      <c r="CU42" s="290"/>
      <c r="CV42" s="290"/>
      <c r="CW42" s="290"/>
      <c r="CX42" s="430">
        <v>0</v>
      </c>
      <c r="CY42" s="430">
        <f t="shared" si="33"/>
        <v>0</v>
      </c>
      <c r="CZ42" s="430"/>
      <c r="DA42" s="430"/>
      <c r="DB42" s="321">
        <f t="shared" si="70"/>
        <v>0</v>
      </c>
      <c r="DC42" s="333">
        <f t="shared" si="71"/>
        <v>0</v>
      </c>
      <c r="DD42" s="333">
        <f t="shared" si="72"/>
        <v>0</v>
      </c>
      <c r="DE42" s="333">
        <f t="shared" si="73"/>
        <v>0</v>
      </c>
      <c r="DF42" s="333">
        <f t="shared" si="74"/>
        <v>2.2727272727272707E-2</v>
      </c>
      <c r="DG42" s="333">
        <f t="shared" si="75"/>
        <v>6.8181818181818232E-2</v>
      </c>
      <c r="DH42" s="333">
        <f t="shared" si="76"/>
        <v>0.11363636363636365</v>
      </c>
      <c r="DI42" s="333">
        <f t="shared" si="77"/>
        <v>0.15909090909090906</v>
      </c>
      <c r="DJ42" s="333">
        <f t="shared" si="78"/>
        <v>0.20454545454545459</v>
      </c>
      <c r="DK42" s="333">
        <f t="shared" si="79"/>
        <v>0.25</v>
      </c>
      <c r="DL42" s="333">
        <f t="shared" si="80"/>
        <v>0.29545454545454541</v>
      </c>
      <c r="DM42" s="333">
        <f t="shared" si="81"/>
        <v>0.34090909090909094</v>
      </c>
      <c r="DN42" s="333">
        <f t="shared" si="82"/>
        <v>0.38636363636363635</v>
      </c>
      <c r="DO42" s="333">
        <f t="shared" si="83"/>
        <v>0.43181818181818177</v>
      </c>
      <c r="DP42" s="333">
        <f t="shared" si="84"/>
        <v>0.47727272727272729</v>
      </c>
      <c r="DQ42" s="333">
        <f t="shared" si="85"/>
        <v>0</v>
      </c>
      <c r="DR42" s="333">
        <f t="shared" si="86"/>
        <v>0.52272727272727271</v>
      </c>
      <c r="DS42" s="333">
        <f t="shared" si="87"/>
        <v>0.56818181818181812</v>
      </c>
      <c r="DT42" s="333">
        <f t="shared" si="88"/>
        <v>0.61363636363636365</v>
      </c>
      <c r="DU42" s="333">
        <f t="shared" si="89"/>
        <v>0.65909090909090917</v>
      </c>
      <c r="DV42" s="333">
        <f t="shared" si="90"/>
        <v>0.70454545454545459</v>
      </c>
      <c r="DW42" s="333">
        <f t="shared" si="91"/>
        <v>0.75</v>
      </c>
      <c r="DX42" s="333">
        <f t="shared" si="92"/>
        <v>0.79545454545454541</v>
      </c>
      <c r="DY42" s="333">
        <f t="shared" si="93"/>
        <v>0.84090909090909094</v>
      </c>
      <c r="DZ42" s="333">
        <f t="shared" si="94"/>
        <v>0.88636363636363635</v>
      </c>
      <c r="EA42" s="333">
        <f t="shared" si="95"/>
        <v>0.93181818181818188</v>
      </c>
      <c r="EB42" s="333">
        <f t="shared" si="96"/>
        <v>0.97727272727272729</v>
      </c>
      <c r="EC42" s="334">
        <f t="shared" si="37"/>
        <v>1385485.0849078149</v>
      </c>
      <c r="ED42" s="334">
        <f t="shared" si="38"/>
        <v>0</v>
      </c>
      <c r="EE42" s="334">
        <f t="shared" si="39"/>
        <v>977029.50858540833</v>
      </c>
    </row>
    <row r="43" spans="1:135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290"/>
      <c r="CI43" s="290">
        <v>0</v>
      </c>
      <c r="CJ43" s="290"/>
      <c r="CK43" s="290"/>
      <c r="CL43" s="290">
        <v>0</v>
      </c>
      <c r="CM43" s="290"/>
      <c r="CN43" s="290"/>
      <c r="CO43" s="290"/>
      <c r="CP43" s="290">
        <v>0</v>
      </c>
      <c r="CQ43" s="290"/>
      <c r="CR43" s="290"/>
      <c r="CS43" s="290"/>
      <c r="CT43" s="290">
        <v>0</v>
      </c>
      <c r="CU43" s="290"/>
      <c r="CV43" s="290"/>
      <c r="CW43" s="290"/>
      <c r="CX43" s="430">
        <v>0</v>
      </c>
      <c r="CY43" s="430">
        <f t="shared" si="33"/>
        <v>0</v>
      </c>
      <c r="CZ43" s="430"/>
      <c r="DA43" s="430"/>
      <c r="DB43" s="321">
        <f t="shared" si="70"/>
        <v>0</v>
      </c>
      <c r="DC43" s="333">
        <f t="shared" si="71"/>
        <v>0</v>
      </c>
      <c r="DD43" s="333">
        <f t="shared" si="72"/>
        <v>0</v>
      </c>
      <c r="DE43" s="333">
        <f t="shared" si="73"/>
        <v>0</v>
      </c>
      <c r="DF43" s="333">
        <f t="shared" si="74"/>
        <v>0</v>
      </c>
      <c r="DG43" s="333">
        <f t="shared" si="75"/>
        <v>0</v>
      </c>
      <c r="DH43" s="333">
        <f t="shared" si="76"/>
        <v>0</v>
      </c>
      <c r="DI43" s="333">
        <f t="shared" si="77"/>
        <v>0</v>
      </c>
      <c r="DJ43" s="333">
        <f t="shared" si="78"/>
        <v>0</v>
      </c>
      <c r="DK43" s="333">
        <f t="shared" si="79"/>
        <v>0</v>
      </c>
      <c r="DL43" s="333">
        <f t="shared" si="80"/>
        <v>0</v>
      </c>
      <c r="DM43" s="333">
        <f t="shared" si="81"/>
        <v>0</v>
      </c>
      <c r="DN43" s="333">
        <f t="shared" si="82"/>
        <v>0</v>
      </c>
      <c r="DO43" s="333">
        <f t="shared" si="83"/>
        <v>0</v>
      </c>
      <c r="DP43" s="333">
        <f t="shared" si="84"/>
        <v>0</v>
      </c>
      <c r="DQ43" s="333">
        <f t="shared" si="85"/>
        <v>0</v>
      </c>
      <c r="DR43" s="333">
        <f t="shared" si="86"/>
        <v>0</v>
      </c>
      <c r="DS43" s="333">
        <f t="shared" si="87"/>
        <v>0</v>
      </c>
      <c r="DT43" s="333">
        <f t="shared" si="88"/>
        <v>0</v>
      </c>
      <c r="DU43" s="333">
        <f t="shared" si="89"/>
        <v>0</v>
      </c>
      <c r="DV43" s="333">
        <f t="shared" si="90"/>
        <v>0</v>
      </c>
      <c r="DW43" s="333">
        <f t="shared" si="91"/>
        <v>0</v>
      </c>
      <c r="DX43" s="333">
        <f t="shared" si="92"/>
        <v>0</v>
      </c>
      <c r="DY43" s="333">
        <f t="shared" si="93"/>
        <v>0.125</v>
      </c>
      <c r="DZ43" s="333">
        <f t="shared" si="94"/>
        <v>0.375</v>
      </c>
      <c r="EA43" s="333">
        <f t="shared" si="95"/>
        <v>0.625</v>
      </c>
      <c r="EB43" s="333">
        <f t="shared" si="96"/>
        <v>0.875</v>
      </c>
      <c r="EC43" s="334">
        <f t="shared" si="37"/>
        <v>0</v>
      </c>
      <c r="ED43" s="334">
        <f t="shared" si="38"/>
        <v>0</v>
      </c>
      <c r="EE43" s="334">
        <f t="shared" si="39"/>
        <v>0</v>
      </c>
    </row>
    <row r="44" spans="1:135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0">
        <v>0</v>
      </c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431"/>
      <c r="CY44" s="431">
        <f t="shared" si="33"/>
        <v>0</v>
      </c>
      <c r="CZ44" s="431"/>
      <c r="DA44" s="431"/>
      <c r="DB44" s="321">
        <f t="shared" si="70"/>
        <v>0</v>
      </c>
      <c r="DC44" s="348">
        <f t="shared" si="71"/>
        <v>0</v>
      </c>
      <c r="DD44" s="333">
        <f t="shared" si="72"/>
        <v>0</v>
      </c>
      <c r="DE44" s="333">
        <f t="shared" si="73"/>
        <v>0</v>
      </c>
      <c r="DF44" s="333">
        <f t="shared" si="74"/>
        <v>0</v>
      </c>
      <c r="DG44" s="333">
        <f t="shared" si="75"/>
        <v>0</v>
      </c>
      <c r="DH44" s="333">
        <f t="shared" si="76"/>
        <v>0</v>
      </c>
      <c r="DI44" s="333">
        <f t="shared" si="77"/>
        <v>0</v>
      </c>
      <c r="DJ44" s="333">
        <f t="shared" si="78"/>
        <v>0</v>
      </c>
      <c r="DK44" s="333">
        <f t="shared" si="79"/>
        <v>0</v>
      </c>
      <c r="DL44" s="333">
        <f t="shared" si="80"/>
        <v>0</v>
      </c>
      <c r="DM44" s="333">
        <f t="shared" si="81"/>
        <v>0</v>
      </c>
      <c r="DN44" s="333">
        <f t="shared" si="82"/>
        <v>0</v>
      </c>
      <c r="DO44" s="333">
        <f t="shared" si="83"/>
        <v>0</v>
      </c>
      <c r="DP44" s="333">
        <f t="shared" si="84"/>
        <v>0</v>
      </c>
      <c r="DQ44" s="333">
        <f t="shared" si="85"/>
        <v>0</v>
      </c>
      <c r="DR44" s="333">
        <f t="shared" si="86"/>
        <v>0</v>
      </c>
      <c r="DS44" s="333">
        <f t="shared" si="87"/>
        <v>0</v>
      </c>
      <c r="DT44" s="333">
        <f t="shared" si="88"/>
        <v>0</v>
      </c>
      <c r="DU44" s="333">
        <f t="shared" si="89"/>
        <v>6.25E-2</v>
      </c>
      <c r="DV44" s="333">
        <f t="shared" si="90"/>
        <v>0.1875</v>
      </c>
      <c r="DW44" s="333">
        <f t="shared" si="91"/>
        <v>0.3125</v>
      </c>
      <c r="DX44" s="333">
        <f t="shared" si="92"/>
        <v>0.4375</v>
      </c>
      <c r="DY44" s="333">
        <f t="shared" si="93"/>
        <v>0.5625</v>
      </c>
      <c r="DZ44" s="333">
        <f t="shared" si="94"/>
        <v>0.6875</v>
      </c>
      <c r="EA44" s="333">
        <f t="shared" si="95"/>
        <v>0.8125</v>
      </c>
      <c r="EB44" s="333">
        <f t="shared" si="96"/>
        <v>0.9375</v>
      </c>
      <c r="EC44" s="334">
        <f t="shared" si="37"/>
        <v>140062.64508443855</v>
      </c>
      <c r="ED44" s="334">
        <f t="shared" si="38"/>
        <v>140062.64508443855</v>
      </c>
      <c r="EE44" s="334">
        <f t="shared" si="39"/>
        <v>0</v>
      </c>
    </row>
    <row r="45" spans="1:135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97">SUM(E14:E44)</f>
        <v>0</v>
      </c>
      <c r="F45" s="296">
        <f t="shared" si="97"/>
        <v>36745444.950886555</v>
      </c>
      <c r="G45" s="296">
        <f t="shared" si="97"/>
        <v>1262365.3598000002</v>
      </c>
      <c r="H45" s="296">
        <f t="shared" si="97"/>
        <v>0</v>
      </c>
      <c r="I45" s="296">
        <f t="shared" si="97"/>
        <v>0</v>
      </c>
      <c r="J45" s="296">
        <f t="shared" si="97"/>
        <v>0</v>
      </c>
      <c r="K45" s="296">
        <f t="shared" si="97"/>
        <v>2422005.5850740555</v>
      </c>
      <c r="L45" s="296">
        <f t="shared" si="97"/>
        <v>315949</v>
      </c>
      <c r="M45" s="296">
        <f t="shared" si="97"/>
        <v>0</v>
      </c>
      <c r="N45" s="296">
        <f t="shared" si="97"/>
        <v>0</v>
      </c>
      <c r="O45" s="296">
        <f t="shared" si="97"/>
        <v>2468106.6800000002</v>
      </c>
      <c r="P45" s="296">
        <f t="shared" si="97"/>
        <v>0</v>
      </c>
      <c r="Q45" s="296">
        <f t="shared" si="97"/>
        <v>0</v>
      </c>
      <c r="R45" s="296">
        <f t="shared" si="97"/>
        <v>0</v>
      </c>
      <c r="S45" s="296">
        <f t="shared" si="97"/>
        <v>2636963</v>
      </c>
      <c r="T45" s="296">
        <f t="shared" si="97"/>
        <v>0</v>
      </c>
      <c r="U45" s="296">
        <f t="shared" si="97"/>
        <v>0</v>
      </c>
      <c r="V45" s="296">
        <f t="shared" si="97"/>
        <v>0</v>
      </c>
      <c r="W45" s="296">
        <f t="shared" si="97"/>
        <v>2901614.0900000003</v>
      </c>
      <c r="X45" s="296">
        <f t="shared" si="97"/>
        <v>0</v>
      </c>
      <c r="Y45" s="296">
        <f t="shared" si="97"/>
        <v>0</v>
      </c>
      <c r="Z45" s="296">
        <f t="shared" si="97"/>
        <v>0</v>
      </c>
      <c r="AA45" s="296">
        <f t="shared" si="97"/>
        <v>4650052.8100000005</v>
      </c>
      <c r="AB45" s="296">
        <f t="shared" si="97"/>
        <v>556386.07000000007</v>
      </c>
      <c r="AC45" s="296">
        <f t="shared" si="97"/>
        <v>0</v>
      </c>
      <c r="AD45" s="296">
        <f t="shared" si="97"/>
        <v>0</v>
      </c>
      <c r="AE45" s="296">
        <f t="shared" si="97"/>
        <v>5437854.6999999993</v>
      </c>
      <c r="AF45" s="296">
        <f t="shared" si="97"/>
        <v>0</v>
      </c>
      <c r="AG45" s="296">
        <f t="shared" si="97"/>
        <v>0</v>
      </c>
      <c r="AH45" s="296">
        <f t="shared" si="97"/>
        <v>0</v>
      </c>
      <c r="AI45" s="296">
        <f t="shared" si="97"/>
        <v>7755169.0999999968</v>
      </c>
      <c r="AJ45" s="296">
        <f t="shared" si="97"/>
        <v>0</v>
      </c>
      <c r="AK45" s="296">
        <f t="shared" si="97"/>
        <v>0</v>
      </c>
      <c r="AL45" s="296">
        <f t="shared" si="97"/>
        <v>0</v>
      </c>
      <c r="AM45" s="296">
        <f t="shared" si="97"/>
        <v>5445007.6719999984</v>
      </c>
      <c r="AN45" s="296">
        <f t="shared" si="97"/>
        <v>0</v>
      </c>
      <c r="AO45" s="296">
        <f t="shared" si="97"/>
        <v>0</v>
      </c>
      <c r="AP45" s="296">
        <f t="shared" si="97"/>
        <v>0</v>
      </c>
      <c r="AQ45" s="296">
        <f t="shared" si="97"/>
        <v>6483412.9600000028</v>
      </c>
      <c r="AR45" s="296">
        <f t="shared" si="97"/>
        <v>0</v>
      </c>
      <c r="AS45" s="296">
        <f t="shared" si="97"/>
        <v>0</v>
      </c>
      <c r="AT45" s="296">
        <f t="shared" si="97"/>
        <v>0</v>
      </c>
      <c r="AU45" s="296">
        <f t="shared" si="97"/>
        <v>4744163.7299999967</v>
      </c>
      <c r="AV45" s="296">
        <f t="shared" si="97"/>
        <v>0</v>
      </c>
      <c r="AW45" s="296">
        <f t="shared" si="97"/>
        <v>0</v>
      </c>
      <c r="AX45" s="296">
        <f t="shared" si="97"/>
        <v>0</v>
      </c>
      <c r="AY45" s="296">
        <f t="shared" si="97"/>
        <v>8655575.7579999957</v>
      </c>
      <c r="AZ45" s="296">
        <f t="shared" si="97"/>
        <v>0</v>
      </c>
      <c r="BA45" s="296">
        <f t="shared" si="97"/>
        <v>0</v>
      </c>
      <c r="BB45" s="296">
        <f t="shared" si="97"/>
        <v>0</v>
      </c>
      <c r="BC45" s="296">
        <f t="shared" si="97"/>
        <v>8595478.4899999984</v>
      </c>
      <c r="BD45" s="296">
        <f t="shared" si="97"/>
        <v>0</v>
      </c>
      <c r="BE45" s="296">
        <f t="shared" si="97"/>
        <v>0</v>
      </c>
      <c r="BF45" s="296">
        <f t="shared" si="97"/>
        <v>0</v>
      </c>
      <c r="BG45" s="296">
        <f t="shared" si="97"/>
        <v>6931047.2479580687</v>
      </c>
      <c r="BH45" s="296">
        <f t="shared" si="97"/>
        <v>5763524.5579580693</v>
      </c>
      <c r="BI45" s="296">
        <f t="shared" si="97"/>
        <v>4907911.2199999988</v>
      </c>
      <c r="BJ45" s="296">
        <f t="shared" si="97"/>
        <v>10289030.280000001</v>
      </c>
      <c r="BK45" s="296">
        <f t="shared" si="97"/>
        <v>0</v>
      </c>
      <c r="BL45" s="296">
        <f t="shared" si="97"/>
        <v>0</v>
      </c>
      <c r="BM45" s="296">
        <f t="shared" si="97"/>
        <v>0</v>
      </c>
      <c r="BN45" s="296">
        <f t="shared" si="97"/>
        <v>23273467.399999995</v>
      </c>
      <c r="BO45" s="296">
        <f t="shared" si="97"/>
        <v>0</v>
      </c>
      <c r="BP45" s="296">
        <f t="shared" si="97"/>
        <v>0</v>
      </c>
      <c r="BQ45" s="296">
        <f t="shared" ref="BQ45:DA45" si="98">SUM(BQ14:BQ44)</f>
        <v>0</v>
      </c>
      <c r="BR45" s="296">
        <f t="shared" si="98"/>
        <v>16573617.789999997</v>
      </c>
      <c r="BS45" s="296">
        <f t="shared" si="98"/>
        <v>65610.73</v>
      </c>
      <c r="BT45" s="296">
        <f t="shared" si="98"/>
        <v>0</v>
      </c>
      <c r="BU45" s="296">
        <f t="shared" si="98"/>
        <v>0</v>
      </c>
      <c r="BV45" s="296">
        <f t="shared" si="98"/>
        <v>17574337.189999998</v>
      </c>
      <c r="BW45" s="296">
        <f t="shared" si="98"/>
        <v>2126529.2643995676</v>
      </c>
      <c r="BX45" s="296">
        <f t="shared" si="98"/>
        <v>0</v>
      </c>
      <c r="BY45" s="296">
        <f t="shared" si="98"/>
        <v>0</v>
      </c>
      <c r="BZ45" s="296">
        <f t="shared" si="98"/>
        <v>17203994.490000002</v>
      </c>
      <c r="CA45" s="296">
        <f t="shared" si="98"/>
        <v>2659763.210547294</v>
      </c>
      <c r="CB45" s="296">
        <f t="shared" si="98"/>
        <v>0</v>
      </c>
      <c r="CC45" s="296">
        <f t="shared" si="98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6">
        <f t="shared" si="98"/>
        <v>14074953.529999994</v>
      </c>
      <c r="CI45" s="296">
        <f t="shared" si="98"/>
        <v>143425.125207</v>
      </c>
      <c r="CJ45" s="296">
        <f t="shared" si="98"/>
        <v>0</v>
      </c>
      <c r="CK45" s="296">
        <f t="shared" si="98"/>
        <v>0</v>
      </c>
      <c r="CL45" s="296">
        <f t="shared" si="98"/>
        <v>16016692.260000002</v>
      </c>
      <c r="CM45" s="296">
        <f t="shared" si="98"/>
        <v>0</v>
      </c>
      <c r="CN45" s="296">
        <f t="shared" si="98"/>
        <v>0</v>
      </c>
      <c r="CO45" s="296">
        <f t="shared" si="98"/>
        <v>0</v>
      </c>
      <c r="CP45" s="296">
        <f t="shared" si="98"/>
        <v>41021704.730000004</v>
      </c>
      <c r="CQ45" s="296">
        <f t="shared" si="98"/>
        <v>146532.4</v>
      </c>
      <c r="CR45" s="296">
        <f t="shared" si="98"/>
        <v>0</v>
      </c>
      <c r="CS45" s="296">
        <f t="shared" si="98"/>
        <v>0</v>
      </c>
      <c r="CT45" s="296">
        <f t="shared" si="98"/>
        <v>22424311.760000002</v>
      </c>
      <c r="CU45" s="296">
        <f t="shared" si="98"/>
        <v>1934068.2</v>
      </c>
      <c r="CV45" s="296">
        <f t="shared" si="98"/>
        <v>0</v>
      </c>
      <c r="CW45" s="296">
        <f t="shared" si="98"/>
        <v>0</v>
      </c>
      <c r="CX45" s="296">
        <f t="shared" si="98"/>
        <v>24138842.939999998</v>
      </c>
      <c r="CY45" s="296">
        <f t="shared" si="98"/>
        <v>728733.5407034636</v>
      </c>
      <c r="CZ45" s="296">
        <f t="shared" si="98"/>
        <v>0</v>
      </c>
      <c r="DA45" s="296">
        <f t="shared" si="98"/>
        <v>0</v>
      </c>
      <c r="DB45" s="297"/>
      <c r="DC45" s="297"/>
      <c r="DD45" s="297"/>
      <c r="DE45" s="297"/>
      <c r="DF45" s="297"/>
      <c r="DG45" s="297"/>
      <c r="DH45" s="297"/>
      <c r="DI45" s="297"/>
      <c r="DJ45" s="297"/>
      <c r="DK45" s="297"/>
      <c r="DL45" s="297"/>
      <c r="DM45" s="297"/>
      <c r="DN45" s="297"/>
      <c r="DO45" s="297"/>
      <c r="DP45" s="297"/>
      <c r="DQ45" s="297"/>
      <c r="DR45" s="297"/>
      <c r="DS45" s="297"/>
      <c r="DT45" s="297"/>
      <c r="DU45" s="297"/>
      <c r="DV45" s="297"/>
      <c r="DW45" s="297"/>
      <c r="DX45" s="297"/>
      <c r="DY45" s="297"/>
      <c r="DZ45" s="297"/>
      <c r="EA45" s="297"/>
      <c r="EB45" s="297"/>
      <c r="EC45" s="298">
        <f>SUM(EC14:EC44)</f>
        <v>311393594.41916531</v>
      </c>
      <c r="ED45" s="298">
        <f>SUM(ED14:ED44)</f>
        <v>65789396.345319107</v>
      </c>
      <c r="EE45" s="298">
        <f>SUM(EE14:EE44)</f>
        <v>178192645.32540739</v>
      </c>
    </row>
    <row r="46" spans="1:135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292">
        <v>743971.64</v>
      </c>
      <c r="CI46" s="290">
        <v>0</v>
      </c>
      <c r="CJ46" s="292"/>
      <c r="CK46" s="292"/>
      <c r="CL46" s="290">
        <v>550410.49999999988</v>
      </c>
      <c r="CM46" s="290"/>
      <c r="CN46" s="292"/>
      <c r="CO46" s="292"/>
      <c r="CP46" s="290">
        <v>816287.5</v>
      </c>
      <c r="CQ46" s="290"/>
      <c r="CR46" s="292"/>
      <c r="CS46" s="292"/>
      <c r="CT46" s="290">
        <v>242212.58000000002</v>
      </c>
      <c r="CU46" s="290"/>
      <c r="CV46" s="292"/>
      <c r="CW46" s="292"/>
      <c r="CX46" s="430">
        <v>248882.74</v>
      </c>
      <c r="CY46" s="430">
        <f>IFERROR(IF((CM46+CQ46+CU46)/(CL46+CP46+CT46)&gt;0,((CM46+CQ46+CU46)/(CL46+CP46+CT46))*CX46,0),0)</f>
        <v>0</v>
      </c>
      <c r="CZ46" s="432"/>
      <c r="DA46" s="432"/>
      <c r="DB46" s="321">
        <f>IF(D46=0,0,2001-(D46-F46)*C46/D46)</f>
        <v>1993.2473056022818</v>
      </c>
      <c r="DC46" s="374">
        <f>IF((1-($EC$2-$DB46)/$C46)&gt;0,(1-($EC$2-$DB46)/$C46),0)</f>
        <v>0</v>
      </c>
      <c r="DD46" s="333">
        <f>IF((1-($EC$2-G$2)/$C46)&gt;0,(1-($EC$2-G$2)/$C46),0)</f>
        <v>0</v>
      </c>
      <c r="DE46" s="333">
        <f>IF((1-($EC$2-K$2)/$C46)&gt;0,(1-($EC$2-K$2)/$C46),0)</f>
        <v>0</v>
      </c>
      <c r="DF46" s="333">
        <f>IF((1-($EC$2-O$2)/$C46)&gt;0,(1-($EC$2-O$2)/$C46),0)</f>
        <v>2.2727272727272707E-2</v>
      </c>
      <c r="DG46" s="333">
        <f>IF((1-($EC$2-S$2)/$C46)&gt;0,(1-($EC$2-S$2)/$C46),0)</f>
        <v>6.8181818181818232E-2</v>
      </c>
      <c r="DH46" s="333">
        <f>IF((1-($EC$2-W$2)/$C46)&gt;0,(1-($EC$2-W$2)/$C46),0)</f>
        <v>0.11363636363636365</v>
      </c>
      <c r="DI46" s="333">
        <f>IF((1-($EC$2-AA$2)/$C46)&gt;0,(1-($EC$2-AA$2)/$C46),0)</f>
        <v>0.15909090909090906</v>
      </c>
      <c r="DJ46" s="333">
        <f>IF((1-($EC$2-AE$2)/$C46)&gt;0,(1-($EC$2-AE$2)/$C46),0)</f>
        <v>0.20454545454545459</v>
      </c>
      <c r="DK46" s="333">
        <f>IF((1-($EC$2-AI$2)/$C46)&gt;0,(1-($EC$2-AI$2)/$C46),0)</f>
        <v>0.25</v>
      </c>
      <c r="DL46" s="333">
        <f>IF((1-($EC$2-AM$2)/$C46)&gt;0,(1-($EC$2-AM$2)/$C46),0)</f>
        <v>0.29545454545454541</v>
      </c>
      <c r="DM46" s="333">
        <f>IF((1-($EC$2-AQ$2)/$C46)&gt;0,(1-($EC$2-AQ$2)/$C46),0)</f>
        <v>0.34090909090909094</v>
      </c>
      <c r="DN46" s="333">
        <f>IF((1-($EC$2-AU$2)/$C46)&gt;0,(1-($EC$2-AU$2)/$C46),0)</f>
        <v>0.38636363636363635</v>
      </c>
      <c r="DO46" s="333">
        <f>IF((1-($EC$2-AY$2)/$C46)&gt;0,(1-($EC$2-AY$2)/$C46),0)</f>
        <v>0.43181818181818177</v>
      </c>
      <c r="DP46" s="333">
        <f>IF((1-($EC$2-BC$2)/$C46)&gt;0,(1-($EC$2-BC$2)/$C46),0)</f>
        <v>0.47727272727272729</v>
      </c>
      <c r="DQ46" s="333">
        <f>IF(BG46=0,0,1-($EC$2-(2014.5-(BG46-BI46)*C46/BG46))/C46)</f>
        <v>0</v>
      </c>
      <c r="DR46" s="333">
        <f>IF((1-($EC$2-BJ$2)/$C46)&gt;0,(1-($EC$2-BJ$2)/$C46),0)</f>
        <v>0.52272727272727271</v>
      </c>
      <c r="DS46" s="333">
        <f>IF((1-($EC$2-BN$2)/$C46)&gt;0,(1-($EC$2-BN$2)/$C46),0)</f>
        <v>0.56818181818181812</v>
      </c>
      <c r="DT46" s="333">
        <f>IF((1-($EC$2-BR$2)/$C46)&gt;0,(1-($EC$2-BR$2)/$C46),0)</f>
        <v>0.61363636363636365</v>
      </c>
      <c r="DU46" s="333">
        <f>IF((1-($EC$2-BV$2)/$C46)&gt;0,(1-($EC$2-BV$2)/$C46),0)</f>
        <v>0.65909090909090917</v>
      </c>
      <c r="DV46" s="333">
        <f>IF((1-($EC$2-BZ$2)/$C46)&gt;0,(1-($EC$2-BZ$2)/$C46),0)</f>
        <v>0.70454545454545459</v>
      </c>
      <c r="DW46" s="333">
        <f>IF((1-($EC$2-CD$2)/$C46)&gt;0,(1-($EC$2-CD$2)/$C46),0)</f>
        <v>0.75</v>
      </c>
      <c r="DX46" s="333">
        <f>IF((1-($EC$2-CH$2)/$C46)&gt;0,(1-($EC$2-CH$2)/$C46),0)</f>
        <v>0.79545454545454541</v>
      </c>
      <c r="DY46" s="333">
        <f>IF((1-($EC$2-CL$2)/$C46)&gt;0,(1-($EC$2-CL$2)/$C46),0)</f>
        <v>0.84090909090909094</v>
      </c>
      <c r="DZ46" s="333">
        <f>IF((1-($EC$2-CP$2)/$C46)&gt;0,(1-($EC$2-CP$2)/$C46),0)</f>
        <v>0.88636363636363635</v>
      </c>
      <c r="EA46" s="333">
        <f>IF((1-($EC$2-CT$2)/$C46)&gt;0,(1-($EC$2-CT$2)/$C46),0)</f>
        <v>0.93181818181818188</v>
      </c>
      <c r="EB46" s="333">
        <f>IF((1-($EC$2-CX$2)/$C46)&gt;0,(1-($EC$2-CX$2)/$C46),0)</f>
        <v>0.97727272727272729</v>
      </c>
      <c r="EC46" s="334">
        <f>D46-E46+(G46-H46-I46)*G$60+(K46-L46-M46)*K$60+(O46-P46-Q46)*O$60+(S46-T46-U46)*S$60+(W46-X46-Y46)*W$60+(AA46-AB46-AC46)*AA$60+(AE46-AF46-AG46)*AE$60+(AI46-AJ46-AK46)*AI$60+(AM46-AN46-AO46)*AM$60+(AQ46-AR46-AS46)*$AQ$60+(AU46-AV46-AW46)*$AU$60+(AY46-AZ46-BA46)*$AY$60+(BC46-BD46-BE46)*$BC$60+BG46+(BJ46-BK46-BL46)*$BJ$60+(BN46-BO46-BP46)*$BN$60+(BR46-BS46-BT46)*$BR$60+(BV46-BW46-BX46)*$BV$60+(BZ46-CA46-CB46)*$BZ$60+(CD46-CE46-CF46)*$CD$60+(CH46-CI46-CJ46)*$CH$60+(CL46-CM46-CN46)*$CL$60+(CP46-CQ46-CR46)*$CP$60+(CT46-CU46-CV46)*$CT$60+(CX46-CY46-CZ46)*$CX$60</f>
        <v>12983451.506457951</v>
      </c>
      <c r="ED46" s="334">
        <f>IF(DC46=0,D46-E46,0)+IF(DD46=0,(G46-H46-I46)*G$60,0)+IF(DE46=0,(K46-L46-M46)*K$60,0)+IF(DF46=0,(O46-P46-Q46)*O$60,0)+IF(DG46=0,(S46-T46-U46)*S$60,0)+IF(DH46=0,(W46-X46-Y46)*W$60,0)+IF(DI46=0,(AA46-AB46-AC46)*AA$60,0)+IF(DJ46=0,(AE46-AF46-AG46)*AE$60,0)+IF(DK46=0,(AI46-AJ46-AK46)*AI$60,0)+IF(DL46=0,(AM46-AN46-AO46)*AM$60,0)+IF(DM46=0,(AQ46-AR46-AS46)*$AQ$60,0)+IF(DN46=0,(AU46-AV46-AW46)*$AU$60,0)+IF(DO46=0,(AY46-AZ46-BA46)*$AY$60,0)++IF(DP46=0,(BC46-BD46-BE46)*$BC$60,0)+IF(DQ46=0,BG46,0)+IF(DR46=0,(BJ46-BK46-BL46)*$BJ$60,0)+IF(DS46=0,(BN46-BO46-BP46)*$BN$60,0)+IF(DT46=0,(BR46-BS46-BT46)*$BR$60,0)+IF(DU46=0,(BV46-BW46-BX46)*$BV$60,0)+IF(DV46=0,(BZ46-CA46-CB46)*$BZ$60,0)+IF(DW46=0,(CD46-CE46-CF46)*$CD$60,0)+IF(DX46=0,(CH46-CI46-CJ46)*$CH$60,0)+IF(DY46=0,(CL46-CM46-CN46)*$CL$60,0)+IF(DZ46=0,(CP46-CQ46-CR46)*$CP$60,0)+IF(EA46=0,(CT46-CU46-CV46)*$CT$60,0)+IF(EB46=0,(CX46-CY46-CZ46)*$CX$60,0)</f>
        <v>3761399.0303588095</v>
      </c>
      <c r="EE46" s="334">
        <f>(D46-E46)*DC46+((G46-H46-(I46-J46))*G$60)*DD46+((K46-L46-(M46-N46))*K$60)*DE46+((O46-P46-(Q46-R46))*O$60)*DF46+((S46-T46-(U46-V46))*S$60)*DG46+((W46-X46-(Y46-Z46))*W$60)*DH46+((AA46-AB46-(AC46-AD46))*AA$60)*DI46+((AE46-AF46-(AG46-AH46))*AE$60)*DJ46+((AI46-AJ46-(AK46-AL46))*AI$60)*DK46+((AM46-AN46-(AO46-AP46))*$AM$60)*DL46+((AQ46-AR46-(AS46-AT46))*$AQ$60)*DM46+((AU46-AV46-(AW46-AX46))*$AU$60)*DN46+((AY46-AZ46-(BA46-BB46))*$AY$60)*DO46+((BC46-BD46-(BE46-BF46))*$BC$60)*DP46+((BJ46-BK46-(BL46-BM46))*$BJ$60)*DR46+(BG46-BH46)*DQ46+((BN46-BO46-(BP46-BQ46))*$BN$60)*DS46+((BR46-BS46-(BT46-BU46))*$BR$60)*DT46+((BV46-BW46-(BX46-BY46))*$BV$60)*DU46+((BZ46-CA46-(CB46-CC46))*$BZ$60)*DV46+((CD46-CE46-(CF46-CG46))*$CD$60)*DW46+((CH46-CI46-(CJ46-CK46))*$CH$60*DX46)+((CL46-CM46-(CN46-CO46))*$CL$60*DY46)+((CP46-CQ46-(CR46-CS46))*$CP$60*DZ46)+((CT46-CU46-(CV46-CW46))*$CT$60*EA46)+((CX46-CY46-(CZ46-CAA46))*$CX$60*EA46)</f>
        <v>5107360.1651790012</v>
      </c>
    </row>
    <row r="47" spans="1:135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99">+E46</f>
        <v>0</v>
      </c>
      <c r="F47" s="296">
        <f t="shared" si="99"/>
        <v>1915114.0768671127</v>
      </c>
      <c r="G47" s="296">
        <f t="shared" si="99"/>
        <v>383603.42</v>
      </c>
      <c r="H47" s="296">
        <f t="shared" si="99"/>
        <v>0</v>
      </c>
      <c r="I47" s="296">
        <f t="shared" si="99"/>
        <v>0</v>
      </c>
      <c r="J47" s="296">
        <f t="shared" si="99"/>
        <v>0</v>
      </c>
      <c r="K47" s="296">
        <f t="shared" si="99"/>
        <v>723366.95</v>
      </c>
      <c r="L47" s="296">
        <f t="shared" si="99"/>
        <v>0</v>
      </c>
      <c r="M47" s="296">
        <f t="shared" si="99"/>
        <v>0</v>
      </c>
      <c r="N47" s="296">
        <f t="shared" si="99"/>
        <v>0</v>
      </c>
      <c r="O47" s="296">
        <f t="shared" si="99"/>
        <v>345218.57</v>
      </c>
      <c r="P47" s="296">
        <f t="shared" si="99"/>
        <v>0</v>
      </c>
      <c r="Q47" s="296">
        <f t="shared" si="99"/>
        <v>0</v>
      </c>
      <c r="R47" s="296">
        <f t="shared" si="99"/>
        <v>0</v>
      </c>
      <c r="S47" s="296">
        <f t="shared" si="99"/>
        <v>343113</v>
      </c>
      <c r="T47" s="296">
        <f t="shared" si="99"/>
        <v>0</v>
      </c>
      <c r="U47" s="296">
        <f t="shared" si="99"/>
        <v>0</v>
      </c>
      <c r="V47" s="296">
        <f t="shared" si="99"/>
        <v>0</v>
      </c>
      <c r="W47" s="296">
        <f t="shared" si="99"/>
        <v>288347.67</v>
      </c>
      <c r="X47" s="296">
        <f t="shared" si="99"/>
        <v>0</v>
      </c>
      <c r="Y47" s="296">
        <f t="shared" si="99"/>
        <v>0</v>
      </c>
      <c r="Z47" s="296">
        <f t="shared" si="99"/>
        <v>0</v>
      </c>
      <c r="AA47" s="296">
        <f t="shared" si="99"/>
        <v>301261.25000000006</v>
      </c>
      <c r="AB47" s="296">
        <f t="shared" si="99"/>
        <v>0</v>
      </c>
      <c r="AC47" s="296">
        <f t="shared" si="99"/>
        <v>0</v>
      </c>
      <c r="AD47" s="296">
        <f t="shared" si="99"/>
        <v>0</v>
      </c>
      <c r="AE47" s="296">
        <f t="shared" si="99"/>
        <v>418664.33</v>
      </c>
      <c r="AF47" s="296">
        <f t="shared" si="99"/>
        <v>0</v>
      </c>
      <c r="AG47" s="296">
        <f t="shared" si="99"/>
        <v>0</v>
      </c>
      <c r="AH47" s="296">
        <f t="shared" si="99"/>
        <v>0</v>
      </c>
      <c r="AI47" s="296">
        <f t="shared" si="99"/>
        <v>191547.63</v>
      </c>
      <c r="AJ47" s="296">
        <f t="shared" si="99"/>
        <v>0</v>
      </c>
      <c r="AK47" s="296">
        <f t="shared" si="99"/>
        <v>0</v>
      </c>
      <c r="AL47" s="296">
        <f t="shared" si="99"/>
        <v>0</v>
      </c>
      <c r="AM47" s="296">
        <f t="shared" si="99"/>
        <v>284788.3</v>
      </c>
      <c r="AN47" s="296">
        <f t="shared" si="99"/>
        <v>0</v>
      </c>
      <c r="AO47" s="296">
        <f t="shared" si="99"/>
        <v>0</v>
      </c>
      <c r="AP47" s="296">
        <f t="shared" si="99"/>
        <v>0</v>
      </c>
      <c r="AQ47" s="296">
        <f t="shared" si="99"/>
        <v>417455.78889137268</v>
      </c>
      <c r="AR47" s="296">
        <f t="shared" si="99"/>
        <v>0</v>
      </c>
      <c r="AS47" s="296">
        <f t="shared" si="99"/>
        <v>0</v>
      </c>
      <c r="AT47" s="296">
        <f t="shared" si="99"/>
        <v>0</v>
      </c>
      <c r="AU47" s="296">
        <f t="shared" si="99"/>
        <v>846640.63000000012</v>
      </c>
      <c r="AV47" s="296">
        <f t="shared" si="99"/>
        <v>0</v>
      </c>
      <c r="AW47" s="296">
        <f t="shared" si="99"/>
        <v>0</v>
      </c>
      <c r="AX47" s="296">
        <f t="shared" si="99"/>
        <v>0</v>
      </c>
      <c r="AY47" s="296">
        <f t="shared" si="99"/>
        <v>696982</v>
      </c>
      <c r="AZ47" s="296">
        <f t="shared" si="99"/>
        <v>0</v>
      </c>
      <c r="BA47" s="296">
        <f t="shared" si="99"/>
        <v>0</v>
      </c>
      <c r="BB47" s="296">
        <f t="shared" si="99"/>
        <v>0</v>
      </c>
      <c r="BC47" s="296">
        <f t="shared" si="99"/>
        <v>611593.03</v>
      </c>
      <c r="BD47" s="296">
        <f t="shared" si="99"/>
        <v>0</v>
      </c>
      <c r="BE47" s="296">
        <f t="shared" si="99"/>
        <v>0</v>
      </c>
      <c r="BF47" s="296">
        <f t="shared" si="99"/>
        <v>0</v>
      </c>
      <c r="BG47" s="296">
        <f t="shared" si="99"/>
        <v>0</v>
      </c>
      <c r="BH47" s="296">
        <f t="shared" si="99"/>
        <v>0</v>
      </c>
      <c r="BI47" s="296">
        <f t="shared" si="99"/>
        <v>0</v>
      </c>
      <c r="BJ47" s="296">
        <f t="shared" si="99"/>
        <v>717101.01</v>
      </c>
      <c r="BK47" s="296">
        <f t="shared" si="99"/>
        <v>0</v>
      </c>
      <c r="BL47" s="296">
        <f t="shared" si="99"/>
        <v>0</v>
      </c>
      <c r="BM47" s="296">
        <f t="shared" si="99"/>
        <v>0</v>
      </c>
      <c r="BN47" s="296">
        <f t="shared" si="99"/>
        <v>778834.53</v>
      </c>
      <c r="BO47" s="296">
        <f t="shared" si="99"/>
        <v>0</v>
      </c>
      <c r="BP47" s="296">
        <f t="shared" si="99"/>
        <v>0</v>
      </c>
      <c r="BQ47" s="296">
        <f t="shared" ref="BQ47:DA47" si="100">+BQ46</f>
        <v>0</v>
      </c>
      <c r="BR47" s="296">
        <f t="shared" si="100"/>
        <v>1066066.3500000001</v>
      </c>
      <c r="BS47" s="296">
        <f t="shared" si="100"/>
        <v>0</v>
      </c>
      <c r="BT47" s="296">
        <f t="shared" si="100"/>
        <v>0</v>
      </c>
      <c r="BU47" s="296">
        <f t="shared" si="100"/>
        <v>0</v>
      </c>
      <c r="BV47" s="296">
        <f t="shared" si="100"/>
        <v>715400.34000000008</v>
      </c>
      <c r="BW47" s="296">
        <f t="shared" si="100"/>
        <v>0</v>
      </c>
      <c r="BX47" s="296">
        <f t="shared" si="100"/>
        <v>0</v>
      </c>
      <c r="BY47" s="296">
        <f t="shared" si="100"/>
        <v>0</v>
      </c>
      <c r="BZ47" s="296">
        <f t="shared" si="100"/>
        <v>305500.91000000003</v>
      </c>
      <c r="CA47" s="296">
        <f t="shared" si="100"/>
        <v>0</v>
      </c>
      <c r="CB47" s="296">
        <f t="shared" si="100"/>
        <v>0</v>
      </c>
      <c r="CC47" s="296">
        <f t="shared" si="100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6">
        <f t="shared" si="100"/>
        <v>743971.64</v>
      </c>
      <c r="CI47" s="296">
        <f t="shared" si="100"/>
        <v>0</v>
      </c>
      <c r="CJ47" s="296">
        <f t="shared" si="100"/>
        <v>0</v>
      </c>
      <c r="CK47" s="296">
        <f t="shared" si="100"/>
        <v>0</v>
      </c>
      <c r="CL47" s="296">
        <f t="shared" si="100"/>
        <v>550410.49999999988</v>
      </c>
      <c r="CM47" s="296">
        <f t="shared" si="100"/>
        <v>0</v>
      </c>
      <c r="CN47" s="296">
        <f t="shared" si="100"/>
        <v>0</v>
      </c>
      <c r="CO47" s="296">
        <f t="shared" si="100"/>
        <v>0</v>
      </c>
      <c r="CP47" s="296">
        <f t="shared" si="100"/>
        <v>816287.5</v>
      </c>
      <c r="CQ47" s="296">
        <f t="shared" si="100"/>
        <v>0</v>
      </c>
      <c r="CR47" s="296">
        <f t="shared" si="100"/>
        <v>0</v>
      </c>
      <c r="CS47" s="296">
        <f t="shared" si="100"/>
        <v>0</v>
      </c>
      <c r="CT47" s="296">
        <f t="shared" si="100"/>
        <v>242212.58000000002</v>
      </c>
      <c r="CU47" s="296">
        <f t="shared" si="100"/>
        <v>0</v>
      </c>
      <c r="CV47" s="296">
        <f t="shared" si="100"/>
        <v>0</v>
      </c>
      <c r="CW47" s="296">
        <f t="shared" si="100"/>
        <v>0</v>
      </c>
      <c r="CX47" s="296">
        <f t="shared" si="100"/>
        <v>248882.74</v>
      </c>
      <c r="CY47" s="296">
        <f t="shared" si="100"/>
        <v>0</v>
      </c>
      <c r="CZ47" s="296">
        <f t="shared" si="100"/>
        <v>0</v>
      </c>
      <c r="DA47" s="296">
        <f t="shared" si="100"/>
        <v>0</v>
      </c>
      <c r="DB47" s="297"/>
      <c r="DC47" s="297"/>
      <c r="DD47" s="297"/>
      <c r="DE47" s="297"/>
      <c r="DF47" s="297"/>
      <c r="DG47" s="297"/>
      <c r="DH47" s="297"/>
      <c r="DI47" s="297"/>
      <c r="DJ47" s="297"/>
      <c r="DK47" s="297"/>
      <c r="DL47" s="297"/>
      <c r="DM47" s="297"/>
      <c r="DN47" s="297"/>
      <c r="DO47" s="297"/>
      <c r="DP47" s="297"/>
      <c r="DQ47" s="297"/>
      <c r="DR47" s="297"/>
      <c r="DS47" s="297"/>
      <c r="DT47" s="297"/>
      <c r="DU47" s="297"/>
      <c r="DV47" s="297"/>
      <c r="DW47" s="297"/>
      <c r="DX47" s="297"/>
      <c r="DY47" s="297"/>
      <c r="DZ47" s="297"/>
      <c r="EA47" s="297"/>
      <c r="EB47" s="297"/>
      <c r="EC47" s="298">
        <f>EC46</f>
        <v>12983451.506457951</v>
      </c>
      <c r="ED47" s="298">
        <f>ED46</f>
        <v>3761399.0303588095</v>
      </c>
      <c r="EE47" s="298">
        <f>EE46</f>
        <v>5107360.1651790012</v>
      </c>
    </row>
    <row r="48" spans="1:135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0">
        <v>0</v>
      </c>
      <c r="CJ48" s="293"/>
      <c r="CK48" s="293"/>
      <c r="CL48" s="293"/>
      <c r="CM48" s="293"/>
      <c r="CN48" s="293"/>
      <c r="CO48" s="293"/>
      <c r="CP48" s="293"/>
      <c r="CQ48" s="293"/>
      <c r="CR48" s="293"/>
      <c r="CS48" s="293"/>
      <c r="CT48" s="293"/>
      <c r="CU48" s="293"/>
      <c r="CV48" s="293"/>
      <c r="CW48" s="293"/>
      <c r="CX48" s="433"/>
      <c r="CY48" s="433">
        <f t="shared" ref="CY48:CY57" si="101">IFERROR(IF((CM48+CQ48+CU48)/(CL48+CP48+CT48)&gt;0,((CM48+CQ48+CU48)/(CL48+CP48+CT48))*CX48,0),0)</f>
        <v>0</v>
      </c>
      <c r="CZ48" s="433"/>
      <c r="DA48" s="433"/>
      <c r="DB48" s="321">
        <f t="shared" ref="DB48:DB57" si="102">IF(D48=0,0,2001-(D48-F48)*C48/D48)</f>
        <v>0</v>
      </c>
      <c r="DC48" s="385">
        <f t="shared" ref="DC48:DC57" si="103">IF((1-($EC$2-$DB48)/$C48)&gt;0,(1-($EC$2-$DB48)/$C48),0)</f>
        <v>0</v>
      </c>
      <c r="DD48" s="333">
        <f t="shared" ref="DD48:DD57" si="104">IF((1-($EC$2-G$2)/$C48)&gt;0,(1-($EC$2-G$2)/$C48),0)</f>
        <v>0</v>
      </c>
      <c r="DE48" s="333">
        <f t="shared" ref="DE48:DE57" si="105">IF((1-($EC$2-K$2)/$C48)&gt;0,(1-($EC$2-K$2)/$C48),0)</f>
        <v>0</v>
      </c>
      <c r="DF48" s="333">
        <f t="shared" ref="DF48:DF57" si="106">IF((1-($EC$2-O$2)/$C48)&gt;0,(1-($EC$2-O$2)/$C48),0)</f>
        <v>0</v>
      </c>
      <c r="DG48" s="333">
        <f t="shared" ref="DG48:DG57" si="107">IF((1-($EC$2-S$2)/$C48)&gt;0,(1-($EC$2-S$2)/$C48),0)</f>
        <v>0</v>
      </c>
      <c r="DH48" s="333">
        <f t="shared" ref="DH48:DH57" si="108">IF((1-($EC$2-W$2)/$C48)&gt;0,(1-($EC$2-W$2)/$C48),0)</f>
        <v>0</v>
      </c>
      <c r="DI48" s="333">
        <f t="shared" ref="DI48:DI57" si="109">IF((1-($EC$2-AA$2)/$C48)&gt;0,(1-($EC$2-AA$2)/$C48),0)</f>
        <v>0</v>
      </c>
      <c r="DJ48" s="333">
        <f t="shared" ref="DJ48:DJ57" si="110">IF((1-($EC$2-AE$2)/$C48)&gt;0,(1-($EC$2-AE$2)/$C48),0)</f>
        <v>0</v>
      </c>
      <c r="DK48" s="333">
        <f t="shared" ref="DK48:DK57" si="111">IF((1-($EC$2-AI$2)/$C48)&gt;0,(1-($EC$2-AI$2)/$C48),0)</f>
        <v>0</v>
      </c>
      <c r="DL48" s="333">
        <f t="shared" ref="DL48:DL57" si="112">IF((1-($EC$2-AM$2)/$C48)&gt;0,(1-($EC$2-AM$2)/$C48),0)</f>
        <v>0</v>
      </c>
      <c r="DM48" s="333">
        <f t="shared" ref="DM48:DM57" si="113">IF((1-($EC$2-AQ$2)/$C48)&gt;0,(1-($EC$2-AQ$2)/$C48),0)</f>
        <v>0</v>
      </c>
      <c r="DN48" s="333">
        <f t="shared" ref="DN48:DN57" si="114">IF((1-($EC$2-AU$2)/$C48)&gt;0,(1-($EC$2-AU$2)/$C48),0)</f>
        <v>0</v>
      </c>
      <c r="DO48" s="333">
        <f t="shared" ref="DO48:DO57" si="115">IF((1-($EC$2-AY$2)/$C48)&gt;0,(1-($EC$2-AY$2)/$C48),0)</f>
        <v>0</v>
      </c>
      <c r="DP48" s="333">
        <f t="shared" ref="DP48:DP57" si="116">IF((1-($EC$2-BC$2)/$C48)&gt;0,(1-($EC$2-BC$2)/$C48),0)</f>
        <v>0</v>
      </c>
      <c r="DQ48" s="333">
        <f t="shared" ref="DQ48:DQ57" si="117">IF(BG48=0,0,1-($EC$2-(2014.5-(BG48-BI48)*C48/BG48))/C48)</f>
        <v>0</v>
      </c>
      <c r="DR48" s="333">
        <f t="shared" ref="DR48:DR57" si="118">IF((1-($EC$2-BJ$2)/$C48)&gt;0,(1-($EC$2-BJ$2)/$C48),0)</f>
        <v>0</v>
      </c>
      <c r="DS48" s="333">
        <f t="shared" ref="DS48:DS57" si="119">IF((1-($EC$2-BN$2)/$C48)&gt;0,(1-($EC$2-BN$2)/$C48),0)</f>
        <v>0</v>
      </c>
      <c r="DT48" s="333">
        <f t="shared" ref="DT48:DT57" si="120">IF((1-($EC$2-BR$2)/$C48)&gt;0,(1-($EC$2-BR$2)/$C48),0)</f>
        <v>0</v>
      </c>
      <c r="DU48" s="333">
        <f t="shared" ref="DU48:DU57" si="121">IF((1-($EC$2-BV$2)/$C48)&gt;0,(1-($EC$2-BV$2)/$C48),0)</f>
        <v>0</v>
      </c>
      <c r="DV48" s="333">
        <f t="shared" ref="DV48:DV57" si="122">IF((1-($EC$2-BZ$2)/$C48)&gt;0,(1-($EC$2-BZ$2)/$C48),0)</f>
        <v>0</v>
      </c>
      <c r="DW48" s="333">
        <f t="shared" ref="DW48:DW57" si="123">IF((1-($EC$2-CD$2)/$C48)&gt;0,(1-($EC$2-CD$2)/$C48),0)</f>
        <v>0</v>
      </c>
      <c r="DX48" s="333">
        <f t="shared" ref="DX48:DX57" si="124">IF((1-($EC$2-CH$2)/$C48)&gt;0,(1-($EC$2-CH$2)/$C48),0)</f>
        <v>0</v>
      </c>
      <c r="DY48" s="333">
        <f t="shared" ref="DY48:DY57" si="125">IF((1-($EC$2-CL$2)/$C48)&gt;0,(1-($EC$2-CL$2)/$C48),0)</f>
        <v>0.125</v>
      </c>
      <c r="DZ48" s="333">
        <f t="shared" ref="DZ48:DZ57" si="126">IF((1-($EC$2-CP$2)/$C48)&gt;0,(1-($EC$2-CP$2)/$C48),0)</f>
        <v>0.375</v>
      </c>
      <c r="EA48" s="333">
        <f t="shared" ref="EA48:EA57" si="127">IF((1-($EC$2-CT$2)/$C48)&gt;0,(1-($EC$2-CT$2)/$C48),0)</f>
        <v>0.625</v>
      </c>
      <c r="EB48" s="333">
        <f t="shared" ref="EB48:EB57" si="128">IF((1-($EC$2-CX$2)/$C48)&gt;0,(1-($EC$2-CX$2)/$C48),0)</f>
        <v>0.875</v>
      </c>
      <c r="EC48" s="334">
        <f t="shared" ref="EC48:EC57" si="129">D48-E48+(G48-H48-I48)*G$60+(K48-L48-M48)*K$60+(O48-P48-Q48)*O$60+(S48-T48-U48)*S$60+(W48-X48-Y48)*W$60+(AA48-AB48-AC48)*AA$60+(AE48-AF48-AG48)*AE$60+(AI48-AJ48-AK48)*AI$60+(AM48-AN48-AO48)*AM$60+(AQ48-AR48-AS48)*$AQ$60+(AU48-AV48-AW48)*$AU$60+(AY48-AZ48-BA48)*$AY$60+(BC48-BD48-BE48)*$BC$60+BG48+(BJ48-BK48-BL48)*$BJ$60+(BN48-BO48-BP48)*$BN$60+(BR48-BS48-BT48)*$BR$60+(BV48-BW48-BX48)*$BV$60+(BZ48-CA48-CB48)*$BZ$60+(CD48-CE48-CF48)*$CD$60+(CH48-CI48-CJ48)*$CH$60+(CL48-CM48-CN48)*$CL$60+(CP48-CQ48-CR48)*$CP$60+(CT48-CU48-CV48)*$CT$60+(CX48-CY48-CZ48)*$CX$60</f>
        <v>0</v>
      </c>
      <c r="ED48" s="334">
        <f t="shared" ref="ED48:ED57" si="130">IF(DC48=0,D48-E48,0)+IF(DD48=0,(G48-H48-I48)*G$60,0)+IF(DE48=0,(K48-L48-M48)*K$60,0)+IF(DF48=0,(O48-P48-Q48)*O$60,0)+IF(DG48=0,(S48-T48-U48)*S$60,0)+IF(DH48=0,(W48-X48-Y48)*W$60,0)+IF(DI48=0,(AA48-AB48-AC48)*AA$60,0)+IF(DJ48=0,(AE48-AF48-AG48)*AE$60,0)+IF(DK48=0,(AI48-AJ48-AK48)*AI$60,0)+IF(DL48=0,(AM48-AN48-AO48)*AM$60,0)+IF(DM48=0,(AQ48-AR48-AS48)*$AQ$60,0)+IF(DN48=0,(AU48-AV48-AW48)*$AU$60,0)+IF(DO48=0,(AY48-AZ48-BA48)*$AY$60,0)++IF(DP48=0,(BC48-BD48-BE48)*$BC$60,0)+IF(DQ48=0,BG48,0)+IF(DR48=0,(BJ48-BK48-BL48)*$BJ$60,0)+IF(DS48=0,(BN48-BO48-BP48)*$BN$60,0)+IF(DT48=0,(BR48-BS48-BT48)*$BR$60,0)+IF(DU48=0,(BV48-BW48-BX48)*$BV$60,0)+IF(DV48=0,(BZ48-CA48-CB48)*$BZ$60,0)+IF(DW48=0,(CD48-CE48-CF48)*$CD$60,0)+IF(DX48=0,(CH48-CI48-CJ48)*$CH$60,0)+IF(DY48=0,(CL48-CM48-CN48)*$CL$60,0)+IF(DZ48=0,(CP48-CQ48-CR48)*$CP$60,0)+IF(EA48=0,(CT48-CU48-CV48)*$CT$60,0)+IF(EB48=0,(CX48-CY48-CZ48)*$CX$60,0)</f>
        <v>0</v>
      </c>
      <c r="EE48" s="334">
        <f t="shared" ref="EE48:EE57" si="131">(D48-E48)*DC48+((G48-H48-(I48-J48))*G$60)*DD48+((K48-L48-(M48-N48))*K$60)*DE48+((O48-P48-(Q48-R48))*O$60)*DF48+((S48-T48-(U48-V48))*S$60)*DG48+((W48-X48-(Y48-Z48))*W$60)*DH48+((AA48-AB48-(AC48-AD48))*AA$60)*DI48+((AE48-AF48-(AG48-AH48))*AE$60)*DJ48+((AI48-AJ48-(AK48-AL48))*AI$60)*DK48+((AM48-AN48-(AO48-AP48))*$AM$60)*DL48+((AQ48-AR48-(AS48-AT48))*$AQ$60)*DM48+((AU48-AV48-(AW48-AX48))*$AU$60)*DN48+((AY48-AZ48-(BA48-BB48))*$AY$60)*DO48+((BC48-BD48-(BE48-BF48))*$BC$60)*DP48+((BJ48-BK48-(BL48-BM48))*$BJ$60)*DR48+(BG48-BH48)*DQ48+((BN48-BO48-(BP48-BQ48))*$BN$60)*DS48+((BR48-BS48-(BT48-BU48))*$BR$60)*DT48+((BV48-BW48-(BX48-BY48))*$BV$60)*DU48+((BZ48-CA48-(CB48-CC48))*$BZ$60)*DV48+((CD48-CE48-(CF48-CG48))*$CD$60)*DW48+((CH48-CI48-(CJ48-CK48))*$CH$60*DX48)+((CL48-CM48-(CN48-CO48))*$CL$60*DY48)+((CP48-CQ48-(CR48-CS48))*$CP$60*DZ48)+((CT48-CU48-(CV48-CW48))*$CT$60*EA48)+((CX48-CY48-(CZ48-CAA48))*$CX$60*EA48)</f>
        <v>0</v>
      </c>
    </row>
    <row r="49" spans="1:135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290"/>
      <c r="CI49" s="290">
        <v>0</v>
      </c>
      <c r="CJ49" s="290"/>
      <c r="CK49" s="290"/>
      <c r="CL49" s="290"/>
      <c r="CM49" s="290"/>
      <c r="CN49" s="290"/>
      <c r="CO49" s="290"/>
      <c r="CP49" s="290"/>
      <c r="CQ49" s="290"/>
      <c r="CR49" s="290"/>
      <c r="CS49" s="290"/>
      <c r="CT49" s="290"/>
      <c r="CU49" s="290"/>
      <c r="CV49" s="290"/>
      <c r="CW49" s="290"/>
      <c r="CX49" s="430"/>
      <c r="CY49" s="430">
        <f t="shared" si="101"/>
        <v>0</v>
      </c>
      <c r="CZ49" s="430"/>
      <c r="DA49" s="430"/>
      <c r="DB49" s="321">
        <f t="shared" si="102"/>
        <v>0</v>
      </c>
      <c r="DC49" s="385">
        <f t="shared" si="103"/>
        <v>0</v>
      </c>
      <c r="DD49" s="333">
        <f t="shared" si="104"/>
        <v>0.97650000000000003</v>
      </c>
      <c r="DE49" s="333">
        <f t="shared" si="105"/>
        <v>0.97750000000000004</v>
      </c>
      <c r="DF49" s="333">
        <f t="shared" si="106"/>
        <v>0.97850000000000004</v>
      </c>
      <c r="DG49" s="333">
        <f t="shared" si="107"/>
        <v>0.97950000000000004</v>
      </c>
      <c r="DH49" s="333">
        <f t="shared" si="108"/>
        <v>0.98050000000000004</v>
      </c>
      <c r="DI49" s="333">
        <f t="shared" si="109"/>
        <v>0.98150000000000004</v>
      </c>
      <c r="DJ49" s="333">
        <f t="shared" si="110"/>
        <v>0.98250000000000004</v>
      </c>
      <c r="DK49" s="333">
        <f t="shared" si="111"/>
        <v>0.98350000000000004</v>
      </c>
      <c r="DL49" s="333">
        <f t="shared" si="112"/>
        <v>0.98450000000000004</v>
      </c>
      <c r="DM49" s="333">
        <f t="shared" si="113"/>
        <v>0.98550000000000004</v>
      </c>
      <c r="DN49" s="333">
        <f t="shared" si="114"/>
        <v>0.98650000000000004</v>
      </c>
      <c r="DO49" s="333">
        <f t="shared" si="115"/>
        <v>0.98750000000000004</v>
      </c>
      <c r="DP49" s="333">
        <f t="shared" si="116"/>
        <v>0.98850000000000005</v>
      </c>
      <c r="DQ49" s="333">
        <f t="shared" si="117"/>
        <v>0</v>
      </c>
      <c r="DR49" s="333">
        <f t="shared" si="118"/>
        <v>0.98950000000000005</v>
      </c>
      <c r="DS49" s="333">
        <f t="shared" si="119"/>
        <v>0.99050000000000005</v>
      </c>
      <c r="DT49" s="333">
        <f t="shared" si="120"/>
        <v>0.99150000000000005</v>
      </c>
      <c r="DU49" s="333">
        <f t="shared" si="121"/>
        <v>0.99250000000000005</v>
      </c>
      <c r="DV49" s="333">
        <f t="shared" si="122"/>
        <v>0.99350000000000005</v>
      </c>
      <c r="DW49" s="333">
        <f t="shared" si="123"/>
        <v>0.99450000000000005</v>
      </c>
      <c r="DX49" s="333">
        <f t="shared" si="124"/>
        <v>0.99550000000000005</v>
      </c>
      <c r="DY49" s="333">
        <f t="shared" si="125"/>
        <v>0.99650000000000005</v>
      </c>
      <c r="DZ49" s="333">
        <f t="shared" si="126"/>
        <v>0.99750000000000005</v>
      </c>
      <c r="EA49" s="333">
        <f t="shared" si="127"/>
        <v>0.99850000000000005</v>
      </c>
      <c r="EB49" s="333">
        <f t="shared" si="128"/>
        <v>0.99950000000000006</v>
      </c>
      <c r="EC49" s="334">
        <f t="shared" si="129"/>
        <v>0</v>
      </c>
      <c r="ED49" s="334">
        <f t="shared" si="130"/>
        <v>0</v>
      </c>
      <c r="EE49" s="334">
        <f t="shared" si="131"/>
        <v>0</v>
      </c>
    </row>
    <row r="50" spans="1:135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>
        <v>0</v>
      </c>
      <c r="CJ50" s="290"/>
      <c r="CK50" s="290"/>
      <c r="CL50" s="290"/>
      <c r="CM50" s="290"/>
      <c r="CN50" s="290"/>
      <c r="CO50" s="290"/>
      <c r="CP50" s="290"/>
      <c r="CQ50" s="290"/>
      <c r="CR50" s="290"/>
      <c r="CS50" s="290"/>
      <c r="CT50" s="290"/>
      <c r="CU50" s="290"/>
      <c r="CV50" s="290"/>
      <c r="CW50" s="290"/>
      <c r="CX50" s="430"/>
      <c r="CY50" s="430">
        <f t="shared" si="101"/>
        <v>0</v>
      </c>
      <c r="CZ50" s="430"/>
      <c r="DA50" s="430"/>
      <c r="DB50" s="321">
        <f t="shared" si="102"/>
        <v>1991.8040336868928</v>
      </c>
      <c r="DC50" s="333">
        <f t="shared" si="103"/>
        <v>0.15760084217232018</v>
      </c>
      <c r="DD50" s="333">
        <f t="shared" si="104"/>
        <v>0.41249999999999998</v>
      </c>
      <c r="DE50" s="333">
        <f t="shared" si="105"/>
        <v>0.4375</v>
      </c>
      <c r="DF50" s="333">
        <f t="shared" si="106"/>
        <v>0.46250000000000002</v>
      </c>
      <c r="DG50" s="333">
        <f t="shared" si="107"/>
        <v>0.48750000000000004</v>
      </c>
      <c r="DH50" s="333">
        <f t="shared" si="108"/>
        <v>0.51249999999999996</v>
      </c>
      <c r="DI50" s="333">
        <f t="shared" si="109"/>
        <v>0.53749999999999998</v>
      </c>
      <c r="DJ50" s="333">
        <f t="shared" si="110"/>
        <v>0.5625</v>
      </c>
      <c r="DK50" s="333">
        <f t="shared" si="111"/>
        <v>0.58750000000000002</v>
      </c>
      <c r="DL50" s="333">
        <f t="shared" si="112"/>
        <v>0.61250000000000004</v>
      </c>
      <c r="DM50" s="333">
        <f t="shared" si="113"/>
        <v>0.63749999999999996</v>
      </c>
      <c r="DN50" s="333">
        <f t="shared" si="114"/>
        <v>0.66249999999999998</v>
      </c>
      <c r="DO50" s="333">
        <f t="shared" si="115"/>
        <v>0.6875</v>
      </c>
      <c r="DP50" s="333">
        <f t="shared" si="116"/>
        <v>0.71250000000000002</v>
      </c>
      <c r="DQ50" s="333">
        <f t="shared" si="117"/>
        <v>0</v>
      </c>
      <c r="DR50" s="333">
        <f t="shared" si="118"/>
        <v>0.73750000000000004</v>
      </c>
      <c r="DS50" s="333">
        <f t="shared" si="119"/>
        <v>0.76249999999999996</v>
      </c>
      <c r="DT50" s="333">
        <f t="shared" si="120"/>
        <v>0.78749999999999998</v>
      </c>
      <c r="DU50" s="333">
        <f t="shared" si="121"/>
        <v>0.8125</v>
      </c>
      <c r="DV50" s="333">
        <f t="shared" si="122"/>
        <v>0.83750000000000002</v>
      </c>
      <c r="DW50" s="333">
        <f t="shared" si="123"/>
        <v>0.86250000000000004</v>
      </c>
      <c r="DX50" s="333">
        <f t="shared" si="124"/>
        <v>0.88749999999999996</v>
      </c>
      <c r="DY50" s="333">
        <f t="shared" si="125"/>
        <v>0.91249999999999998</v>
      </c>
      <c r="DZ50" s="333">
        <f t="shared" si="126"/>
        <v>0.9375</v>
      </c>
      <c r="EA50" s="333">
        <f t="shared" si="127"/>
        <v>0.96250000000000002</v>
      </c>
      <c r="EB50" s="333">
        <f t="shared" si="128"/>
        <v>0.98750000000000004</v>
      </c>
      <c r="EC50" s="334">
        <f t="shared" si="129"/>
        <v>1097694.8083434699</v>
      </c>
      <c r="ED50" s="334">
        <f t="shared" si="130"/>
        <v>0</v>
      </c>
      <c r="EE50" s="334">
        <f t="shared" si="131"/>
        <v>181531.91021492583</v>
      </c>
    </row>
    <row r="51" spans="1:135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290">
        <v>1450242.81</v>
      </c>
      <c r="CI51" s="290">
        <v>0</v>
      </c>
      <c r="CJ51" s="290"/>
      <c r="CK51" s="290"/>
      <c r="CL51" s="290">
        <v>1594362.43</v>
      </c>
      <c r="CM51" s="290"/>
      <c r="CN51" s="290"/>
      <c r="CO51" s="290"/>
      <c r="CP51" s="290">
        <v>1910708.95</v>
      </c>
      <c r="CQ51" s="290"/>
      <c r="CR51" s="290"/>
      <c r="CS51" s="290"/>
      <c r="CT51" s="290">
        <v>1782283.5999999994</v>
      </c>
      <c r="CU51" s="290"/>
      <c r="CV51" s="290"/>
      <c r="CW51" s="290"/>
      <c r="CX51" s="430">
        <v>1803633.54</v>
      </c>
      <c r="CY51" s="430">
        <f t="shared" si="101"/>
        <v>0</v>
      </c>
      <c r="CZ51" s="430"/>
      <c r="DA51" s="430"/>
      <c r="DB51" s="321">
        <f t="shared" si="102"/>
        <v>1994.6431227317414</v>
      </c>
      <c r="DC51" s="333">
        <f t="shared" si="103"/>
        <v>0</v>
      </c>
      <c r="DD51" s="333">
        <f t="shared" si="104"/>
        <v>0</v>
      </c>
      <c r="DE51" s="333">
        <f t="shared" si="105"/>
        <v>0</v>
      </c>
      <c r="DF51" s="333">
        <f t="shared" si="106"/>
        <v>2.2727272727272707E-2</v>
      </c>
      <c r="DG51" s="333">
        <f t="shared" si="107"/>
        <v>6.8181818181818232E-2</v>
      </c>
      <c r="DH51" s="333">
        <f t="shared" si="108"/>
        <v>0.11363636363636365</v>
      </c>
      <c r="DI51" s="333">
        <f t="shared" si="109"/>
        <v>0.15909090909090906</v>
      </c>
      <c r="DJ51" s="333">
        <f t="shared" si="110"/>
        <v>0.20454545454545459</v>
      </c>
      <c r="DK51" s="333">
        <f t="shared" si="111"/>
        <v>0.25</v>
      </c>
      <c r="DL51" s="333">
        <f t="shared" si="112"/>
        <v>0.29545454545454541</v>
      </c>
      <c r="DM51" s="333">
        <f t="shared" si="113"/>
        <v>0.34090909090909094</v>
      </c>
      <c r="DN51" s="333">
        <f t="shared" si="114"/>
        <v>0.38636363636363635</v>
      </c>
      <c r="DO51" s="333">
        <f t="shared" si="115"/>
        <v>0.43181818181818177</v>
      </c>
      <c r="DP51" s="333">
        <f t="shared" si="116"/>
        <v>0.47727272727272729</v>
      </c>
      <c r="DQ51" s="333">
        <f t="shared" si="117"/>
        <v>0.15277799325939545</v>
      </c>
      <c r="DR51" s="333">
        <f t="shared" si="118"/>
        <v>0.52272727272727271</v>
      </c>
      <c r="DS51" s="333">
        <f t="shared" si="119"/>
        <v>0.56818181818181812</v>
      </c>
      <c r="DT51" s="333">
        <f t="shared" si="120"/>
        <v>0.61363636363636365</v>
      </c>
      <c r="DU51" s="333">
        <f t="shared" si="121"/>
        <v>0.65909090909090917</v>
      </c>
      <c r="DV51" s="333">
        <f t="shared" si="122"/>
        <v>0.70454545454545459</v>
      </c>
      <c r="DW51" s="333">
        <f t="shared" si="123"/>
        <v>0.75</v>
      </c>
      <c r="DX51" s="333">
        <f t="shared" si="124"/>
        <v>0.79545454545454541</v>
      </c>
      <c r="DY51" s="333">
        <f t="shared" si="125"/>
        <v>0.84090909090909094</v>
      </c>
      <c r="DZ51" s="333">
        <f t="shared" si="126"/>
        <v>0.88636363636363635</v>
      </c>
      <c r="EA51" s="333">
        <f t="shared" si="127"/>
        <v>0.93181818181818188</v>
      </c>
      <c r="EB51" s="333">
        <f t="shared" si="128"/>
        <v>0.97727272727272729</v>
      </c>
      <c r="EC51" s="334">
        <f t="shared" si="129"/>
        <v>22284159.951777469</v>
      </c>
      <c r="ED51" s="334">
        <f t="shared" si="130"/>
        <v>5180757.98661792</v>
      </c>
      <c r="EE51" s="334">
        <f t="shared" si="131"/>
        <v>11175081.956834452</v>
      </c>
    </row>
    <row r="52" spans="1:135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290">
        <v>0</v>
      </c>
      <c r="CI52" s="290">
        <v>0</v>
      </c>
      <c r="CJ52" s="290"/>
      <c r="CK52" s="290"/>
      <c r="CL52" s="290">
        <v>0</v>
      </c>
      <c r="CM52" s="290"/>
      <c r="CN52" s="290"/>
      <c r="CO52" s="290"/>
      <c r="CP52" s="290">
        <v>0</v>
      </c>
      <c r="CQ52" s="290"/>
      <c r="CR52" s="290"/>
      <c r="CS52" s="290"/>
      <c r="CT52" s="290">
        <v>0</v>
      </c>
      <c r="CU52" s="290"/>
      <c r="CV52" s="290"/>
      <c r="CW52" s="290"/>
      <c r="CX52" s="430">
        <v>0</v>
      </c>
      <c r="CY52" s="430">
        <f t="shared" si="101"/>
        <v>0</v>
      </c>
      <c r="CZ52" s="430"/>
      <c r="DA52" s="430"/>
      <c r="DB52" s="321">
        <f t="shared" si="102"/>
        <v>0</v>
      </c>
      <c r="DC52" s="333">
        <f t="shared" si="103"/>
        <v>0</v>
      </c>
      <c r="DD52" s="333">
        <f t="shared" si="104"/>
        <v>0</v>
      </c>
      <c r="DE52" s="333">
        <f t="shared" si="105"/>
        <v>0</v>
      </c>
      <c r="DF52" s="333">
        <f t="shared" si="106"/>
        <v>2.2727272727272707E-2</v>
      </c>
      <c r="DG52" s="333">
        <f t="shared" si="107"/>
        <v>6.8181818181818232E-2</v>
      </c>
      <c r="DH52" s="333">
        <f t="shared" si="108"/>
        <v>0.11363636363636365</v>
      </c>
      <c r="DI52" s="333">
        <f t="shared" si="109"/>
        <v>0.15909090909090906</v>
      </c>
      <c r="DJ52" s="333">
        <f t="shared" si="110"/>
        <v>0.20454545454545459</v>
      </c>
      <c r="DK52" s="333">
        <f t="shared" si="111"/>
        <v>0.25</v>
      </c>
      <c r="DL52" s="333">
        <f t="shared" si="112"/>
        <v>0.29545454545454541</v>
      </c>
      <c r="DM52" s="333">
        <f t="shared" si="113"/>
        <v>0.34090909090909094</v>
      </c>
      <c r="DN52" s="333">
        <f t="shared" si="114"/>
        <v>0.38636363636363635</v>
      </c>
      <c r="DO52" s="333">
        <f t="shared" si="115"/>
        <v>0.43181818181818177</v>
      </c>
      <c r="DP52" s="333">
        <f t="shared" si="116"/>
        <v>0.47727272727272729</v>
      </c>
      <c r="DQ52" s="333">
        <f t="shared" si="117"/>
        <v>0</v>
      </c>
      <c r="DR52" s="333">
        <f t="shared" si="118"/>
        <v>0.52272727272727271</v>
      </c>
      <c r="DS52" s="333">
        <f t="shared" si="119"/>
        <v>0.56818181818181812</v>
      </c>
      <c r="DT52" s="333">
        <f t="shared" si="120"/>
        <v>0.61363636363636365</v>
      </c>
      <c r="DU52" s="333">
        <f t="shared" si="121"/>
        <v>0.65909090909090917</v>
      </c>
      <c r="DV52" s="333">
        <f t="shared" si="122"/>
        <v>0.70454545454545459</v>
      </c>
      <c r="DW52" s="333">
        <f t="shared" si="123"/>
        <v>0.75</v>
      </c>
      <c r="DX52" s="333">
        <f t="shared" si="124"/>
        <v>0.79545454545454541</v>
      </c>
      <c r="DY52" s="333">
        <f t="shared" si="125"/>
        <v>0.84090909090909094</v>
      </c>
      <c r="DZ52" s="333">
        <f t="shared" si="126"/>
        <v>0.88636363636363635</v>
      </c>
      <c r="EA52" s="333">
        <f t="shared" si="127"/>
        <v>0.93181818181818188</v>
      </c>
      <c r="EB52" s="333">
        <f t="shared" si="128"/>
        <v>0.97727272727272729</v>
      </c>
      <c r="EC52" s="334">
        <f t="shared" si="129"/>
        <v>0</v>
      </c>
      <c r="ED52" s="334">
        <f t="shared" si="130"/>
        <v>0</v>
      </c>
      <c r="EE52" s="334">
        <f t="shared" si="131"/>
        <v>0</v>
      </c>
    </row>
    <row r="53" spans="1:135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290"/>
      <c r="CI53" s="290">
        <v>0</v>
      </c>
      <c r="CJ53" s="290"/>
      <c r="CK53" s="290"/>
      <c r="CL53" s="290"/>
      <c r="CM53" s="290"/>
      <c r="CN53" s="290"/>
      <c r="CO53" s="290"/>
      <c r="CP53" s="290"/>
      <c r="CQ53" s="290"/>
      <c r="CR53" s="290"/>
      <c r="CS53" s="290"/>
      <c r="CT53" s="290"/>
      <c r="CU53" s="290"/>
      <c r="CV53" s="290"/>
      <c r="CW53" s="290"/>
      <c r="CX53" s="430"/>
      <c r="CY53" s="430">
        <f t="shared" si="101"/>
        <v>0</v>
      </c>
      <c r="CZ53" s="430"/>
      <c r="DA53" s="430"/>
      <c r="DB53" s="321">
        <f t="shared" si="102"/>
        <v>2000.9353796694659</v>
      </c>
      <c r="DC53" s="333">
        <f t="shared" si="103"/>
        <v>0</v>
      </c>
      <c r="DD53" s="333">
        <f t="shared" si="104"/>
        <v>0</v>
      </c>
      <c r="DE53" s="333">
        <f t="shared" si="105"/>
        <v>0</v>
      </c>
      <c r="DF53" s="333">
        <f t="shared" si="106"/>
        <v>0</v>
      </c>
      <c r="DG53" s="333">
        <f t="shared" si="107"/>
        <v>0</v>
      </c>
      <c r="DH53" s="333">
        <f t="shared" si="108"/>
        <v>0</v>
      </c>
      <c r="DI53" s="333">
        <f t="shared" si="109"/>
        <v>0</v>
      </c>
      <c r="DJ53" s="333">
        <f t="shared" si="110"/>
        <v>0</v>
      </c>
      <c r="DK53" s="333">
        <f t="shared" si="111"/>
        <v>0</v>
      </c>
      <c r="DL53" s="333">
        <f t="shared" si="112"/>
        <v>0</v>
      </c>
      <c r="DM53" s="333">
        <f t="shared" si="113"/>
        <v>0</v>
      </c>
      <c r="DN53" s="333">
        <f t="shared" si="114"/>
        <v>0</v>
      </c>
      <c r="DO53" s="333">
        <f t="shared" si="115"/>
        <v>0</v>
      </c>
      <c r="DP53" s="333">
        <f t="shared" si="116"/>
        <v>0</v>
      </c>
      <c r="DQ53" s="333">
        <f t="shared" si="117"/>
        <v>0</v>
      </c>
      <c r="DR53" s="333">
        <f t="shared" si="118"/>
        <v>0</v>
      </c>
      <c r="DS53" s="333">
        <f t="shared" si="119"/>
        <v>0</v>
      </c>
      <c r="DT53" s="333">
        <f t="shared" si="120"/>
        <v>0</v>
      </c>
      <c r="DU53" s="333">
        <f t="shared" si="121"/>
        <v>0</v>
      </c>
      <c r="DV53" s="333">
        <f t="shared" si="122"/>
        <v>7.1428571428571397E-2</v>
      </c>
      <c r="DW53" s="333">
        <f t="shared" si="123"/>
        <v>0.2142857142857143</v>
      </c>
      <c r="DX53" s="333">
        <f t="shared" si="124"/>
        <v>0.3571428571428571</v>
      </c>
      <c r="DY53" s="333">
        <f t="shared" si="125"/>
        <v>0.5</v>
      </c>
      <c r="DZ53" s="333">
        <f t="shared" si="126"/>
        <v>0.64285714285714279</v>
      </c>
      <c r="EA53" s="333">
        <f t="shared" si="127"/>
        <v>0.7857142857142857</v>
      </c>
      <c r="EB53" s="333">
        <f t="shared" si="128"/>
        <v>0.9285714285714286</v>
      </c>
      <c r="EC53" s="334">
        <f t="shared" si="129"/>
        <v>14383.151123919413</v>
      </c>
      <c r="ED53" s="334">
        <f t="shared" si="130"/>
        <v>14383.151123919413</v>
      </c>
      <c r="EE53" s="334">
        <f t="shared" si="131"/>
        <v>0</v>
      </c>
    </row>
    <row r="54" spans="1:135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>
        <v>0</v>
      </c>
      <c r="CJ54" s="290"/>
      <c r="CK54" s="290"/>
      <c r="CL54" s="290"/>
      <c r="CM54" s="290"/>
      <c r="CN54" s="290"/>
      <c r="CO54" s="290"/>
      <c r="CP54" s="290"/>
      <c r="CQ54" s="290"/>
      <c r="CR54" s="290"/>
      <c r="CS54" s="290"/>
      <c r="CT54" s="290"/>
      <c r="CU54" s="290"/>
      <c r="CV54" s="290"/>
      <c r="CW54" s="290"/>
      <c r="CX54" s="430"/>
      <c r="CY54" s="430">
        <f t="shared" si="101"/>
        <v>0</v>
      </c>
      <c r="CZ54" s="430"/>
      <c r="DA54" s="430"/>
      <c r="DB54" s="321">
        <f t="shared" si="102"/>
        <v>0</v>
      </c>
      <c r="DC54" s="333">
        <f t="shared" si="103"/>
        <v>0</v>
      </c>
      <c r="DD54" s="333">
        <f t="shared" si="104"/>
        <v>0</v>
      </c>
      <c r="DE54" s="333">
        <f t="shared" si="105"/>
        <v>0</v>
      </c>
      <c r="DF54" s="333">
        <f t="shared" si="106"/>
        <v>0</v>
      </c>
      <c r="DG54" s="333">
        <f t="shared" si="107"/>
        <v>0</v>
      </c>
      <c r="DH54" s="333">
        <f t="shared" si="108"/>
        <v>0</v>
      </c>
      <c r="DI54" s="333">
        <f t="shared" si="109"/>
        <v>0</v>
      </c>
      <c r="DJ54" s="333">
        <f t="shared" si="110"/>
        <v>0</v>
      </c>
      <c r="DK54" s="333">
        <f t="shared" si="111"/>
        <v>0</v>
      </c>
      <c r="DL54" s="333">
        <f t="shared" si="112"/>
        <v>0</v>
      </c>
      <c r="DM54" s="333">
        <f t="shared" si="113"/>
        <v>0</v>
      </c>
      <c r="DN54" s="333">
        <f t="shared" si="114"/>
        <v>0</v>
      </c>
      <c r="DO54" s="333">
        <f t="shared" si="115"/>
        <v>0</v>
      </c>
      <c r="DP54" s="333">
        <f t="shared" si="116"/>
        <v>0</v>
      </c>
      <c r="DQ54" s="333">
        <f t="shared" si="117"/>
        <v>0</v>
      </c>
      <c r="DR54" s="333">
        <f t="shared" si="118"/>
        <v>0</v>
      </c>
      <c r="DS54" s="333">
        <f t="shared" si="119"/>
        <v>0</v>
      </c>
      <c r="DT54" s="333">
        <f t="shared" si="120"/>
        <v>0</v>
      </c>
      <c r="DU54" s="333">
        <f t="shared" si="121"/>
        <v>0</v>
      </c>
      <c r="DV54" s="333">
        <f t="shared" si="122"/>
        <v>0</v>
      </c>
      <c r="DW54" s="333">
        <f t="shared" si="123"/>
        <v>0</v>
      </c>
      <c r="DX54" s="333">
        <f t="shared" si="124"/>
        <v>0</v>
      </c>
      <c r="DY54" s="333">
        <f t="shared" si="125"/>
        <v>0.125</v>
      </c>
      <c r="DZ54" s="333">
        <f t="shared" si="126"/>
        <v>0.375</v>
      </c>
      <c r="EA54" s="333">
        <f t="shared" si="127"/>
        <v>0.625</v>
      </c>
      <c r="EB54" s="333">
        <f t="shared" si="128"/>
        <v>0.875</v>
      </c>
      <c r="EC54" s="334">
        <f t="shared" si="129"/>
        <v>0</v>
      </c>
      <c r="ED54" s="334">
        <f t="shared" si="130"/>
        <v>0</v>
      </c>
      <c r="EE54" s="334">
        <f t="shared" si="131"/>
        <v>0</v>
      </c>
    </row>
    <row r="55" spans="1:135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>
        <v>0</v>
      </c>
      <c r="CJ55" s="290"/>
      <c r="CK55" s="290"/>
      <c r="CL55" s="290"/>
      <c r="CM55" s="290"/>
      <c r="CN55" s="290"/>
      <c r="CO55" s="290"/>
      <c r="CP55" s="290"/>
      <c r="CQ55" s="290"/>
      <c r="CR55" s="290"/>
      <c r="CS55" s="290"/>
      <c r="CT55" s="290"/>
      <c r="CU55" s="290"/>
      <c r="CV55" s="290"/>
      <c r="CW55" s="290"/>
      <c r="CX55" s="430"/>
      <c r="CY55" s="430">
        <f t="shared" si="101"/>
        <v>0</v>
      </c>
      <c r="CZ55" s="430"/>
      <c r="DA55" s="430"/>
      <c r="DB55" s="321">
        <f t="shared" si="102"/>
        <v>0</v>
      </c>
      <c r="DC55" s="333">
        <f t="shared" si="103"/>
        <v>0</v>
      </c>
      <c r="DD55" s="333">
        <f t="shared" si="104"/>
        <v>0</v>
      </c>
      <c r="DE55" s="333">
        <f t="shared" si="105"/>
        <v>0</v>
      </c>
      <c r="DF55" s="333">
        <f t="shared" si="106"/>
        <v>0</v>
      </c>
      <c r="DG55" s="333">
        <f t="shared" si="107"/>
        <v>0</v>
      </c>
      <c r="DH55" s="333">
        <f t="shared" si="108"/>
        <v>0</v>
      </c>
      <c r="DI55" s="333">
        <f t="shared" si="109"/>
        <v>0</v>
      </c>
      <c r="DJ55" s="333">
        <f t="shared" si="110"/>
        <v>0</v>
      </c>
      <c r="DK55" s="333">
        <f t="shared" si="111"/>
        <v>0</v>
      </c>
      <c r="DL55" s="333">
        <f t="shared" si="112"/>
        <v>0</v>
      </c>
      <c r="DM55" s="333">
        <f t="shared" si="113"/>
        <v>0</v>
      </c>
      <c r="DN55" s="333">
        <f t="shared" si="114"/>
        <v>0</v>
      </c>
      <c r="DO55" s="333">
        <f t="shared" si="115"/>
        <v>0</v>
      </c>
      <c r="DP55" s="333">
        <f t="shared" si="116"/>
        <v>0</v>
      </c>
      <c r="DQ55" s="333">
        <f t="shared" si="117"/>
        <v>0</v>
      </c>
      <c r="DR55" s="333">
        <f t="shared" si="118"/>
        <v>0</v>
      </c>
      <c r="DS55" s="333">
        <f t="shared" si="119"/>
        <v>0</v>
      </c>
      <c r="DT55" s="333">
        <f t="shared" si="120"/>
        <v>0</v>
      </c>
      <c r="DU55" s="333">
        <f t="shared" si="121"/>
        <v>0</v>
      </c>
      <c r="DV55" s="333">
        <f t="shared" si="122"/>
        <v>0</v>
      </c>
      <c r="DW55" s="333">
        <f t="shared" si="123"/>
        <v>0</v>
      </c>
      <c r="DX55" s="333">
        <f t="shared" si="124"/>
        <v>9.9999999999999978E-2</v>
      </c>
      <c r="DY55" s="333">
        <f t="shared" si="125"/>
        <v>0.30000000000000004</v>
      </c>
      <c r="DZ55" s="333">
        <f t="shared" si="126"/>
        <v>0.5</v>
      </c>
      <c r="EA55" s="333">
        <f t="shared" si="127"/>
        <v>0.7</v>
      </c>
      <c r="EB55" s="333">
        <f t="shared" si="128"/>
        <v>0.9</v>
      </c>
      <c r="EC55" s="334">
        <f t="shared" si="129"/>
        <v>0</v>
      </c>
      <c r="ED55" s="334">
        <f t="shared" si="130"/>
        <v>0</v>
      </c>
      <c r="EE55" s="334">
        <f t="shared" si="131"/>
        <v>0</v>
      </c>
    </row>
    <row r="56" spans="1:135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290"/>
      <c r="CI56" s="290">
        <v>0</v>
      </c>
      <c r="CJ56" s="290"/>
      <c r="CK56" s="290"/>
      <c r="CL56" s="290"/>
      <c r="CM56" s="290"/>
      <c r="CN56" s="290"/>
      <c r="CO56" s="290"/>
      <c r="CP56" s="290"/>
      <c r="CQ56" s="290"/>
      <c r="CR56" s="290"/>
      <c r="CS56" s="290"/>
      <c r="CT56" s="290"/>
      <c r="CU56" s="290"/>
      <c r="CV56" s="290"/>
      <c r="CW56" s="290"/>
      <c r="CX56" s="430"/>
      <c r="CY56" s="430">
        <f t="shared" si="101"/>
        <v>0</v>
      </c>
      <c r="CZ56" s="430"/>
      <c r="DA56" s="430"/>
      <c r="DB56" s="321">
        <f t="shared" si="102"/>
        <v>0</v>
      </c>
      <c r="DC56" s="333">
        <f t="shared" si="103"/>
        <v>0</v>
      </c>
      <c r="DD56" s="333">
        <f t="shared" si="104"/>
        <v>0</v>
      </c>
      <c r="DE56" s="333">
        <f t="shared" si="105"/>
        <v>0</v>
      </c>
      <c r="DF56" s="333">
        <f t="shared" si="106"/>
        <v>0</v>
      </c>
      <c r="DG56" s="333">
        <f t="shared" si="107"/>
        <v>0</v>
      </c>
      <c r="DH56" s="333">
        <f t="shared" si="108"/>
        <v>0</v>
      </c>
      <c r="DI56" s="333">
        <f t="shared" si="109"/>
        <v>0</v>
      </c>
      <c r="DJ56" s="333">
        <f t="shared" si="110"/>
        <v>0</v>
      </c>
      <c r="DK56" s="333">
        <f t="shared" si="111"/>
        <v>0</v>
      </c>
      <c r="DL56" s="333">
        <f t="shared" si="112"/>
        <v>0</v>
      </c>
      <c r="DM56" s="333">
        <f t="shared" si="113"/>
        <v>0</v>
      </c>
      <c r="DN56" s="333">
        <f t="shared" si="114"/>
        <v>0</v>
      </c>
      <c r="DO56" s="333">
        <f t="shared" si="115"/>
        <v>0</v>
      </c>
      <c r="DP56" s="333">
        <f t="shared" si="116"/>
        <v>0</v>
      </c>
      <c r="DQ56" s="333">
        <f t="shared" si="117"/>
        <v>0</v>
      </c>
      <c r="DR56" s="333">
        <f t="shared" si="118"/>
        <v>0</v>
      </c>
      <c r="DS56" s="333">
        <f t="shared" si="119"/>
        <v>0</v>
      </c>
      <c r="DT56" s="333">
        <f t="shared" si="120"/>
        <v>0</v>
      </c>
      <c r="DU56" s="333">
        <f t="shared" si="121"/>
        <v>6.25E-2</v>
      </c>
      <c r="DV56" s="333">
        <f t="shared" si="122"/>
        <v>0.1875</v>
      </c>
      <c r="DW56" s="333">
        <f t="shared" si="123"/>
        <v>0.3125</v>
      </c>
      <c r="DX56" s="333">
        <f t="shared" si="124"/>
        <v>0.4375</v>
      </c>
      <c r="DY56" s="333">
        <f t="shared" si="125"/>
        <v>0.5625</v>
      </c>
      <c r="DZ56" s="333">
        <f t="shared" si="126"/>
        <v>0.6875</v>
      </c>
      <c r="EA56" s="333">
        <f t="shared" si="127"/>
        <v>0.8125</v>
      </c>
      <c r="EB56" s="333">
        <f t="shared" si="128"/>
        <v>0.9375</v>
      </c>
      <c r="EC56" s="334">
        <f t="shared" si="129"/>
        <v>0</v>
      </c>
      <c r="ED56" s="334">
        <f t="shared" si="130"/>
        <v>0</v>
      </c>
      <c r="EE56" s="334">
        <f t="shared" si="131"/>
        <v>0</v>
      </c>
    </row>
    <row r="57" spans="1:135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291">
        <v>106264</v>
      </c>
      <c r="CI57" s="290">
        <v>0</v>
      </c>
      <c r="CJ57" s="291"/>
      <c r="CK57" s="291"/>
      <c r="CL57" s="291">
        <v>9925.51</v>
      </c>
      <c r="CM57" s="290"/>
      <c r="CN57" s="291"/>
      <c r="CO57" s="291"/>
      <c r="CP57" s="291">
        <v>0</v>
      </c>
      <c r="CQ57" s="290"/>
      <c r="CR57" s="291"/>
      <c r="CS57" s="291"/>
      <c r="CT57" s="291">
        <v>0</v>
      </c>
      <c r="CU57" s="290"/>
      <c r="CV57" s="291"/>
      <c r="CW57" s="291"/>
      <c r="CX57" s="431"/>
      <c r="CY57" s="430">
        <f t="shared" si="101"/>
        <v>0</v>
      </c>
      <c r="CZ57" s="431"/>
      <c r="DA57" s="431"/>
      <c r="DB57" s="321">
        <f t="shared" si="102"/>
        <v>0</v>
      </c>
      <c r="DC57" s="348">
        <f t="shared" si="103"/>
        <v>0</v>
      </c>
      <c r="DD57" s="333">
        <f t="shared" si="104"/>
        <v>0</v>
      </c>
      <c r="DE57" s="333">
        <f t="shared" si="105"/>
        <v>0</v>
      </c>
      <c r="DF57" s="333">
        <f t="shared" si="106"/>
        <v>0</v>
      </c>
      <c r="DG57" s="333">
        <f t="shared" si="107"/>
        <v>0</v>
      </c>
      <c r="DH57" s="333">
        <f t="shared" si="108"/>
        <v>0</v>
      </c>
      <c r="DI57" s="333">
        <f t="shared" si="109"/>
        <v>0</v>
      </c>
      <c r="DJ57" s="333">
        <f t="shared" si="110"/>
        <v>0</v>
      </c>
      <c r="DK57" s="333">
        <f t="shared" si="111"/>
        <v>2.9411764705882359E-2</v>
      </c>
      <c r="DL57" s="333">
        <f t="shared" si="112"/>
        <v>8.8235294117647078E-2</v>
      </c>
      <c r="DM57" s="333">
        <f t="shared" si="113"/>
        <v>0.1470588235294118</v>
      </c>
      <c r="DN57" s="333">
        <f t="shared" si="114"/>
        <v>0.20588235294117652</v>
      </c>
      <c r="DO57" s="333">
        <f t="shared" si="115"/>
        <v>0.26470588235294112</v>
      </c>
      <c r="DP57" s="333">
        <f t="shared" si="116"/>
        <v>0.32352941176470584</v>
      </c>
      <c r="DQ57" s="333">
        <f t="shared" si="117"/>
        <v>0</v>
      </c>
      <c r="DR57" s="333">
        <f t="shared" si="118"/>
        <v>0.38235294117647056</v>
      </c>
      <c r="DS57" s="333">
        <f t="shared" si="119"/>
        <v>0.44117647058823528</v>
      </c>
      <c r="DT57" s="333">
        <f t="shared" si="120"/>
        <v>0.5</v>
      </c>
      <c r="DU57" s="333">
        <f t="shared" si="121"/>
        <v>0.55882352941176472</v>
      </c>
      <c r="DV57" s="333">
        <f t="shared" si="122"/>
        <v>0.61764705882352944</v>
      </c>
      <c r="DW57" s="333">
        <f t="shared" si="123"/>
        <v>0.67647058823529416</v>
      </c>
      <c r="DX57" s="333">
        <f t="shared" si="124"/>
        <v>0.73529411764705888</v>
      </c>
      <c r="DY57" s="333">
        <f t="shared" si="125"/>
        <v>0.79411764705882359</v>
      </c>
      <c r="DZ57" s="333">
        <f t="shared" si="126"/>
        <v>0.8529411764705882</v>
      </c>
      <c r="EA57" s="333">
        <f t="shared" si="127"/>
        <v>0.91176470588235292</v>
      </c>
      <c r="EB57" s="333">
        <f t="shared" si="128"/>
        <v>0.97058823529411764</v>
      </c>
      <c r="EC57" s="334">
        <f t="shared" si="129"/>
        <v>103614.28284072106</v>
      </c>
      <c r="ED57" s="334">
        <f t="shared" si="130"/>
        <v>0</v>
      </c>
      <c r="EE57" s="334">
        <f t="shared" si="131"/>
        <v>76712.440853471373</v>
      </c>
    </row>
    <row r="58" spans="1:135" s="1" customFormat="1" ht="12.75" customHeight="1" thickBot="1" x14ac:dyDescent="0.35">
      <c r="A58" s="576"/>
      <c r="B58" s="304" t="s">
        <v>42</v>
      </c>
      <c r="C58" s="302"/>
      <c r="D58" s="305">
        <f t="shared" ref="D58:BO58" si="132">SUM(D48:D57)</f>
        <v>5660028.2779788757</v>
      </c>
      <c r="E58" s="305">
        <f t="shared" si="132"/>
        <v>0</v>
      </c>
      <c r="F58" s="305">
        <f t="shared" si="132"/>
        <v>4092084.3124159449</v>
      </c>
      <c r="G58" s="305">
        <f t="shared" si="132"/>
        <v>385845.48</v>
      </c>
      <c r="H58" s="305">
        <f t="shared" si="132"/>
        <v>0</v>
      </c>
      <c r="I58" s="305">
        <f t="shared" si="132"/>
        <v>0</v>
      </c>
      <c r="J58" s="305">
        <f t="shared" si="132"/>
        <v>0</v>
      </c>
      <c r="K58" s="305">
        <f t="shared" si="132"/>
        <v>452747.86</v>
      </c>
      <c r="L58" s="305">
        <f t="shared" si="132"/>
        <v>0</v>
      </c>
      <c r="M58" s="305">
        <f t="shared" si="132"/>
        <v>0</v>
      </c>
      <c r="N58" s="305">
        <f t="shared" si="132"/>
        <v>0</v>
      </c>
      <c r="O58" s="305">
        <f t="shared" si="132"/>
        <v>370817.32</v>
      </c>
      <c r="P58" s="305">
        <f t="shared" si="132"/>
        <v>0</v>
      </c>
      <c r="Q58" s="305">
        <f t="shared" si="132"/>
        <v>0</v>
      </c>
      <c r="R58" s="305">
        <f t="shared" si="132"/>
        <v>0</v>
      </c>
      <c r="S58" s="305">
        <f t="shared" si="132"/>
        <v>396757.73</v>
      </c>
      <c r="T58" s="305">
        <f t="shared" si="132"/>
        <v>0</v>
      </c>
      <c r="U58" s="305">
        <f t="shared" si="132"/>
        <v>0</v>
      </c>
      <c r="V58" s="305">
        <f t="shared" si="132"/>
        <v>0</v>
      </c>
      <c r="W58" s="305">
        <f t="shared" si="132"/>
        <v>291785.66999999993</v>
      </c>
      <c r="X58" s="305">
        <f t="shared" si="132"/>
        <v>0</v>
      </c>
      <c r="Y58" s="305">
        <f t="shared" si="132"/>
        <v>0</v>
      </c>
      <c r="Z58" s="305">
        <f t="shared" si="132"/>
        <v>0</v>
      </c>
      <c r="AA58" s="305">
        <f t="shared" si="132"/>
        <v>471133.24000000005</v>
      </c>
      <c r="AB58" s="305">
        <f t="shared" si="132"/>
        <v>0</v>
      </c>
      <c r="AC58" s="305">
        <f t="shared" si="132"/>
        <v>0</v>
      </c>
      <c r="AD58" s="305">
        <f t="shared" si="132"/>
        <v>0</v>
      </c>
      <c r="AE58" s="305">
        <f t="shared" si="132"/>
        <v>641039</v>
      </c>
      <c r="AF58" s="305">
        <f t="shared" si="132"/>
        <v>0</v>
      </c>
      <c r="AG58" s="305">
        <f t="shared" si="132"/>
        <v>0</v>
      </c>
      <c r="AH58" s="305">
        <f t="shared" si="132"/>
        <v>0</v>
      </c>
      <c r="AI58" s="305">
        <f t="shared" si="132"/>
        <v>528906.63000000012</v>
      </c>
      <c r="AJ58" s="305">
        <f t="shared" si="132"/>
        <v>0</v>
      </c>
      <c r="AK58" s="305">
        <f t="shared" si="132"/>
        <v>0</v>
      </c>
      <c r="AL58" s="305">
        <f t="shared" si="132"/>
        <v>0</v>
      </c>
      <c r="AM58" s="305">
        <f t="shared" si="132"/>
        <v>421950.02999999991</v>
      </c>
      <c r="AN58" s="305">
        <f t="shared" si="132"/>
        <v>0</v>
      </c>
      <c r="AO58" s="305">
        <f t="shared" si="132"/>
        <v>0</v>
      </c>
      <c r="AP58" s="305">
        <f t="shared" si="132"/>
        <v>0</v>
      </c>
      <c r="AQ58" s="305">
        <f t="shared" si="132"/>
        <v>401723.83</v>
      </c>
      <c r="AR58" s="305">
        <f t="shared" si="132"/>
        <v>0</v>
      </c>
      <c r="AS58" s="305">
        <f t="shared" si="132"/>
        <v>0</v>
      </c>
      <c r="AT58" s="305">
        <f t="shared" si="132"/>
        <v>0</v>
      </c>
      <c r="AU58" s="305">
        <f t="shared" si="132"/>
        <v>401731.13</v>
      </c>
      <c r="AV58" s="305">
        <f t="shared" si="132"/>
        <v>0</v>
      </c>
      <c r="AW58" s="305">
        <f t="shared" si="132"/>
        <v>0</v>
      </c>
      <c r="AX58" s="305">
        <f t="shared" si="132"/>
        <v>0</v>
      </c>
      <c r="AY58" s="305">
        <f t="shared" si="132"/>
        <v>555885.05319699994</v>
      </c>
      <c r="AZ58" s="305">
        <f t="shared" si="132"/>
        <v>0</v>
      </c>
      <c r="BA58" s="305">
        <f t="shared" si="132"/>
        <v>0</v>
      </c>
      <c r="BB58" s="305">
        <f t="shared" si="132"/>
        <v>0</v>
      </c>
      <c r="BC58" s="305">
        <f t="shared" si="132"/>
        <v>660890.24999999988</v>
      </c>
      <c r="BD58" s="305">
        <f t="shared" si="132"/>
        <v>0</v>
      </c>
      <c r="BE58" s="305">
        <f t="shared" si="132"/>
        <v>0</v>
      </c>
      <c r="BF58" s="305">
        <f t="shared" si="132"/>
        <v>0</v>
      </c>
      <c r="BG58" s="305">
        <f t="shared" si="132"/>
        <v>265555</v>
      </c>
      <c r="BH58" s="305">
        <f t="shared" si="132"/>
        <v>265555</v>
      </c>
      <c r="BI58" s="305">
        <f t="shared" si="132"/>
        <v>173348.46</v>
      </c>
      <c r="BJ58" s="305">
        <f t="shared" si="132"/>
        <v>682413</v>
      </c>
      <c r="BK58" s="305">
        <f t="shared" si="132"/>
        <v>0</v>
      </c>
      <c r="BL58" s="305">
        <f t="shared" si="132"/>
        <v>0</v>
      </c>
      <c r="BM58" s="305">
        <f t="shared" si="132"/>
        <v>0</v>
      </c>
      <c r="BN58" s="305">
        <f t="shared" si="132"/>
        <v>805417.89999999991</v>
      </c>
      <c r="BO58" s="305">
        <f t="shared" si="132"/>
        <v>0</v>
      </c>
      <c r="BP58" s="305">
        <f t="shared" ref="BP58:DA58" si="133">SUM(BP48:BP57)</f>
        <v>0</v>
      </c>
      <c r="BQ58" s="305">
        <f t="shared" si="133"/>
        <v>0</v>
      </c>
      <c r="BR58" s="305">
        <f t="shared" si="133"/>
        <v>811234.00000000012</v>
      </c>
      <c r="BS58" s="305">
        <f t="shared" si="133"/>
        <v>0</v>
      </c>
      <c r="BT58" s="305">
        <f t="shared" si="133"/>
        <v>0</v>
      </c>
      <c r="BU58" s="305">
        <f t="shared" si="133"/>
        <v>0</v>
      </c>
      <c r="BV58" s="305">
        <f t="shared" si="133"/>
        <v>994683.03999999969</v>
      </c>
      <c r="BW58" s="305">
        <f t="shared" si="133"/>
        <v>0</v>
      </c>
      <c r="BX58" s="305">
        <f t="shared" si="133"/>
        <v>0</v>
      </c>
      <c r="BY58" s="305">
        <f t="shared" si="133"/>
        <v>0</v>
      </c>
      <c r="BZ58" s="305">
        <f t="shared" si="133"/>
        <v>1009193.6200000001</v>
      </c>
      <c r="CA58" s="305">
        <f t="shared" si="133"/>
        <v>0</v>
      </c>
      <c r="CB58" s="305">
        <f t="shared" si="133"/>
        <v>0</v>
      </c>
      <c r="CC58" s="305">
        <f t="shared" si="133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5">
        <f t="shared" si="133"/>
        <v>1556506.81</v>
      </c>
      <c r="CI58" s="305">
        <f t="shared" si="133"/>
        <v>0</v>
      </c>
      <c r="CJ58" s="305">
        <f t="shared" si="133"/>
        <v>0</v>
      </c>
      <c r="CK58" s="305">
        <f t="shared" si="133"/>
        <v>0</v>
      </c>
      <c r="CL58" s="305">
        <f t="shared" si="133"/>
        <v>1604287.94</v>
      </c>
      <c r="CM58" s="305">
        <f t="shared" si="133"/>
        <v>0</v>
      </c>
      <c r="CN58" s="305">
        <f t="shared" si="133"/>
        <v>0</v>
      </c>
      <c r="CO58" s="305">
        <f t="shared" si="133"/>
        <v>0</v>
      </c>
      <c r="CP58" s="305">
        <f t="shared" si="133"/>
        <v>1910708.95</v>
      </c>
      <c r="CQ58" s="305">
        <f t="shared" si="133"/>
        <v>0</v>
      </c>
      <c r="CR58" s="305">
        <f t="shared" si="133"/>
        <v>0</v>
      </c>
      <c r="CS58" s="305">
        <f t="shared" si="133"/>
        <v>0</v>
      </c>
      <c r="CT58" s="305">
        <f t="shared" si="133"/>
        <v>1782283.5999999994</v>
      </c>
      <c r="CU58" s="305">
        <f t="shared" si="133"/>
        <v>0</v>
      </c>
      <c r="CV58" s="305">
        <f t="shared" si="133"/>
        <v>0</v>
      </c>
      <c r="CW58" s="305">
        <f t="shared" si="133"/>
        <v>0</v>
      </c>
      <c r="CX58" s="305">
        <f t="shared" si="133"/>
        <v>1803633.54</v>
      </c>
      <c r="CY58" s="305">
        <f t="shared" si="133"/>
        <v>0</v>
      </c>
      <c r="CZ58" s="305">
        <f t="shared" si="133"/>
        <v>0</v>
      </c>
      <c r="DA58" s="305">
        <f t="shared" si="133"/>
        <v>0</v>
      </c>
      <c r="DB58" s="306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7"/>
      <c r="DO58" s="307"/>
      <c r="DP58" s="307"/>
      <c r="DQ58" s="307"/>
      <c r="DR58" s="307"/>
      <c r="DS58" s="307"/>
      <c r="DT58" s="307"/>
      <c r="DU58" s="307"/>
      <c r="DV58" s="307"/>
      <c r="DW58" s="307"/>
      <c r="DX58" s="307"/>
      <c r="DY58" s="307"/>
      <c r="DZ58" s="307"/>
      <c r="EA58" s="307"/>
      <c r="EB58" s="307"/>
      <c r="EC58" s="308">
        <f>SUM(EC48:EC57)</f>
        <v>23499852.194085579</v>
      </c>
      <c r="ED58" s="308">
        <f>SUM(ED48:ED57)</f>
        <v>5195141.1377418395</v>
      </c>
      <c r="EE58" s="308">
        <f>SUM(EE48:EE57)</f>
        <v>11433326.307902848</v>
      </c>
    </row>
    <row r="59" spans="1:135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34">E58+E47+E13+E45</f>
        <v>0</v>
      </c>
      <c r="F59" s="311">
        <f t="shared" si="134"/>
        <v>45909466.481640995</v>
      </c>
      <c r="G59" s="311">
        <f t="shared" si="134"/>
        <v>2297920.7887920002</v>
      </c>
      <c r="H59" s="311">
        <f t="shared" si="134"/>
        <v>0</v>
      </c>
      <c r="I59" s="311">
        <f t="shared" si="134"/>
        <v>0</v>
      </c>
      <c r="J59" s="311">
        <f t="shared" si="134"/>
        <v>0</v>
      </c>
      <c r="K59" s="311">
        <f t="shared" si="134"/>
        <v>3705380.7350740554</v>
      </c>
      <c r="L59" s="311">
        <f t="shared" si="134"/>
        <v>315949</v>
      </c>
      <c r="M59" s="311">
        <f t="shared" si="134"/>
        <v>0</v>
      </c>
      <c r="N59" s="311">
        <f t="shared" si="134"/>
        <v>0</v>
      </c>
      <c r="O59" s="311">
        <f t="shared" si="134"/>
        <v>3354159.6110610003</v>
      </c>
      <c r="P59" s="311">
        <f t="shared" si="134"/>
        <v>0</v>
      </c>
      <c r="Q59" s="311">
        <f t="shared" si="134"/>
        <v>0</v>
      </c>
      <c r="R59" s="311">
        <f t="shared" si="134"/>
        <v>0</v>
      </c>
      <c r="S59" s="311">
        <f t="shared" si="134"/>
        <v>3518386.36</v>
      </c>
      <c r="T59" s="311">
        <f t="shared" si="134"/>
        <v>0</v>
      </c>
      <c r="U59" s="311">
        <f t="shared" si="134"/>
        <v>0</v>
      </c>
      <c r="V59" s="311">
        <f t="shared" si="134"/>
        <v>0</v>
      </c>
      <c r="W59" s="311">
        <f t="shared" si="134"/>
        <v>3815993.5700000003</v>
      </c>
      <c r="X59" s="311">
        <f t="shared" si="134"/>
        <v>0</v>
      </c>
      <c r="Y59" s="311">
        <f t="shared" si="134"/>
        <v>0</v>
      </c>
      <c r="Z59" s="311">
        <f t="shared" si="134"/>
        <v>0</v>
      </c>
      <c r="AA59" s="311">
        <f t="shared" si="134"/>
        <v>5590315.4300000006</v>
      </c>
      <c r="AB59" s="311">
        <f t="shared" si="134"/>
        <v>556386.07000000007</v>
      </c>
      <c r="AC59" s="311">
        <f t="shared" si="134"/>
        <v>0</v>
      </c>
      <c r="AD59" s="311">
        <f t="shared" si="134"/>
        <v>0</v>
      </c>
      <c r="AE59" s="311">
        <f t="shared" si="134"/>
        <v>6630069.3099999996</v>
      </c>
      <c r="AF59" s="311">
        <f t="shared" si="134"/>
        <v>0</v>
      </c>
      <c r="AG59" s="311">
        <f t="shared" si="134"/>
        <v>0</v>
      </c>
      <c r="AH59" s="311">
        <f t="shared" si="134"/>
        <v>0</v>
      </c>
      <c r="AI59" s="311">
        <f t="shared" si="134"/>
        <v>8798937.4638769962</v>
      </c>
      <c r="AJ59" s="311">
        <f t="shared" si="134"/>
        <v>0</v>
      </c>
      <c r="AK59" s="311">
        <f t="shared" si="134"/>
        <v>0</v>
      </c>
      <c r="AL59" s="311">
        <f t="shared" si="134"/>
        <v>0</v>
      </c>
      <c r="AM59" s="311">
        <f t="shared" si="134"/>
        <v>6243081.9319999982</v>
      </c>
      <c r="AN59" s="311">
        <f t="shared" si="134"/>
        <v>0</v>
      </c>
      <c r="AO59" s="311">
        <f t="shared" si="134"/>
        <v>0</v>
      </c>
      <c r="AP59" s="311">
        <f t="shared" si="134"/>
        <v>0</v>
      </c>
      <c r="AQ59" s="311">
        <f t="shared" si="134"/>
        <v>7546107.3088913755</v>
      </c>
      <c r="AR59" s="311">
        <f t="shared" si="134"/>
        <v>0</v>
      </c>
      <c r="AS59" s="311">
        <f t="shared" si="134"/>
        <v>0</v>
      </c>
      <c r="AT59" s="311">
        <f t="shared" si="134"/>
        <v>0</v>
      </c>
      <c r="AU59" s="311">
        <f t="shared" si="134"/>
        <v>5992535.4899999965</v>
      </c>
      <c r="AV59" s="311">
        <f t="shared" si="134"/>
        <v>0</v>
      </c>
      <c r="AW59" s="311">
        <f t="shared" si="134"/>
        <v>0</v>
      </c>
      <c r="AX59" s="311">
        <f t="shared" si="134"/>
        <v>0</v>
      </c>
      <c r="AY59" s="311">
        <f t="shared" si="134"/>
        <v>9964863.5911969952</v>
      </c>
      <c r="AZ59" s="311">
        <f t="shared" si="134"/>
        <v>0</v>
      </c>
      <c r="BA59" s="311">
        <f t="shared" si="134"/>
        <v>0</v>
      </c>
      <c r="BB59" s="311">
        <f t="shared" si="134"/>
        <v>0</v>
      </c>
      <c r="BC59" s="311">
        <f t="shared" si="134"/>
        <v>11143773.309999999</v>
      </c>
      <c r="BD59" s="311">
        <f t="shared" si="134"/>
        <v>0</v>
      </c>
      <c r="BE59" s="311">
        <f t="shared" si="134"/>
        <v>0</v>
      </c>
      <c r="BF59" s="311">
        <f t="shared" si="134"/>
        <v>0</v>
      </c>
      <c r="BG59" s="311">
        <f t="shared" si="134"/>
        <v>8136602.2479580687</v>
      </c>
      <c r="BH59" s="311">
        <f t="shared" si="134"/>
        <v>6029079.5579580693</v>
      </c>
      <c r="BI59" s="311">
        <f t="shared" si="134"/>
        <v>6021259.6799999988</v>
      </c>
      <c r="BJ59" s="311">
        <f t="shared" si="134"/>
        <v>12605720.150000002</v>
      </c>
      <c r="BK59" s="311">
        <f t="shared" si="134"/>
        <v>0</v>
      </c>
      <c r="BL59" s="311">
        <f t="shared" si="134"/>
        <v>0</v>
      </c>
      <c r="BM59" s="311">
        <f t="shared" si="134"/>
        <v>0</v>
      </c>
      <c r="BN59" s="311">
        <f t="shared" si="134"/>
        <v>25963295.499999996</v>
      </c>
      <c r="BO59" s="311">
        <f t="shared" si="134"/>
        <v>0</v>
      </c>
      <c r="BP59" s="311">
        <f t="shared" si="134"/>
        <v>0</v>
      </c>
      <c r="BQ59" s="311">
        <f t="shared" ref="BQ59:DA59" si="135">BQ58+BQ47+BQ13+BQ45</f>
        <v>0</v>
      </c>
      <c r="BR59" s="311">
        <f t="shared" si="135"/>
        <v>19553374.009999998</v>
      </c>
      <c r="BS59" s="311">
        <f t="shared" si="135"/>
        <v>65610.73</v>
      </c>
      <c r="BT59" s="311">
        <f t="shared" si="135"/>
        <v>0</v>
      </c>
      <c r="BU59" s="311">
        <f t="shared" si="135"/>
        <v>0</v>
      </c>
      <c r="BV59" s="311">
        <f t="shared" si="135"/>
        <v>20404493.799999997</v>
      </c>
      <c r="BW59" s="311">
        <f t="shared" si="135"/>
        <v>2126529.2643995676</v>
      </c>
      <c r="BX59" s="311">
        <f t="shared" si="135"/>
        <v>0</v>
      </c>
      <c r="BY59" s="311">
        <f t="shared" si="135"/>
        <v>0</v>
      </c>
      <c r="BZ59" s="311">
        <f t="shared" si="135"/>
        <v>22105252.660000004</v>
      </c>
      <c r="CA59" s="311">
        <f t="shared" si="135"/>
        <v>2659763.210547294</v>
      </c>
      <c r="CB59" s="311">
        <f t="shared" si="135"/>
        <v>0</v>
      </c>
      <c r="CC59" s="311">
        <f t="shared" si="135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1">
        <f t="shared" si="135"/>
        <v>17257121.709999993</v>
      </c>
      <c r="CI59" s="311">
        <f t="shared" si="135"/>
        <v>143425.125207</v>
      </c>
      <c r="CJ59" s="311">
        <f t="shared" si="135"/>
        <v>0</v>
      </c>
      <c r="CK59" s="311">
        <f t="shared" si="135"/>
        <v>0</v>
      </c>
      <c r="CL59" s="311">
        <f t="shared" si="135"/>
        <v>19425056.510000002</v>
      </c>
      <c r="CM59" s="311">
        <f t="shared" si="135"/>
        <v>0</v>
      </c>
      <c r="CN59" s="311">
        <f t="shared" si="135"/>
        <v>0</v>
      </c>
      <c r="CO59" s="311">
        <f t="shared" si="135"/>
        <v>0</v>
      </c>
      <c r="CP59" s="311">
        <f t="shared" si="135"/>
        <v>44820260.720000006</v>
      </c>
      <c r="CQ59" s="311">
        <f t="shared" si="135"/>
        <v>146532.4</v>
      </c>
      <c r="CR59" s="311">
        <f t="shared" si="135"/>
        <v>0</v>
      </c>
      <c r="CS59" s="311">
        <f t="shared" si="135"/>
        <v>0</v>
      </c>
      <c r="CT59" s="311">
        <f t="shared" si="135"/>
        <v>25352384.310000002</v>
      </c>
      <c r="CU59" s="311">
        <f t="shared" si="135"/>
        <v>1934068.2</v>
      </c>
      <c r="CV59" s="311">
        <f t="shared" si="135"/>
        <v>0</v>
      </c>
      <c r="CW59" s="311">
        <f t="shared" si="135"/>
        <v>0</v>
      </c>
      <c r="CX59" s="434">
        <f t="shared" si="135"/>
        <v>27778082.979999997</v>
      </c>
      <c r="CY59" s="434">
        <f t="shared" si="135"/>
        <v>728733.5407034636</v>
      </c>
      <c r="CZ59" s="434">
        <f t="shared" si="135"/>
        <v>0</v>
      </c>
      <c r="DA59" s="434">
        <f t="shared" si="135"/>
        <v>0</v>
      </c>
      <c r="DB59" s="312"/>
      <c r="DC59" s="312"/>
      <c r="DD59" s="312"/>
      <c r="DE59" s="312"/>
      <c r="DF59" s="312"/>
      <c r="DG59" s="312"/>
      <c r="DH59" s="312"/>
      <c r="DI59" s="312"/>
      <c r="DJ59" s="312"/>
      <c r="DK59" s="312"/>
      <c r="DL59" s="312"/>
      <c r="DM59" s="312"/>
      <c r="DN59" s="312"/>
      <c r="DO59" s="312"/>
      <c r="DP59" s="312"/>
      <c r="DQ59" s="312"/>
      <c r="DR59" s="312"/>
      <c r="DS59" s="312"/>
      <c r="DT59" s="312"/>
      <c r="DU59" s="312"/>
      <c r="DV59" s="312"/>
      <c r="DW59" s="312"/>
      <c r="DX59" s="312"/>
      <c r="DY59" s="312"/>
      <c r="DZ59" s="312"/>
      <c r="EA59" s="312"/>
      <c r="EB59" s="312"/>
      <c r="EC59" s="313">
        <f>EC13+EC45+EC47+EC58</f>
        <v>371784388.76599401</v>
      </c>
      <c r="ED59" s="313">
        <f>ED13+ED45+ED47+ED58</f>
        <v>91065159.525973558</v>
      </c>
      <c r="EE59" s="314">
        <f>EE13+EE45+EE47+EE58</f>
        <v>198776649.4059937</v>
      </c>
    </row>
    <row r="60" spans="1:135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608">
        <v>0.89100093955357473</v>
      </c>
      <c r="CI60" s="609"/>
      <c r="CJ60" s="609"/>
      <c r="CK60" s="610"/>
      <c r="CL60" s="565">
        <v>0.9</v>
      </c>
      <c r="CM60" s="566"/>
      <c r="CN60" s="566"/>
      <c r="CO60" s="567"/>
      <c r="CP60" s="565">
        <v>0.89999999999999991</v>
      </c>
      <c r="CQ60" s="566"/>
      <c r="CR60" s="566"/>
      <c r="CS60" s="567"/>
      <c r="CT60" s="565">
        <v>0.9</v>
      </c>
      <c r="CU60" s="566"/>
      <c r="CV60" s="566"/>
      <c r="CW60" s="567"/>
      <c r="CX60" s="565">
        <v>0.89999999999999991</v>
      </c>
      <c r="CY60" s="566"/>
      <c r="CZ60" s="566"/>
      <c r="DA60" s="567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</row>
    <row r="61" spans="1:135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605">
        <v>0.87172983433540296</v>
      </c>
      <c r="CI61" s="606"/>
      <c r="CJ61" s="606"/>
      <c r="CK61" s="607"/>
      <c r="CL61" s="558">
        <v>0.57735006603666861</v>
      </c>
      <c r="CM61" s="559"/>
      <c r="CN61" s="559"/>
      <c r="CO61" s="560"/>
      <c r="CP61" s="558">
        <v>0.82190400150149978</v>
      </c>
      <c r="CQ61" s="559"/>
      <c r="CR61" s="559"/>
      <c r="CS61" s="560"/>
      <c r="CT61" s="558">
        <v>0.73898967666689241</v>
      </c>
      <c r="CU61" s="559"/>
      <c r="CV61" s="559"/>
      <c r="CW61" s="560"/>
      <c r="CX61" s="558">
        <v>0.7127479147350203</v>
      </c>
      <c r="CY61" s="559"/>
      <c r="CZ61" s="559"/>
      <c r="DA61" s="560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</row>
    <row r="62" spans="1:135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605">
        <v>0.9</v>
      </c>
      <c r="CI62" s="606"/>
      <c r="CJ62" s="606"/>
      <c r="CK62" s="607"/>
      <c r="CL62" s="558">
        <v>0.9</v>
      </c>
      <c r="CM62" s="559"/>
      <c r="CN62" s="559"/>
      <c r="CO62" s="560"/>
      <c r="CP62" s="558">
        <v>0.9</v>
      </c>
      <c r="CQ62" s="559"/>
      <c r="CR62" s="559"/>
      <c r="CS62" s="560"/>
      <c r="CT62" s="558">
        <v>0.90000000000000013</v>
      </c>
      <c r="CU62" s="559"/>
      <c r="CV62" s="559"/>
      <c r="CW62" s="560"/>
      <c r="CX62" s="558">
        <v>0.9</v>
      </c>
      <c r="CY62" s="559"/>
      <c r="CZ62" s="559"/>
      <c r="DA62" s="560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</row>
    <row r="63" spans="1:135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605">
        <v>0.89999999999999991</v>
      </c>
      <c r="CI63" s="606"/>
      <c r="CJ63" s="606"/>
      <c r="CK63" s="607"/>
      <c r="CL63" s="558">
        <v>0.90000000000000013</v>
      </c>
      <c r="CM63" s="559"/>
      <c r="CN63" s="559"/>
      <c r="CO63" s="560"/>
      <c r="CP63" s="558">
        <v>0.90000000000000024</v>
      </c>
      <c r="CQ63" s="559"/>
      <c r="CR63" s="559"/>
      <c r="CS63" s="560"/>
      <c r="CT63" s="558">
        <v>0.90000000000000058</v>
      </c>
      <c r="CU63" s="559"/>
      <c r="CV63" s="559"/>
      <c r="CW63" s="560"/>
      <c r="CX63" s="558">
        <v>0.90000000000000036</v>
      </c>
      <c r="CY63" s="559"/>
      <c r="CZ63" s="559"/>
      <c r="DA63" s="560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</row>
    <row r="64" spans="1:135" ht="12.75" customHeight="1" x14ac:dyDescent="0.25"/>
    <row r="65" spans="4:105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  <c r="CH65" s="391">
        <v>0</v>
      </c>
      <c r="CI65" s="391">
        <v>0</v>
      </c>
      <c r="CL65" s="391">
        <v>0</v>
      </c>
      <c r="CM65" s="391">
        <v>0</v>
      </c>
      <c r="CP65" s="391">
        <v>0</v>
      </c>
      <c r="CQ65" s="391">
        <v>0</v>
      </c>
      <c r="CT65" s="391">
        <v>0</v>
      </c>
      <c r="CU65" s="391">
        <v>0</v>
      </c>
      <c r="CX65" s="391">
        <v>2425698.6699999981</v>
      </c>
      <c r="CY65" s="391">
        <v>0</v>
      </c>
    </row>
    <row r="66" spans="4:105" x14ac:dyDescent="0.25">
      <c r="D66" s="115"/>
      <c r="E66" s="115"/>
      <c r="F66" s="115"/>
      <c r="G66" s="115"/>
      <c r="H66" s="115">
        <v>2018</v>
      </c>
      <c r="I66" s="115">
        <v>2019</v>
      </c>
      <c r="J66" s="115">
        <v>2020</v>
      </c>
      <c r="K66" s="115">
        <v>2021</v>
      </c>
      <c r="L66" s="115">
        <v>2022</v>
      </c>
      <c r="M66" s="115"/>
      <c r="N66" s="115"/>
      <c r="O66" s="115"/>
      <c r="P66" s="115"/>
      <c r="Q66" s="115"/>
      <c r="R66" s="115"/>
      <c r="S66" s="115"/>
      <c r="T66" s="115"/>
      <c r="U66" s="115"/>
      <c r="BV66" s="391">
        <v>0</v>
      </c>
      <c r="BW66" s="391">
        <v>0</v>
      </c>
      <c r="BX66" s="391">
        <v>0</v>
      </c>
      <c r="BY66" s="391">
        <v>0</v>
      </c>
      <c r="BZ66" s="391">
        <v>0</v>
      </c>
      <c r="CA66" s="391">
        <v>0</v>
      </c>
      <c r="CB66" s="391">
        <v>0</v>
      </c>
      <c r="CC66" s="391">
        <v>0</v>
      </c>
      <c r="CD66" s="391">
        <v>0</v>
      </c>
      <c r="CE66" s="391">
        <v>0</v>
      </c>
      <c r="CF66" s="391">
        <v>0</v>
      </c>
      <c r="CG66" s="391">
        <v>0</v>
      </c>
      <c r="CH66" s="391">
        <v>0</v>
      </c>
      <c r="CI66" s="391">
        <v>0</v>
      </c>
      <c r="CJ66" s="391">
        <v>0</v>
      </c>
      <c r="CK66" s="391">
        <v>0</v>
      </c>
      <c r="CL66" s="391">
        <v>11236172.530000001</v>
      </c>
      <c r="CM66" s="391">
        <v>0</v>
      </c>
      <c r="CN66" s="391">
        <v>0</v>
      </c>
      <c r="CO66" s="391">
        <v>0</v>
      </c>
      <c r="CP66" s="391">
        <v>44820260.720000006</v>
      </c>
      <c r="CQ66" s="391">
        <v>146532.4</v>
      </c>
      <c r="CR66" s="391">
        <v>0</v>
      </c>
      <c r="CS66" s="391">
        <v>0</v>
      </c>
      <c r="CT66" s="391">
        <v>25352384.310000002</v>
      </c>
      <c r="CU66" s="391">
        <v>1934068.2</v>
      </c>
      <c r="CV66" s="391">
        <v>0</v>
      </c>
      <c r="CW66" s="391">
        <v>0</v>
      </c>
      <c r="CX66" s="391">
        <v>27778082.979999997</v>
      </c>
      <c r="CY66" s="391">
        <v>728733.5407034636</v>
      </c>
      <c r="CZ66" s="391">
        <v>0</v>
      </c>
      <c r="DA66" s="391">
        <v>0</v>
      </c>
    </row>
    <row r="67" spans="4:105" x14ac:dyDescent="0.25">
      <c r="F67" s="222" t="s">
        <v>125</v>
      </c>
    </row>
    <row r="68" spans="4:105" ht="13.25" customHeight="1" x14ac:dyDescent="0.25">
      <c r="F68" s="222" t="s">
        <v>126</v>
      </c>
      <c r="H68" s="426">
        <f>BV45*BV61</f>
        <v>15561813.087000003</v>
      </c>
      <c r="I68" s="426">
        <f>BZ45*BZ61</f>
        <v>14890762.251</v>
      </c>
      <c r="J68" s="426">
        <f>CD45*CD61</f>
        <v>13794016.868999999</v>
      </c>
      <c r="K68" s="426">
        <f>CH45*CH61</f>
        <v>12269556.908985389</v>
      </c>
      <c r="L68" s="426">
        <f>CL45*CL61</f>
        <v>9247238.3340000007</v>
      </c>
      <c r="CT68">
        <v>212819</v>
      </c>
      <c r="CX68">
        <v>212819</v>
      </c>
    </row>
    <row r="69" spans="4:105" x14ac:dyDescent="0.25">
      <c r="F69" s="222" t="s">
        <v>38</v>
      </c>
      <c r="H69" s="426">
        <f>BV58*BV63</f>
        <v>895214.73600000003</v>
      </c>
      <c r="I69" s="426">
        <f>BZ58*BZ63</f>
        <v>908274.25800000003</v>
      </c>
      <c r="J69" s="426">
        <f>CD58*CD63</f>
        <v>1192522.149</v>
      </c>
      <c r="K69" s="426">
        <f>CH58*CH63</f>
        <v>1400856.129</v>
      </c>
      <c r="L69" s="426">
        <f>CL58*CL63</f>
        <v>1443859.1460000002</v>
      </c>
    </row>
    <row r="70" spans="4:105" ht="13.25" customHeight="1" x14ac:dyDescent="0.25">
      <c r="F70" s="222" t="s">
        <v>35</v>
      </c>
      <c r="H70" s="426">
        <f>BV47*BV62</f>
        <v>643860.3060000001</v>
      </c>
      <c r="I70" s="426">
        <f>BZ47*BZ62</f>
        <v>274950.81900000008</v>
      </c>
      <c r="J70" s="426">
        <f>CD47*CD62</f>
        <v>239642.08199999999</v>
      </c>
      <c r="K70" s="426">
        <f>CH47*CH62</f>
        <v>669574.47600000002</v>
      </c>
      <c r="L70" s="426">
        <f>CL47*CL62</f>
        <v>495369.4499999999</v>
      </c>
    </row>
    <row r="71" spans="4:105" x14ac:dyDescent="0.25">
      <c r="F71" s="222" t="s">
        <v>127</v>
      </c>
      <c r="H71" s="426">
        <f>BV13*BV60</f>
        <v>1008065.9070000004</v>
      </c>
      <c r="I71" s="426">
        <f>BZ13*BZ60</f>
        <v>3227907.276000001</v>
      </c>
      <c r="J71" s="426">
        <f>CD13*CD60</f>
        <v>620899.29</v>
      </c>
      <c r="K71" s="426">
        <f>CH13*CH60</f>
        <v>785586.37782473746</v>
      </c>
      <c r="L71" s="426">
        <f>CL13*CL60</f>
        <v>1128299.2290000001</v>
      </c>
    </row>
    <row r="72" spans="4:105" x14ac:dyDescent="0.25">
      <c r="F72" s="222" t="s">
        <v>128</v>
      </c>
      <c r="H72" s="426">
        <f>SUM(H68:H71)</f>
        <v>18108954.036000006</v>
      </c>
      <c r="I72" s="426">
        <f>SUM(I68:I71)</f>
        <v>19301894.604000002</v>
      </c>
      <c r="J72" s="426">
        <f>SUM(J68:J71)</f>
        <v>15847080.390000001</v>
      </c>
      <c r="K72" s="426">
        <f>SUM(K68:K71)</f>
        <v>15125573.891810127</v>
      </c>
      <c r="L72" s="426">
        <f>SUM(L68:L71)</f>
        <v>12314766.159</v>
      </c>
      <c r="O72" s="427"/>
    </row>
    <row r="73" spans="4:105" x14ac:dyDescent="0.25">
      <c r="H73" s="427"/>
      <c r="I73" s="427"/>
      <c r="J73" s="427"/>
      <c r="K73" s="427"/>
      <c r="L73" s="427"/>
      <c r="O73" s="427"/>
    </row>
    <row r="74" spans="4:105" x14ac:dyDescent="0.25">
      <c r="F74" s="222" t="s">
        <v>125</v>
      </c>
      <c r="H74" s="115">
        <v>2018</v>
      </c>
      <c r="I74" s="115">
        <v>2019</v>
      </c>
      <c r="J74" s="115">
        <v>2020</v>
      </c>
      <c r="K74" s="115">
        <v>2021</v>
      </c>
      <c r="L74" s="115">
        <v>2022</v>
      </c>
      <c r="AU74" s="220"/>
      <c r="AV74" s="220"/>
      <c r="AW74" s="221"/>
      <c r="AX74" s="221"/>
      <c r="AY74" s="221"/>
      <c r="AZ74" s="221"/>
      <c r="BA74" s="221"/>
      <c r="BB74" s="221"/>
    </row>
    <row r="75" spans="4:105" x14ac:dyDescent="0.25">
      <c r="F75" s="222" t="s">
        <v>126</v>
      </c>
      <c r="H75" s="426">
        <f>H68+H$71*H68/(H$68+H$69)</f>
        <v>16515043.122996347</v>
      </c>
      <c r="I75" s="426">
        <f t="shared" ref="I75:L76" si="136">I68+I$71*I68/(I$68+I$69)</f>
        <v>17933099.661120422</v>
      </c>
      <c r="J75" s="426">
        <f t="shared" si="136"/>
        <v>14365509.411068803</v>
      </c>
      <c r="K75" s="426">
        <f t="shared" si="136"/>
        <v>12974641.440291166</v>
      </c>
      <c r="L75" s="426">
        <f t="shared" si="136"/>
        <v>10223157.962658316</v>
      </c>
      <c r="AU75" s="221"/>
      <c r="AV75" s="221"/>
      <c r="AW75" s="221"/>
      <c r="AX75" s="221"/>
      <c r="AY75" s="221"/>
      <c r="AZ75" s="221"/>
      <c r="BA75" s="221"/>
      <c r="BB75" s="221"/>
    </row>
    <row r="76" spans="4:105" x14ac:dyDescent="0.25">
      <c r="F76" s="222" t="s">
        <v>38</v>
      </c>
      <c r="H76" s="426">
        <f>H69+H$71*H69/(H$68+H$69)</f>
        <v>950050.60700365598</v>
      </c>
      <c r="I76" s="426">
        <f t="shared" si="136"/>
        <v>1093844.1238795791</v>
      </c>
      <c r="J76" s="426">
        <f t="shared" si="136"/>
        <v>1241928.896931197</v>
      </c>
      <c r="K76" s="426">
        <f t="shared" si="136"/>
        <v>1481357.9755189603</v>
      </c>
      <c r="L76" s="426">
        <f t="shared" si="136"/>
        <v>1596238.7463416855</v>
      </c>
    </row>
    <row r="77" spans="4:105" x14ac:dyDescent="0.25">
      <c r="F77" s="222" t="s">
        <v>35</v>
      </c>
      <c r="H77" s="426">
        <f>H70</f>
        <v>643860.3060000001</v>
      </c>
      <c r="I77" s="426">
        <f>I70</f>
        <v>274950.81900000008</v>
      </c>
      <c r="J77" s="426">
        <f>J70</f>
        <v>239642.08199999999</v>
      </c>
      <c r="K77" s="426">
        <f>K70</f>
        <v>669574.47600000002</v>
      </c>
      <c r="L77" s="426">
        <f>L70</f>
        <v>495369.4499999999</v>
      </c>
    </row>
    <row r="78" spans="4:105" x14ac:dyDescent="0.25">
      <c r="F78" s="222" t="s">
        <v>128</v>
      </c>
      <c r="H78" s="426">
        <f>SUM(H75:H77)</f>
        <v>18108954.036000006</v>
      </c>
      <c r="I78" s="426">
        <f>SUM(I75:I77)</f>
        <v>19301894.603999998</v>
      </c>
      <c r="J78" s="426">
        <f>SUM(J75:J77)</f>
        <v>15847080.390000001</v>
      </c>
      <c r="K78" s="426">
        <f>SUM(K75:K77)</f>
        <v>15125573.891810127</v>
      </c>
      <c r="L78" s="426">
        <f>SUM(L75:L77)</f>
        <v>12314766.159</v>
      </c>
    </row>
    <row r="79" spans="4:105" ht="13" x14ac:dyDescent="0.3">
      <c r="F79" s="1" t="s">
        <v>133</v>
      </c>
      <c r="H79" s="427">
        <f>H72-H78</f>
        <v>0</v>
      </c>
      <c r="I79" s="427">
        <f>I72-I78</f>
        <v>0</v>
      </c>
      <c r="J79" s="427">
        <f>J72-J78</f>
        <v>0</v>
      </c>
      <c r="K79" s="427">
        <f>K72-K78</f>
        <v>0</v>
      </c>
      <c r="L79" s="427">
        <f>L72-L78</f>
        <v>0</v>
      </c>
    </row>
    <row r="80" spans="4:105" ht="13" x14ac:dyDescent="0.3">
      <c r="F80" s="428" t="s">
        <v>125</v>
      </c>
      <c r="G80" s="428"/>
      <c r="H80" s="429" t="s">
        <v>129</v>
      </c>
      <c r="I80" s="429" t="s">
        <v>130</v>
      </c>
      <c r="J80" s="429" t="s">
        <v>131</v>
      </c>
      <c r="K80" s="429" t="s">
        <v>132</v>
      </c>
    </row>
    <row r="81" spans="6:45" ht="13.25" customHeight="1" x14ac:dyDescent="0.25">
      <c r="F81" s="222" t="s">
        <v>126</v>
      </c>
      <c r="H81" s="426">
        <f>H75/2+I75/2</f>
        <v>17224071.392058384</v>
      </c>
      <c r="I81" s="426">
        <f>I75/2+J75/2</f>
        <v>16149304.536094613</v>
      </c>
      <c r="J81" s="426">
        <f>J75/2+K75/2</f>
        <v>13670075.425679985</v>
      </c>
      <c r="K81" s="426">
        <f>K75/2+L75</f>
        <v>16710478.682803899</v>
      </c>
      <c r="L81" s="426"/>
      <c r="AO81"/>
      <c r="AS81"/>
    </row>
    <row r="82" spans="6:45" x14ac:dyDescent="0.25">
      <c r="F82" s="222" t="s">
        <v>38</v>
      </c>
      <c r="H82" s="426">
        <f t="shared" ref="H82:J83" si="137">H76/2+I76/2</f>
        <v>1021947.3654416176</v>
      </c>
      <c r="I82" s="426">
        <f t="shared" si="137"/>
        <v>1167886.5104053882</v>
      </c>
      <c r="J82" s="426">
        <f t="shared" si="137"/>
        <v>1361643.4362250785</v>
      </c>
      <c r="K82" s="426">
        <f>K76/2+L76</f>
        <v>2336917.7341011656</v>
      </c>
      <c r="L82" s="426"/>
      <c r="AO82"/>
      <c r="AS82"/>
    </row>
    <row r="83" spans="6:45" x14ac:dyDescent="0.25">
      <c r="F83" s="222" t="s">
        <v>35</v>
      </c>
      <c r="H83" s="426">
        <f t="shared" si="137"/>
        <v>459405.56250000012</v>
      </c>
      <c r="I83" s="426">
        <f t="shared" si="137"/>
        <v>257296.45050000004</v>
      </c>
      <c r="J83" s="426">
        <f t="shared" si="137"/>
        <v>454608.27899999998</v>
      </c>
      <c r="K83" s="426">
        <f>K77/2+L77</f>
        <v>830156.68799999985</v>
      </c>
      <c r="L83" s="426"/>
      <c r="AO83"/>
      <c r="AS83"/>
    </row>
    <row r="84" spans="6:45" x14ac:dyDescent="0.25">
      <c r="F84" s="222" t="s">
        <v>128</v>
      </c>
      <c r="H84" s="426">
        <f>SUM(H81:H83)</f>
        <v>18705424.32</v>
      </c>
      <c r="I84" s="426">
        <f>SUM(I81:I83)</f>
        <v>17574487.497000001</v>
      </c>
      <c r="J84" s="426">
        <f>SUM(J81:J83)</f>
        <v>15486327.140905064</v>
      </c>
      <c r="K84" s="426">
        <f>SUM(K81:K83)</f>
        <v>19877553.104905065</v>
      </c>
      <c r="L84" s="426"/>
      <c r="AO84"/>
      <c r="AS84"/>
    </row>
    <row r="85" spans="6:45" x14ac:dyDescent="0.25">
      <c r="H85" s="427">
        <v>0</v>
      </c>
      <c r="I85" s="427">
        <v>0</v>
      </c>
      <c r="J85" s="427">
        <v>-1566.6794709302485</v>
      </c>
      <c r="K85" s="427">
        <v>5008120.70852907</v>
      </c>
      <c r="AO85"/>
      <c r="AS85"/>
    </row>
    <row r="86" spans="6:45" x14ac:dyDescent="0.25">
      <c r="AO86"/>
      <c r="AS86"/>
    </row>
    <row r="87" spans="6:45" x14ac:dyDescent="0.25">
      <c r="AO87"/>
      <c r="AS87"/>
    </row>
    <row r="88" spans="6:45" x14ac:dyDescent="0.25">
      <c r="AO88"/>
      <c r="AS88"/>
    </row>
    <row r="89" spans="6:45" x14ac:dyDescent="0.25">
      <c r="AO89"/>
      <c r="AS89"/>
    </row>
    <row r="90" spans="6:45" x14ac:dyDescent="0.25">
      <c r="AO90"/>
      <c r="AS90"/>
    </row>
    <row r="91" spans="6:45" x14ac:dyDescent="0.25">
      <c r="AO91"/>
      <c r="AS91"/>
    </row>
    <row r="92" spans="6:45" x14ac:dyDescent="0.25">
      <c r="AO92"/>
      <c r="AS92"/>
    </row>
    <row r="93" spans="6:45" x14ac:dyDescent="0.25">
      <c r="AO93"/>
      <c r="AS93"/>
    </row>
    <row r="94" spans="6:45" x14ac:dyDescent="0.25">
      <c r="AO94"/>
      <c r="AS94"/>
    </row>
    <row r="95" spans="6:45" x14ac:dyDescent="0.25">
      <c r="AO95"/>
      <c r="AS95"/>
    </row>
    <row r="96" spans="6:45" x14ac:dyDescent="0.25">
      <c r="AO96"/>
      <c r="AS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68"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BG2:BI2"/>
    <mergeCell ref="BJ2:BM2"/>
    <mergeCell ref="BN2:BQ2"/>
    <mergeCell ref="BR2:BU2"/>
    <mergeCell ref="AA2:AD2"/>
    <mergeCell ref="AE2:AH2"/>
    <mergeCell ref="AI2:AL2"/>
    <mergeCell ref="AM2:AP2"/>
    <mergeCell ref="AQ2:AT2"/>
    <mergeCell ref="AU2:AX2"/>
    <mergeCell ref="L3:L4"/>
    <mergeCell ref="M3:M4"/>
    <mergeCell ref="N3:N4"/>
    <mergeCell ref="O3:O4"/>
    <mergeCell ref="P3:P4"/>
    <mergeCell ref="Q3:Q4"/>
    <mergeCell ref="CT2:CW2"/>
    <mergeCell ref="EC2:EE2"/>
    <mergeCell ref="D3:D4"/>
    <mergeCell ref="E3:E4"/>
    <mergeCell ref="F3:F4"/>
    <mergeCell ref="G3:G4"/>
    <mergeCell ref="H3:H4"/>
    <mergeCell ref="I3:I4"/>
    <mergeCell ref="J3:J4"/>
    <mergeCell ref="K3:K4"/>
    <mergeCell ref="BV2:BY2"/>
    <mergeCell ref="BZ2:CC2"/>
    <mergeCell ref="CD2:CG2"/>
    <mergeCell ref="CH2:CK2"/>
    <mergeCell ref="CL2:CO2"/>
    <mergeCell ref="CP2:CS2"/>
    <mergeCell ref="AY2:BB2"/>
    <mergeCell ref="BC2:BF2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J3:AJ4"/>
    <mergeCell ref="AK3:AK4"/>
    <mergeCell ref="AL3:AL4"/>
    <mergeCell ref="AM3:AM4"/>
    <mergeCell ref="AN3:AN4"/>
    <mergeCell ref="AO3:AO4"/>
    <mergeCell ref="AD3:AD4"/>
    <mergeCell ref="AE3:AE4"/>
    <mergeCell ref="AF3:AF4"/>
    <mergeCell ref="AG3:AG4"/>
    <mergeCell ref="AH3:AH4"/>
    <mergeCell ref="AI3:AI4"/>
    <mergeCell ref="AV3:AV4"/>
    <mergeCell ref="AW3:AW4"/>
    <mergeCell ref="AX3:AX4"/>
    <mergeCell ref="AY3:AY4"/>
    <mergeCell ref="AZ3:AZ4"/>
    <mergeCell ref="BA3:BA4"/>
    <mergeCell ref="AP3:AP4"/>
    <mergeCell ref="AQ3:AQ4"/>
    <mergeCell ref="AR3:AR4"/>
    <mergeCell ref="AS3:AS4"/>
    <mergeCell ref="AT3:AT4"/>
    <mergeCell ref="AU3:AU4"/>
    <mergeCell ref="BK3:BK4"/>
    <mergeCell ref="BL3:BL4"/>
    <mergeCell ref="BM3:BM4"/>
    <mergeCell ref="BN3:BN4"/>
    <mergeCell ref="BO3:BO4"/>
    <mergeCell ref="BP3:BP4"/>
    <mergeCell ref="BB3:BB4"/>
    <mergeCell ref="BC3:BC4"/>
    <mergeCell ref="BG3:BG4"/>
    <mergeCell ref="BH3:BH4"/>
    <mergeCell ref="BI3:BI4"/>
    <mergeCell ref="BJ3:BJ4"/>
    <mergeCell ref="BW3:BW4"/>
    <mergeCell ref="BX3:BX4"/>
    <mergeCell ref="BY3:BY4"/>
    <mergeCell ref="BZ3:BZ4"/>
    <mergeCell ref="CA3:CA4"/>
    <mergeCell ref="CB3:CB4"/>
    <mergeCell ref="BQ3:BQ4"/>
    <mergeCell ref="BR3:BR4"/>
    <mergeCell ref="BS3:BS4"/>
    <mergeCell ref="BT3:BT4"/>
    <mergeCell ref="BU3:BU4"/>
    <mergeCell ref="BV3:BV4"/>
    <mergeCell ref="CI3:CI4"/>
    <mergeCell ref="CJ3:CJ4"/>
    <mergeCell ref="CK3:CK4"/>
    <mergeCell ref="CL3:CL4"/>
    <mergeCell ref="CM3:CM4"/>
    <mergeCell ref="CN3:CN4"/>
    <mergeCell ref="CC3:CC4"/>
    <mergeCell ref="CD3:CD4"/>
    <mergeCell ref="CE3:CE4"/>
    <mergeCell ref="CF3:CF4"/>
    <mergeCell ref="CG3:CG4"/>
    <mergeCell ref="CH3:CH4"/>
    <mergeCell ref="DJ3:DJ4"/>
    <mergeCell ref="CU3:CU4"/>
    <mergeCell ref="CV3:CV4"/>
    <mergeCell ref="CW3:CW4"/>
    <mergeCell ref="DB3:DB4"/>
    <mergeCell ref="DC3:DC4"/>
    <mergeCell ref="DD3:DD4"/>
    <mergeCell ref="CO3:CO4"/>
    <mergeCell ref="CP3:CP4"/>
    <mergeCell ref="CQ3:CQ4"/>
    <mergeCell ref="CR3:CR4"/>
    <mergeCell ref="CS3:CS4"/>
    <mergeCell ref="CT3:CT4"/>
    <mergeCell ref="ED3:ED4"/>
    <mergeCell ref="EE3:EE4"/>
    <mergeCell ref="A5:A13"/>
    <mergeCell ref="A46:A47"/>
    <mergeCell ref="A48:A58"/>
    <mergeCell ref="A60:A63"/>
    <mergeCell ref="B60:C60"/>
    <mergeCell ref="D60:F60"/>
    <mergeCell ref="G60:J60"/>
    <mergeCell ref="K60:N60"/>
    <mergeCell ref="DW3:DW4"/>
    <mergeCell ref="DX3:DX4"/>
    <mergeCell ref="DY3:DY4"/>
    <mergeCell ref="DZ3:DZ4"/>
    <mergeCell ref="EA3:EA4"/>
    <mergeCell ref="EC3:EC4"/>
    <mergeCell ref="DQ3:DQ4"/>
    <mergeCell ref="DR3:DR4"/>
    <mergeCell ref="DS3:DS4"/>
    <mergeCell ref="DT3:DT4"/>
    <mergeCell ref="DU3:DU4"/>
    <mergeCell ref="DV3:DV4"/>
    <mergeCell ref="DK3:DK4"/>
    <mergeCell ref="DL3:DL4"/>
    <mergeCell ref="B61:C61"/>
    <mergeCell ref="D61:F61"/>
    <mergeCell ref="G61:J61"/>
    <mergeCell ref="K61:N61"/>
    <mergeCell ref="O61:R61"/>
    <mergeCell ref="S61:V61"/>
    <mergeCell ref="W61:Z61"/>
    <mergeCell ref="BN60:BQ60"/>
    <mergeCell ref="BR60:BU60"/>
    <mergeCell ref="AM60:AP60"/>
    <mergeCell ref="AQ60:AT60"/>
    <mergeCell ref="AU60:AX60"/>
    <mergeCell ref="AY60:BB60"/>
    <mergeCell ref="BC60:BF60"/>
    <mergeCell ref="BJ60:BM60"/>
    <mergeCell ref="O60:R60"/>
    <mergeCell ref="S60:V60"/>
    <mergeCell ref="W60:Z60"/>
    <mergeCell ref="AA60:AD60"/>
    <mergeCell ref="AE60:AH60"/>
    <mergeCell ref="AI60:AL60"/>
    <mergeCell ref="AA61:AD61"/>
    <mergeCell ref="AE61:AH61"/>
    <mergeCell ref="AI61:AL61"/>
    <mergeCell ref="AM61:AP61"/>
    <mergeCell ref="AQ61:AT61"/>
    <mergeCell ref="AU61:AX61"/>
    <mergeCell ref="CL60:CO60"/>
    <mergeCell ref="CP60:CS60"/>
    <mergeCell ref="CT60:CW60"/>
    <mergeCell ref="BV60:BY60"/>
    <mergeCell ref="BZ60:CC60"/>
    <mergeCell ref="CD60:CG60"/>
    <mergeCell ref="CH60:CK60"/>
    <mergeCell ref="BZ61:CC61"/>
    <mergeCell ref="CD61:CG61"/>
    <mergeCell ref="CH61:CK61"/>
    <mergeCell ref="CL61:CO61"/>
    <mergeCell ref="CP61:CS61"/>
    <mergeCell ref="CT61:CW61"/>
    <mergeCell ref="AY61:BB61"/>
    <mergeCell ref="BC61:BF61"/>
    <mergeCell ref="BJ61:BM61"/>
    <mergeCell ref="BN61:BQ61"/>
    <mergeCell ref="BR61:BU61"/>
    <mergeCell ref="BV61:BY61"/>
    <mergeCell ref="W62:Z62"/>
    <mergeCell ref="AA62:AD62"/>
    <mergeCell ref="AE62:AH62"/>
    <mergeCell ref="AI62:AL62"/>
    <mergeCell ref="AM62:AP62"/>
    <mergeCell ref="AQ62:AT62"/>
    <mergeCell ref="B62:C62"/>
    <mergeCell ref="D62:F62"/>
    <mergeCell ref="G62:J62"/>
    <mergeCell ref="K62:N62"/>
    <mergeCell ref="O62:R62"/>
    <mergeCell ref="S62:V62"/>
    <mergeCell ref="BV62:BY62"/>
    <mergeCell ref="BZ62:CC62"/>
    <mergeCell ref="CD62:CG62"/>
    <mergeCell ref="CH62:CK62"/>
    <mergeCell ref="CL62:CO62"/>
    <mergeCell ref="CP62:CS62"/>
    <mergeCell ref="AU62:AX62"/>
    <mergeCell ref="AY62:BB62"/>
    <mergeCell ref="BC62:BF62"/>
    <mergeCell ref="BJ62:BM62"/>
    <mergeCell ref="BN62:BQ62"/>
    <mergeCell ref="BR62:BU62"/>
    <mergeCell ref="B63:C63"/>
    <mergeCell ref="D63:F63"/>
    <mergeCell ref="G63:J63"/>
    <mergeCell ref="K63:N63"/>
    <mergeCell ref="O63:R63"/>
    <mergeCell ref="S63:V63"/>
    <mergeCell ref="W63:Z63"/>
    <mergeCell ref="AA63:AD63"/>
    <mergeCell ref="AE63:AH63"/>
    <mergeCell ref="BJ63:BM63"/>
    <mergeCell ref="BN63:BQ63"/>
    <mergeCell ref="BR63:BU63"/>
    <mergeCell ref="BV63:BY63"/>
    <mergeCell ref="BZ63:CC63"/>
    <mergeCell ref="CD63:CG63"/>
    <mergeCell ref="AI63:AL63"/>
    <mergeCell ref="AM63:AP63"/>
    <mergeCell ref="AQ63:AT63"/>
    <mergeCell ref="AU63:AX63"/>
    <mergeCell ref="AY63:BB63"/>
    <mergeCell ref="BC63:BF63"/>
    <mergeCell ref="CX61:DA61"/>
    <mergeCell ref="CX62:DA62"/>
    <mergeCell ref="CX63:DA63"/>
    <mergeCell ref="EB3:EB4"/>
    <mergeCell ref="CH63:CK63"/>
    <mergeCell ref="CL63:CO63"/>
    <mergeCell ref="CP63:CS63"/>
    <mergeCell ref="CT63:CW63"/>
    <mergeCell ref="CX2:DA2"/>
    <mergeCell ref="CX3:CX4"/>
    <mergeCell ref="CY3:CY4"/>
    <mergeCell ref="CZ3:CZ4"/>
    <mergeCell ref="DA3:DA4"/>
    <mergeCell ref="CX60:DA60"/>
    <mergeCell ref="CT62:CW62"/>
    <mergeCell ref="DM3:DM4"/>
    <mergeCell ref="DN3:DN4"/>
    <mergeCell ref="DO3:DO4"/>
    <mergeCell ref="DP3:DP4"/>
    <mergeCell ref="DE3:DE4"/>
    <mergeCell ref="DF3:DF4"/>
    <mergeCell ref="DG3:DG4"/>
    <mergeCell ref="DH3:DH4"/>
    <mergeCell ref="DI3:D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87F8E-CD37-4277-BBDB-DDE2BE98D613}">
  <sheetPr codeName="Hoja6"/>
  <dimension ref="A1:CA426"/>
  <sheetViews>
    <sheetView showGridLines="0" zoomScale="85" zoomScaleNormal="85" workbookViewId="0">
      <pane xSplit="3" ySplit="4" topLeftCell="BP5" activePane="bottomRight" state="frozen"/>
      <selection pane="topRight" activeCell="D1" sqref="D1"/>
      <selection pane="bottomLeft" activeCell="A5" sqref="A5"/>
      <selection pane="bottomRight" activeCell="BU7" sqref="BU7"/>
    </sheetView>
  </sheetViews>
  <sheetFormatPr baseColWidth="10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2.81640625" customWidth="1"/>
    <col min="5" max="5" width="11" customWidth="1"/>
    <col min="6" max="6" width="12" customWidth="1"/>
    <col min="7" max="7" width="11.453125" customWidth="1"/>
    <col min="8" max="38" width="10.81640625" customWidth="1"/>
    <col min="39" max="39" width="12.54296875" customWidth="1"/>
    <col min="40" max="40" width="10.81640625" customWidth="1"/>
    <col min="41" max="41" width="10.81640625" style="57" customWidth="1"/>
    <col min="42" max="42" width="10.81640625" customWidth="1"/>
    <col min="43" max="43" width="17.1796875" bestFit="1" customWidth="1"/>
    <col min="44" max="44" width="10.81640625" customWidth="1"/>
    <col min="45" max="45" width="17.81640625" style="57" bestFit="1" customWidth="1"/>
    <col min="46" max="46" width="22.81640625" bestFit="1" customWidth="1"/>
    <col min="47" max="47" width="17.1796875" bestFit="1" customWidth="1"/>
    <col min="48" max="48" width="10.81640625" customWidth="1"/>
    <col min="49" max="49" width="17.81640625" bestFit="1" customWidth="1"/>
    <col min="50" max="50" width="22.81640625" bestFit="1" customWidth="1"/>
    <col min="51" max="51" width="21.1796875" customWidth="1"/>
    <col min="52" max="52" width="10.81640625" customWidth="1"/>
    <col min="53" max="53" width="17.81640625" bestFit="1" customWidth="1"/>
    <col min="54" max="54" width="22.81640625" bestFit="1" customWidth="1"/>
    <col min="55" max="55" width="24.1796875" style="191" bestFit="1" customWidth="1"/>
    <col min="56" max="56" width="10.81640625" style="191" customWidth="1"/>
    <col min="57" max="57" width="15" style="191" customWidth="1"/>
    <col min="58" max="58" width="10.81640625" style="191" customWidth="1"/>
    <col min="59" max="73" width="11.1796875" customWidth="1"/>
    <col min="74" max="74" width="25.81640625" bestFit="1" customWidth="1"/>
    <col min="75" max="75" width="13" customWidth="1"/>
    <col min="76" max="76" width="15.453125" customWidth="1"/>
  </cols>
  <sheetData>
    <row r="1" spans="1:76" x14ac:dyDescent="0.25">
      <c r="A1" s="520" t="s">
        <v>55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  <c r="AP1" s="521"/>
      <c r="AQ1" s="521"/>
      <c r="AR1" s="521"/>
      <c r="AS1" s="521"/>
      <c r="AT1" s="521"/>
      <c r="AU1" s="521"/>
      <c r="AV1" s="521"/>
      <c r="AW1" s="521"/>
      <c r="AX1" s="521"/>
      <c r="AY1" s="521"/>
      <c r="AZ1" s="521"/>
      <c r="BA1" s="521"/>
      <c r="BB1" s="521"/>
      <c r="BC1" s="521"/>
      <c r="BD1" s="521"/>
      <c r="BE1" s="521"/>
      <c r="BF1" s="521"/>
      <c r="BG1" s="521"/>
      <c r="BH1" s="521"/>
      <c r="BI1" s="521"/>
      <c r="BJ1" s="521"/>
      <c r="BK1" s="521"/>
    </row>
    <row r="2" spans="1:76" ht="12.75" customHeight="1" x14ac:dyDescent="0.25">
      <c r="A2" s="522" t="s">
        <v>0</v>
      </c>
      <c r="B2" s="522" t="s">
        <v>1</v>
      </c>
      <c r="C2" s="523" t="s">
        <v>2</v>
      </c>
      <c r="D2" s="524" t="s">
        <v>68</v>
      </c>
      <c r="E2" s="525"/>
      <c r="F2" s="526"/>
      <c r="G2" s="530">
        <v>2002</v>
      </c>
      <c r="H2" s="531"/>
      <c r="I2" s="531"/>
      <c r="J2" s="532"/>
      <c r="K2" s="503">
        <v>2003</v>
      </c>
      <c r="L2" s="504"/>
      <c r="M2" s="504"/>
      <c r="N2" s="505"/>
      <c r="O2" s="533">
        <v>2004</v>
      </c>
      <c r="P2" s="534"/>
      <c r="Q2" s="534"/>
      <c r="R2" s="535"/>
      <c r="S2" s="506">
        <v>2005</v>
      </c>
      <c r="T2" s="507"/>
      <c r="U2" s="507"/>
      <c r="V2" s="508"/>
      <c r="W2" s="530">
        <v>2006</v>
      </c>
      <c r="X2" s="531"/>
      <c r="Y2" s="531"/>
      <c r="Z2" s="532"/>
      <c r="AA2" s="503">
        <v>2007</v>
      </c>
      <c r="AB2" s="504"/>
      <c r="AC2" s="504"/>
      <c r="AD2" s="505"/>
      <c r="AE2" s="533">
        <v>2008</v>
      </c>
      <c r="AF2" s="534"/>
      <c r="AG2" s="534"/>
      <c r="AH2" s="535"/>
      <c r="AI2" s="506">
        <v>2009</v>
      </c>
      <c r="AJ2" s="507"/>
      <c r="AK2" s="507"/>
      <c r="AL2" s="508"/>
      <c r="AM2" s="509">
        <v>2010</v>
      </c>
      <c r="AN2" s="510"/>
      <c r="AO2" s="510"/>
      <c r="AP2" s="511"/>
      <c r="AQ2" s="512">
        <v>2011</v>
      </c>
      <c r="AR2" s="513"/>
      <c r="AS2" s="513"/>
      <c r="AT2" s="514"/>
      <c r="AU2" s="515">
        <v>2012</v>
      </c>
      <c r="AV2" s="516"/>
      <c r="AW2" s="516"/>
      <c r="AX2" s="517"/>
      <c r="AY2" s="527">
        <v>2013</v>
      </c>
      <c r="AZ2" s="528"/>
      <c r="BA2" s="528"/>
      <c r="BB2" s="529"/>
      <c r="BC2" s="435">
        <v>2014</v>
      </c>
      <c r="BD2" s="436"/>
      <c r="BE2" s="436"/>
      <c r="BF2" s="437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498">
        <v>2014</v>
      </c>
      <c r="BW2" s="499"/>
      <c r="BX2" s="500"/>
    </row>
    <row r="3" spans="1:76" s="1" customFormat="1" ht="12.75" customHeight="1" x14ac:dyDescent="0.3">
      <c r="A3" s="522"/>
      <c r="B3" s="522"/>
      <c r="C3" s="523"/>
      <c r="D3" s="501" t="s">
        <v>69</v>
      </c>
      <c r="E3" s="501" t="s">
        <v>3</v>
      </c>
      <c r="F3" s="501" t="s">
        <v>70</v>
      </c>
      <c r="G3" s="492" t="s">
        <v>5</v>
      </c>
      <c r="H3" s="492" t="s">
        <v>4</v>
      </c>
      <c r="I3" s="492" t="s">
        <v>3</v>
      </c>
      <c r="J3" s="492" t="s">
        <v>45</v>
      </c>
      <c r="K3" s="494" t="s">
        <v>5</v>
      </c>
      <c r="L3" s="494" t="s">
        <v>4</v>
      </c>
      <c r="M3" s="494" t="s">
        <v>3</v>
      </c>
      <c r="N3" s="494" t="s">
        <v>45</v>
      </c>
      <c r="O3" s="518" t="s">
        <v>5</v>
      </c>
      <c r="P3" s="518" t="s">
        <v>4</v>
      </c>
      <c r="Q3" s="518" t="s">
        <v>3</v>
      </c>
      <c r="R3" s="518" t="s">
        <v>45</v>
      </c>
      <c r="S3" s="486" t="s">
        <v>5</v>
      </c>
      <c r="T3" s="486" t="s">
        <v>4</v>
      </c>
      <c r="U3" s="486" t="s">
        <v>3</v>
      </c>
      <c r="V3" s="486" t="s">
        <v>45</v>
      </c>
      <c r="W3" s="492" t="s">
        <v>5</v>
      </c>
      <c r="X3" s="492" t="s">
        <v>4</v>
      </c>
      <c r="Y3" s="492" t="s">
        <v>3</v>
      </c>
      <c r="Z3" s="492" t="s">
        <v>45</v>
      </c>
      <c r="AA3" s="494" t="s">
        <v>5</v>
      </c>
      <c r="AB3" s="494" t="s">
        <v>4</v>
      </c>
      <c r="AC3" s="494" t="s">
        <v>3</v>
      </c>
      <c r="AD3" s="494" t="s">
        <v>45</v>
      </c>
      <c r="AE3" s="518" t="s">
        <v>5</v>
      </c>
      <c r="AF3" s="518" t="s">
        <v>4</v>
      </c>
      <c r="AG3" s="518" t="s">
        <v>3</v>
      </c>
      <c r="AH3" s="518" t="s">
        <v>45</v>
      </c>
      <c r="AI3" s="486" t="s">
        <v>5</v>
      </c>
      <c r="AJ3" s="486" t="s">
        <v>4</v>
      </c>
      <c r="AK3" s="486" t="s">
        <v>3</v>
      </c>
      <c r="AL3" s="486" t="s">
        <v>45</v>
      </c>
      <c r="AM3" s="488" t="s">
        <v>5</v>
      </c>
      <c r="AN3" s="488" t="s">
        <v>4</v>
      </c>
      <c r="AO3" s="488" t="s">
        <v>3</v>
      </c>
      <c r="AP3" s="488" t="s">
        <v>93</v>
      </c>
      <c r="AQ3" s="496" t="s">
        <v>5</v>
      </c>
      <c r="AR3" s="484" t="s">
        <v>4</v>
      </c>
      <c r="AS3" s="484" t="s">
        <v>3</v>
      </c>
      <c r="AT3" s="484" t="s">
        <v>93</v>
      </c>
      <c r="AU3" s="449" t="s">
        <v>5</v>
      </c>
      <c r="AV3" s="449" t="s">
        <v>4</v>
      </c>
      <c r="AW3" s="449" t="s">
        <v>3</v>
      </c>
      <c r="AX3" s="449" t="s">
        <v>93</v>
      </c>
      <c r="AY3" s="451" t="s">
        <v>5</v>
      </c>
      <c r="AZ3" s="447" t="s">
        <v>4</v>
      </c>
      <c r="BA3" s="447" t="s">
        <v>3</v>
      </c>
      <c r="BB3" s="447" t="s">
        <v>93</v>
      </c>
      <c r="BC3" s="453" t="s">
        <v>5</v>
      </c>
      <c r="BD3" s="192" t="s">
        <v>4</v>
      </c>
      <c r="BE3" s="192" t="s">
        <v>3</v>
      </c>
      <c r="BF3" s="192" t="s">
        <v>93</v>
      </c>
      <c r="BG3" s="476" t="s">
        <v>63</v>
      </c>
      <c r="BH3" s="476" t="s">
        <v>71</v>
      </c>
      <c r="BI3" s="476" t="s">
        <v>72</v>
      </c>
      <c r="BJ3" s="476" t="s">
        <v>73</v>
      </c>
      <c r="BK3" s="476" t="s">
        <v>74</v>
      </c>
      <c r="BL3" s="476" t="s">
        <v>75</v>
      </c>
      <c r="BM3" s="476" t="s">
        <v>62</v>
      </c>
      <c r="BN3" s="476" t="s">
        <v>64</v>
      </c>
      <c r="BO3" s="476" t="s">
        <v>65</v>
      </c>
      <c r="BP3" s="476" t="s">
        <v>66</v>
      </c>
      <c r="BQ3" s="476" t="s">
        <v>67</v>
      </c>
      <c r="BR3" s="476" t="s">
        <v>76</v>
      </c>
      <c r="BS3" s="476" t="s">
        <v>77</v>
      </c>
      <c r="BT3" s="476" t="s">
        <v>78</v>
      </c>
      <c r="BU3" s="476" t="s">
        <v>79</v>
      </c>
      <c r="BV3" s="490" t="s">
        <v>56</v>
      </c>
      <c r="BW3" s="490" t="s">
        <v>57</v>
      </c>
      <c r="BX3" s="490" t="s">
        <v>58</v>
      </c>
    </row>
    <row r="4" spans="1:76" ht="26.25" customHeight="1" x14ac:dyDescent="0.25">
      <c r="A4" s="522"/>
      <c r="B4" s="522"/>
      <c r="C4" s="523"/>
      <c r="D4" s="502"/>
      <c r="E4" s="502"/>
      <c r="F4" s="502"/>
      <c r="G4" s="493"/>
      <c r="H4" s="493"/>
      <c r="I4" s="493"/>
      <c r="J4" s="493"/>
      <c r="K4" s="495"/>
      <c r="L4" s="495"/>
      <c r="M4" s="495"/>
      <c r="N4" s="495"/>
      <c r="O4" s="519"/>
      <c r="P4" s="519"/>
      <c r="Q4" s="519"/>
      <c r="R4" s="519"/>
      <c r="S4" s="487"/>
      <c r="T4" s="487"/>
      <c r="U4" s="487"/>
      <c r="V4" s="487"/>
      <c r="W4" s="493"/>
      <c r="X4" s="493"/>
      <c r="Y4" s="493"/>
      <c r="Z4" s="493"/>
      <c r="AA4" s="495"/>
      <c r="AB4" s="495"/>
      <c r="AC4" s="495"/>
      <c r="AD4" s="495"/>
      <c r="AE4" s="519"/>
      <c r="AF4" s="519"/>
      <c r="AG4" s="519"/>
      <c r="AH4" s="519"/>
      <c r="AI4" s="487"/>
      <c r="AJ4" s="487"/>
      <c r="AK4" s="487"/>
      <c r="AL4" s="487"/>
      <c r="AM4" s="489"/>
      <c r="AN4" s="489"/>
      <c r="AO4" s="489"/>
      <c r="AP4" s="489"/>
      <c r="AQ4" s="497"/>
      <c r="AR4" s="485"/>
      <c r="AS4" s="485"/>
      <c r="AT4" s="485"/>
      <c r="AU4" s="450"/>
      <c r="AV4" s="450"/>
      <c r="AW4" s="450"/>
      <c r="AX4" s="450"/>
      <c r="AY4" s="452"/>
      <c r="AZ4" s="448"/>
      <c r="BA4" s="448"/>
      <c r="BB4" s="448"/>
      <c r="BC4" s="454"/>
      <c r="BD4" s="193"/>
      <c r="BE4" s="193"/>
      <c r="BF4" s="193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477"/>
      <c r="BU4" s="477"/>
      <c r="BV4" s="491"/>
      <c r="BW4" s="491"/>
      <c r="BX4" s="491"/>
    </row>
    <row r="5" spans="1:76" ht="12.75" customHeight="1" x14ac:dyDescent="0.25">
      <c r="A5" s="478" t="s">
        <v>6</v>
      </c>
      <c r="B5" s="3" t="s">
        <v>7</v>
      </c>
      <c r="C5" s="7">
        <v>4</v>
      </c>
      <c r="D5" s="37">
        <v>2192460.6575303557</v>
      </c>
      <c r="E5" s="151"/>
      <c r="F5" s="152">
        <v>1449825.5495615059</v>
      </c>
      <c r="G5" s="87">
        <v>167256.03900000002</v>
      </c>
      <c r="H5" s="88"/>
      <c r="I5" s="127"/>
      <c r="J5" s="88"/>
      <c r="K5" s="89">
        <v>48031.15</v>
      </c>
      <c r="L5" s="90"/>
      <c r="M5" s="153"/>
      <c r="N5" s="91"/>
      <c r="O5" s="92">
        <v>65709.412000000011</v>
      </c>
      <c r="P5" s="93"/>
      <c r="Q5" s="94"/>
      <c r="R5" s="93"/>
      <c r="S5" s="154">
        <v>62165.65</v>
      </c>
      <c r="T5" s="114"/>
      <c r="U5" s="154"/>
      <c r="V5" s="155"/>
      <c r="W5" s="58">
        <v>90684.24</v>
      </c>
      <c r="X5" s="58">
        <v>0</v>
      </c>
      <c r="Y5" s="58"/>
      <c r="Z5" s="59"/>
      <c r="AA5" s="60">
        <v>32408.87</v>
      </c>
      <c r="AB5" s="156">
        <v>0</v>
      </c>
      <c r="AC5" s="157"/>
      <c r="AD5" s="61"/>
      <c r="AE5" s="63">
        <v>97632.98</v>
      </c>
      <c r="AF5" s="63">
        <v>0</v>
      </c>
      <c r="AG5" s="158"/>
      <c r="AH5" s="62"/>
      <c r="AI5" s="154">
        <v>249294.06387699995</v>
      </c>
      <c r="AJ5" s="154">
        <v>0</v>
      </c>
      <c r="AK5" s="154"/>
      <c r="AL5" s="155"/>
      <c r="AM5" s="49">
        <v>61005.71</v>
      </c>
      <c r="AN5" s="49">
        <v>0</v>
      </c>
      <c r="AO5" s="49"/>
      <c r="AP5" s="50"/>
      <c r="AQ5" s="159">
        <v>121471.92000000001</v>
      </c>
      <c r="AR5" s="198">
        <v>0</v>
      </c>
      <c r="AS5" s="198"/>
      <c r="AT5" s="198"/>
      <c r="AU5" s="210">
        <v>0</v>
      </c>
      <c r="AV5" s="210">
        <v>0</v>
      </c>
      <c r="AW5" s="210"/>
      <c r="AX5" s="210"/>
      <c r="AY5" s="129">
        <v>12228.079999999998</v>
      </c>
      <c r="AZ5" s="129">
        <v>0</v>
      </c>
      <c r="BA5" s="129"/>
      <c r="BB5" s="129"/>
      <c r="BC5" s="136">
        <v>78776.69</v>
      </c>
      <c r="BD5" s="136"/>
      <c r="BE5" s="136"/>
      <c r="BF5" s="136"/>
      <c r="BG5" s="26">
        <f>IF(D5=0,0,2001-(D5-F5)*C5/D5)</f>
        <v>1999.6451111805941</v>
      </c>
      <c r="BH5" s="43">
        <f t="shared" ref="BH5:BH12" si="0">IF((1-($BV$2-$BG5)/$C5)&gt;0,(1-($BV$2-$BG5)/$C5),0)</f>
        <v>0</v>
      </c>
      <c r="BI5" s="43">
        <f t="shared" ref="BI5:BI12" si="1">IF((1-($BV$2-G$2)/$C5)&gt;0,(1-($BV$2-G$2)/$C5),0)</f>
        <v>0</v>
      </c>
      <c r="BJ5" s="43">
        <f t="shared" ref="BJ5:BJ12" si="2">IF((1-($BV$2-K$2)/$C5)&gt;0,(1-($BV$2-K$2)/$C5),0)</f>
        <v>0</v>
      </c>
      <c r="BK5" s="43">
        <f t="shared" ref="BK5:BK12" si="3">IF((1-($BV$2-O$2)/$C5)&gt;0,(1-($BV$2-O$2)/$C5),0)</f>
        <v>0</v>
      </c>
      <c r="BL5" s="43">
        <f t="shared" ref="BL5:BL12" si="4">IF((1-($BV$2-S$2)/$C5)&gt;0,(1-($BV$2-S$2)/$C5),0)</f>
        <v>0</v>
      </c>
      <c r="BM5" s="43">
        <f t="shared" ref="BM5:BM12" si="5">IF((1-($BV$2-W$2)/$C5)&gt;0,(1-($BV$2-W$2)/$C5),0)</f>
        <v>0</v>
      </c>
      <c r="BN5" s="43">
        <f t="shared" ref="BN5:BN12" si="6">IF((1-($BV$2-AA$2)/$C5)&gt;0,(1-($BV$2-AA$2)/$C5),0)</f>
        <v>0</v>
      </c>
      <c r="BO5" s="43">
        <f t="shared" ref="BO5:BO12" si="7">IF((1-($BV$2-AE$2)/$C5)&gt;0,(1-($BV$2-AE$2)/$C5),0)</f>
        <v>0</v>
      </c>
      <c r="BP5" s="43">
        <f t="shared" ref="BP5:BP12" si="8">IF((1-($BV$2-AI$2)/$C5)&gt;0,(1-($BV$2-AI$2)/$C5),0)</f>
        <v>0</v>
      </c>
      <c r="BQ5" s="43">
        <f t="shared" ref="BQ5:BQ12" si="9">IF((1-($BV$2-AM$2)/$C5)&gt;0,(1-($BV$2-AM$2)/$C5),0)</f>
        <v>0</v>
      </c>
      <c r="BR5" s="43">
        <f t="shared" ref="BR5:BR12" si="10">IF((1-($BV$2-AQ$2)/$C5)&gt;0,(1-($BV$2-AQ$2)/$C5),0)</f>
        <v>0.25</v>
      </c>
      <c r="BS5" s="43">
        <f t="shared" ref="BS5:BS12" si="11">IF((1-($BV$2-AU$2)/$C5)&gt;0,(1-($BV$2-AU$2)/$C5),0)</f>
        <v>0.5</v>
      </c>
      <c r="BT5" s="43">
        <f t="shared" ref="BT5:BT12" si="12">IF((1-($BV$2-AY$2)/$C5)&gt;0,(1-($BV$2-AY$2)/$C5),0)</f>
        <v>0.75</v>
      </c>
      <c r="BU5" s="43">
        <f t="shared" ref="BU5:BU12" si="13">IF((1-($BV$2-BC$2)/$C5)&gt;0,(1-($BV$2-BC$2)/$C5),0)</f>
        <v>1</v>
      </c>
      <c r="BV5" s="239">
        <f>D5-E5+(G5-I5)*G$60+(K5-M5)*K$60+(O5-Q5)*O$60+(S5-U5)*S$60+(W5-Y5)*W$60+(AA5-AC5)*AA$60+(AE5-AG5)*AE$60+(AI5-AK5)*AI$60+(AM5-AO5)*AM$60+(AQ5-AS5)*$AQ$60+(AU5-AW5)*$AU$60+(AY5-BA5)*$AY$60+(BC5-BE5)*$BC$60</f>
        <v>3106850.2635211144</v>
      </c>
      <c r="BW5" s="239">
        <f>BV5-(IF(BH5=0,0,D5-E5)+IF(BI5=0,0,(G5-I5)*G$60)+IF(BJ5=0,0,(K5-M5)*K$60)+IF(BK5=0,0,(O5-Q5)*O$60)+IF(BL5=0,0,(S5-U5)*S$60)+IF(BM5=0,0,(W5-Y5)*W$60)+IF(BN5=0,0,(AA5-AC5)*AA$60)+IF(BO5=0,0,(AE5-AG5)*AE$60)+IF(BP5=0,0,(AI5-AK5)*AI$60)+IF(BQ5=0,0,(AM5-AO5)*AM$60)+IF(BR5=0,0,(AQ5-AS5)*$AQ$60)+IF(BS5=0,0,(AU5-AW5)*$AU$60)+IF(BT5=0,0,(AY5-BA5)*$AY$60)++IF(BU5=0,0,(BC5-BE5)*$BC$60))</f>
        <v>2906504.263425055</v>
      </c>
      <c r="BX5" s="239">
        <f t="shared" ref="BX5:BX12" si="14">(D5-E5)*BH5+((G5-H5-(I5-J5))*G$60)*BI5+((K5-L5-(M5-N5))*K$60)*BJ5+((O5-P5-(Q5-R5))*O$60)*BK5+((S5-T5-(U5-V5))*S$60)*BL5+((W5-X5-(Y5-Z5))*W$60)*BM5+((AA5-AB5-(AC5-AD5))*AA$60)*BN5+((AE5-AF5-(AG5-AH5))*AE$60)*BO5+((AI5-AJ5-(AK5-AL5))*AI$60)*BP5+((AM5-AN5)*BQ5-(AO5-AP5))*$AM$60+((AQ5-AR5)*BR5-(AS5-AT5))*$AQ$60+((AU5-AV5)*BS5-(AW5-AX5))*$AU$60+((AY5-AZ5)*BT5-(BA5-BB5))*$AY$60+((BC5-BD5)*BU5-(BF5-BG5))*$BC$60</f>
        <v>111219.70902841195</v>
      </c>
    </row>
    <row r="6" spans="1:76" ht="12.75" customHeight="1" x14ac:dyDescent="0.25">
      <c r="A6" s="479"/>
      <c r="B6" s="3" t="s">
        <v>8</v>
      </c>
      <c r="C6" s="17">
        <v>1000</v>
      </c>
      <c r="D6" s="37">
        <v>103551.78496860871</v>
      </c>
      <c r="E6" s="151"/>
      <c r="F6" s="160">
        <v>103551.78496860871</v>
      </c>
      <c r="G6" s="87">
        <v>3081.72</v>
      </c>
      <c r="H6" s="88"/>
      <c r="I6" s="127"/>
      <c r="J6" s="88"/>
      <c r="K6" s="89">
        <v>0</v>
      </c>
      <c r="L6" s="90"/>
      <c r="M6" s="153"/>
      <c r="N6" s="91"/>
      <c r="O6" s="95">
        <v>0</v>
      </c>
      <c r="P6" s="93"/>
      <c r="Q6" s="94"/>
      <c r="R6" s="93"/>
      <c r="S6" s="154">
        <v>0</v>
      </c>
      <c r="T6" s="114"/>
      <c r="U6" s="154"/>
      <c r="V6" s="155"/>
      <c r="W6" s="58">
        <v>0</v>
      </c>
      <c r="X6" s="58">
        <v>0</v>
      </c>
      <c r="Y6" s="58"/>
      <c r="Z6" s="59"/>
      <c r="AA6" s="76">
        <v>0</v>
      </c>
      <c r="AB6" s="156">
        <v>0</v>
      </c>
      <c r="AC6" s="157"/>
      <c r="AD6" s="61"/>
      <c r="AE6" s="63">
        <v>0</v>
      </c>
      <c r="AF6" s="63">
        <v>0</v>
      </c>
      <c r="AG6" s="158"/>
      <c r="AH6" s="62"/>
      <c r="AI6" s="154">
        <v>0</v>
      </c>
      <c r="AJ6" s="154">
        <v>0</v>
      </c>
      <c r="AK6" s="154"/>
      <c r="AL6" s="155"/>
      <c r="AM6" s="49">
        <v>0</v>
      </c>
      <c r="AN6" s="49">
        <v>0</v>
      </c>
      <c r="AO6" s="49"/>
      <c r="AP6" s="50"/>
      <c r="AQ6" s="159">
        <v>0</v>
      </c>
      <c r="AR6" s="198">
        <v>0</v>
      </c>
      <c r="AS6" s="198"/>
      <c r="AT6" s="198"/>
      <c r="AU6" s="210">
        <v>0</v>
      </c>
      <c r="AV6" s="210">
        <v>0</v>
      </c>
      <c r="AW6" s="210"/>
      <c r="AX6" s="210"/>
      <c r="AY6" s="129">
        <v>0</v>
      </c>
      <c r="AZ6" s="129">
        <v>0</v>
      </c>
      <c r="BA6" s="129"/>
      <c r="BB6" s="129"/>
      <c r="BC6" s="136">
        <v>215517.81</v>
      </c>
      <c r="BD6" s="136"/>
      <c r="BE6" s="136"/>
      <c r="BF6" s="136"/>
      <c r="BG6" s="26">
        <f t="shared" ref="BG6:BG12" si="15">IF(D6=0,0,2001-(D6-F6)*C6/D6)</f>
        <v>2001</v>
      </c>
      <c r="BH6" s="43">
        <f t="shared" si="0"/>
        <v>0.98699999999999999</v>
      </c>
      <c r="BI6" s="43">
        <f t="shared" si="1"/>
        <v>0.98799999999999999</v>
      </c>
      <c r="BJ6" s="43">
        <f t="shared" si="2"/>
        <v>0.98899999999999999</v>
      </c>
      <c r="BK6" s="43">
        <f t="shared" si="3"/>
        <v>0.99</v>
      </c>
      <c r="BL6" s="43">
        <f t="shared" si="4"/>
        <v>0.99099999999999999</v>
      </c>
      <c r="BM6" s="43">
        <f t="shared" si="5"/>
        <v>0.99199999999999999</v>
      </c>
      <c r="BN6" s="43">
        <f t="shared" si="6"/>
        <v>0.99299999999999999</v>
      </c>
      <c r="BO6" s="43">
        <f t="shared" si="7"/>
        <v>0.99399999999999999</v>
      </c>
      <c r="BP6" s="43">
        <f t="shared" si="8"/>
        <v>0.995</v>
      </c>
      <c r="BQ6" s="43">
        <f t="shared" si="9"/>
        <v>0.996</v>
      </c>
      <c r="BR6" s="43">
        <f t="shared" si="10"/>
        <v>0.997</v>
      </c>
      <c r="BS6" s="43">
        <f t="shared" si="11"/>
        <v>0.998</v>
      </c>
      <c r="BT6" s="43">
        <f t="shared" si="12"/>
        <v>0.999</v>
      </c>
      <c r="BU6" s="43">
        <f>IF((1-($BV$2-BC$2)/$C6)&gt;0,(1-($BV$2-BC$2)/$C6),0)</f>
        <v>1</v>
      </c>
      <c r="BV6" s="239">
        <f t="shared" ref="BV6:BV12" si="16">D6-E6+(G6-I6)*G$60+(K6-M6)*K$60+(O6-Q6)*O$60+(S6-U6)*S$60+(W6-Y6)*W$60+(AA6-AC6)*AA$60+(AE6-AG6)*AE$60+(AI6-AK6)*AI$60+(AM6-AO6)*AM$60+(AQ6-AS6)*$AQ$60+(AU6-AW6)*$AU$60+(AY6-BA6)*$AY$60+(BC6-BE6)*$BC$60</f>
        <v>299940.15600311657</v>
      </c>
      <c r="BW6" s="239">
        <f t="shared" ref="BW6:BW12" si="17">BV6-(IF(BH6=0,0,D6-E6)+IF(BI6=0,0,(G6-I6)*G$60)+IF(BJ6=0,0,(K6-M6)*K$60)+IF(BK6=0,0,(O6-Q6)*O$60)+IF(BL6=0,0,(S6-U6)*S$60)+IF(BM6=0,0,(W6-Y6)*W$60)+IF(BN6=0,0,(AA6-AC6)*AA$60)+IF(BO6=0,0,(AE6-AG6)*AE$60)+IF(BP6=0,0,(AI6-AK6)*AI$60)+IF(BQ6=0,0,(AM6-AO6)*AM$60)+IF(BR6=0,0,(AQ6-AS6)*$AQ$60)+IF(BS6=0,0,(AU6-AW6)*$AU$60)+IF(BT6=0,0,(AY6-BA6)*$AY$60)++IF(BU6=0,0,(BC6-BE6)*$BC$60))</f>
        <v>0</v>
      </c>
      <c r="BX6" s="239">
        <f t="shared" si="14"/>
        <v>300369.21087347867</v>
      </c>
    </row>
    <row r="7" spans="1:76" ht="12.75" customHeight="1" x14ac:dyDescent="0.25">
      <c r="A7" s="479"/>
      <c r="B7" s="3" t="s">
        <v>9</v>
      </c>
      <c r="C7" s="7">
        <v>40</v>
      </c>
      <c r="D7" s="37">
        <v>1140916.4856518731</v>
      </c>
      <c r="E7" s="151"/>
      <c r="F7" s="152">
        <v>709242.31697422103</v>
      </c>
      <c r="G7" s="87">
        <v>4550.21</v>
      </c>
      <c r="H7" s="88"/>
      <c r="I7" s="127"/>
      <c r="J7" s="88"/>
      <c r="K7" s="89">
        <v>8402.57</v>
      </c>
      <c r="L7" s="90"/>
      <c r="M7" s="153"/>
      <c r="N7" s="91"/>
      <c r="O7" s="95">
        <v>0</v>
      </c>
      <c r="P7" s="93"/>
      <c r="Q7" s="94"/>
      <c r="R7" s="93"/>
      <c r="S7" s="154">
        <v>38527</v>
      </c>
      <c r="T7" s="114"/>
      <c r="U7" s="154"/>
      <c r="V7" s="155"/>
      <c r="W7" s="58">
        <v>34301.56</v>
      </c>
      <c r="X7" s="58">
        <v>0</v>
      </c>
      <c r="Y7" s="58"/>
      <c r="Z7" s="59"/>
      <c r="AA7" s="70">
        <v>58280.87</v>
      </c>
      <c r="AB7" s="156">
        <v>0</v>
      </c>
      <c r="AC7" s="157"/>
      <c r="AD7" s="61"/>
      <c r="AE7" s="63">
        <v>2487.96</v>
      </c>
      <c r="AF7" s="63">
        <v>0</v>
      </c>
      <c r="AG7" s="158"/>
      <c r="AH7" s="62"/>
      <c r="AI7" s="154">
        <v>0</v>
      </c>
      <c r="AJ7" s="154">
        <v>0</v>
      </c>
      <c r="AK7" s="154"/>
      <c r="AL7" s="155"/>
      <c r="AM7" s="49">
        <v>0</v>
      </c>
      <c r="AN7" s="49">
        <v>0</v>
      </c>
      <c r="AO7" s="49"/>
      <c r="AP7" s="50"/>
      <c r="AQ7" s="159">
        <v>7039.45</v>
      </c>
      <c r="AR7" s="198">
        <v>0</v>
      </c>
      <c r="AS7" s="198"/>
      <c r="AT7" s="198"/>
      <c r="AU7" s="210">
        <v>0</v>
      </c>
      <c r="AV7" s="210">
        <v>0</v>
      </c>
      <c r="AW7" s="210"/>
      <c r="AX7" s="210"/>
      <c r="AY7" s="129">
        <v>0</v>
      </c>
      <c r="AZ7" s="129">
        <v>0</v>
      </c>
      <c r="BA7" s="129"/>
      <c r="BB7" s="129"/>
      <c r="BC7" s="136">
        <v>8855.2000000000007</v>
      </c>
      <c r="BD7" s="136"/>
      <c r="BE7" s="136"/>
      <c r="BF7" s="136"/>
      <c r="BG7" s="26">
        <f t="shared" si="15"/>
        <v>1985.8657049273502</v>
      </c>
      <c r="BH7" s="43">
        <f t="shared" si="0"/>
        <v>0.29664262318375445</v>
      </c>
      <c r="BI7" s="43">
        <f t="shared" si="1"/>
        <v>0.7</v>
      </c>
      <c r="BJ7" s="43">
        <f t="shared" si="2"/>
        <v>0.72499999999999998</v>
      </c>
      <c r="BK7" s="43">
        <f t="shared" si="3"/>
        <v>0.75</v>
      </c>
      <c r="BL7" s="43">
        <f t="shared" si="4"/>
        <v>0.77500000000000002</v>
      </c>
      <c r="BM7" s="43">
        <f t="shared" si="5"/>
        <v>0.8</v>
      </c>
      <c r="BN7" s="43">
        <f t="shared" si="6"/>
        <v>0.82499999999999996</v>
      </c>
      <c r="BO7" s="43">
        <f t="shared" si="7"/>
        <v>0.85</v>
      </c>
      <c r="BP7" s="43">
        <f t="shared" si="8"/>
        <v>0.875</v>
      </c>
      <c r="BQ7" s="43">
        <f t="shared" si="9"/>
        <v>0.9</v>
      </c>
      <c r="BR7" s="43">
        <f t="shared" si="10"/>
        <v>0.92500000000000004</v>
      </c>
      <c r="BS7" s="43">
        <f t="shared" si="11"/>
        <v>0.95</v>
      </c>
      <c r="BT7" s="43">
        <f t="shared" si="12"/>
        <v>0.97499999999999998</v>
      </c>
      <c r="BU7" s="43">
        <f t="shared" si="13"/>
        <v>1</v>
      </c>
      <c r="BV7" s="239">
        <f t="shared" si="16"/>
        <v>1269538.182638118</v>
      </c>
      <c r="BW7" s="239">
        <f t="shared" si="17"/>
        <v>0</v>
      </c>
      <c r="BX7" s="239">
        <f t="shared" si="14"/>
        <v>445533.75488988153</v>
      </c>
    </row>
    <row r="8" spans="1:76" ht="12.75" customHeight="1" x14ac:dyDescent="0.25">
      <c r="A8" s="479"/>
      <c r="B8" s="3" t="s">
        <v>10</v>
      </c>
      <c r="C8" s="7">
        <v>7</v>
      </c>
      <c r="D8" s="37">
        <v>945208.52892382524</v>
      </c>
      <c r="E8" s="151"/>
      <c r="F8" s="152">
        <v>67667.069379360895</v>
      </c>
      <c r="G8" s="87">
        <v>7357.58</v>
      </c>
      <c r="H8" s="88"/>
      <c r="I8" s="127"/>
      <c r="J8" s="88"/>
      <c r="K8" s="89">
        <v>6582.56</v>
      </c>
      <c r="L8" s="90"/>
      <c r="M8" s="153"/>
      <c r="N8" s="91"/>
      <c r="O8" s="95">
        <v>282.37</v>
      </c>
      <c r="P8" s="93"/>
      <c r="Q8" s="94"/>
      <c r="R8" s="93"/>
      <c r="S8" s="154">
        <v>0</v>
      </c>
      <c r="T8" s="114"/>
      <c r="U8" s="154"/>
      <c r="V8" s="155"/>
      <c r="W8" s="58">
        <v>17809.370000000003</v>
      </c>
      <c r="X8" s="58">
        <v>0</v>
      </c>
      <c r="Y8" s="58"/>
      <c r="Z8" s="59"/>
      <c r="AA8" s="76">
        <v>5325</v>
      </c>
      <c r="AB8" s="156">
        <v>0</v>
      </c>
      <c r="AC8" s="157"/>
      <c r="AD8" s="61"/>
      <c r="AE8" s="63">
        <v>5151</v>
      </c>
      <c r="AF8" s="63">
        <v>0</v>
      </c>
      <c r="AG8" s="158"/>
      <c r="AH8" s="62"/>
      <c r="AI8" s="154">
        <v>7295</v>
      </c>
      <c r="AJ8" s="154">
        <v>0</v>
      </c>
      <c r="AK8" s="154"/>
      <c r="AL8" s="155"/>
      <c r="AM8" s="49">
        <v>0</v>
      </c>
      <c r="AN8" s="49">
        <v>0</v>
      </c>
      <c r="AO8" s="49"/>
      <c r="AP8" s="53"/>
      <c r="AQ8" s="159">
        <v>8381.86</v>
      </c>
      <c r="AR8" s="198">
        <v>0</v>
      </c>
      <c r="AS8" s="198"/>
      <c r="AT8" s="198"/>
      <c r="AU8" s="210">
        <v>0</v>
      </c>
      <c r="AV8" s="210">
        <v>0</v>
      </c>
      <c r="AW8" s="210"/>
      <c r="AX8" s="210"/>
      <c r="AY8" s="129">
        <v>22739</v>
      </c>
      <c r="AZ8" s="129">
        <v>0</v>
      </c>
      <c r="BA8" s="129"/>
      <c r="BB8" s="129"/>
      <c r="BC8" s="136">
        <v>0</v>
      </c>
      <c r="BD8" s="136"/>
      <c r="BE8" s="136"/>
      <c r="BF8" s="136"/>
      <c r="BG8" s="26">
        <f t="shared" si="15"/>
        <v>1994.501126969511</v>
      </c>
      <c r="BH8" s="43">
        <f t="shared" si="0"/>
        <v>0</v>
      </c>
      <c r="BI8" s="43">
        <f t="shared" si="1"/>
        <v>0</v>
      </c>
      <c r="BJ8" s="43">
        <f t="shared" si="2"/>
        <v>0</v>
      </c>
      <c r="BK8" s="43">
        <f t="shared" si="3"/>
        <v>0</v>
      </c>
      <c r="BL8" s="43">
        <f t="shared" si="4"/>
        <v>0</v>
      </c>
      <c r="BM8" s="43">
        <f t="shared" si="5"/>
        <v>0</v>
      </c>
      <c r="BN8" s="43">
        <f t="shared" si="6"/>
        <v>0</v>
      </c>
      <c r="BO8" s="43">
        <f t="shared" si="7"/>
        <v>0.1428571428571429</v>
      </c>
      <c r="BP8" s="43">
        <f t="shared" si="8"/>
        <v>0.2857142857142857</v>
      </c>
      <c r="BQ8" s="43">
        <f t="shared" si="9"/>
        <v>0.4285714285714286</v>
      </c>
      <c r="BR8" s="43">
        <f t="shared" si="10"/>
        <v>0.5714285714285714</v>
      </c>
      <c r="BS8" s="43">
        <f t="shared" si="11"/>
        <v>0.7142857142857143</v>
      </c>
      <c r="BT8" s="43">
        <f t="shared" si="12"/>
        <v>0.85714285714285721</v>
      </c>
      <c r="BU8" s="43">
        <f t="shared" si="13"/>
        <v>1</v>
      </c>
      <c r="BV8" s="239">
        <f t="shared" si="16"/>
        <v>1017335.5550798584</v>
      </c>
      <c r="BW8" s="239">
        <f>BV8-(IF(BH8=0,0,D8-E8)+IF(BI8=0,0,(G8-I8)*G$60)+IF(BJ8=0,0,(K8-M8)*K$60)+IF(BK8=0,0,(O8-Q8)*O$60)+IF(BL8=0,0,(S8-U8)*S$60)+IF(BM8=0,0,(W8-Y8)*W$60)+IF(BN8=0,0,(AA8-AC8)*AA$60)+IF(BO8=0,0,(AE8-AG8)*AE$60)+IF(BP8=0,0,(AI8-AK8)*AI$60)+IF(BQ8=0,0,(AM8-AO8)*AM$60)+IF(BR8=0,0,(AQ8-AS8)*$AQ$60)+IF(BS8=0,0,(AU8-AW8)*$AU$60)+IF(BT8=0,0,(AY8-BA8)*$AY$60)++IF(BU8=0,0,(BC8-BE8)*$BC$60))</f>
        <v>975834.57944636559</v>
      </c>
      <c r="BX8" s="239">
        <f t="shared" si="14"/>
        <v>28328.404193079568</v>
      </c>
    </row>
    <row r="9" spans="1:76" ht="12.75" customHeight="1" x14ac:dyDescent="0.25">
      <c r="A9" s="479"/>
      <c r="B9" s="3" t="s">
        <v>11</v>
      </c>
      <c r="C9" s="7">
        <v>4</v>
      </c>
      <c r="D9" s="37">
        <v>626223.15650914935</v>
      </c>
      <c r="E9" s="151"/>
      <c r="F9" s="152">
        <v>147123.07508079166</v>
      </c>
      <c r="G9" s="87">
        <v>22741.82</v>
      </c>
      <c r="H9" s="88"/>
      <c r="I9" s="127"/>
      <c r="J9" s="88"/>
      <c r="K9" s="89">
        <v>15401.33</v>
      </c>
      <c r="L9" s="90"/>
      <c r="M9" s="153"/>
      <c r="N9" s="91"/>
      <c r="O9" s="95">
        <v>44549.32</v>
      </c>
      <c r="P9" s="93"/>
      <c r="Q9" s="94"/>
      <c r="R9" s="93"/>
      <c r="S9" s="154">
        <v>11154.82</v>
      </c>
      <c r="T9" s="114"/>
      <c r="U9" s="154"/>
      <c r="V9" s="155"/>
      <c r="W9" s="58">
        <v>87253.48000000001</v>
      </c>
      <c r="X9" s="58">
        <v>0</v>
      </c>
      <c r="Y9" s="58"/>
      <c r="Z9" s="59"/>
      <c r="AA9" s="76">
        <v>38353.979999999996</v>
      </c>
      <c r="AB9" s="156">
        <v>0</v>
      </c>
      <c r="AC9" s="157"/>
      <c r="AD9" s="61"/>
      <c r="AE9" s="63">
        <v>0</v>
      </c>
      <c r="AF9" s="63">
        <v>0</v>
      </c>
      <c r="AG9" s="158"/>
      <c r="AH9" s="62"/>
      <c r="AI9" s="154">
        <v>51587.420000000006</v>
      </c>
      <c r="AJ9" s="154">
        <v>0</v>
      </c>
      <c r="AK9" s="154"/>
      <c r="AL9" s="155"/>
      <c r="AM9" s="49">
        <v>20997.82</v>
      </c>
      <c r="AN9" s="49">
        <v>0</v>
      </c>
      <c r="AO9" s="49"/>
      <c r="AP9" s="50"/>
      <c r="AQ9" s="159">
        <v>2369.5</v>
      </c>
      <c r="AR9" s="198">
        <v>0</v>
      </c>
      <c r="AS9" s="198"/>
      <c r="AT9" s="198"/>
      <c r="AU9" s="210">
        <v>0</v>
      </c>
      <c r="AV9" s="210">
        <v>0</v>
      </c>
      <c r="AW9" s="210"/>
      <c r="AX9" s="210"/>
      <c r="AY9" s="129">
        <v>4786.7</v>
      </c>
      <c r="AZ9" s="129">
        <v>0</v>
      </c>
      <c r="BA9" s="129"/>
      <c r="BB9" s="129"/>
      <c r="BC9" s="136">
        <v>931198.84</v>
      </c>
      <c r="BD9" s="136"/>
      <c r="BE9" s="136"/>
      <c r="BF9" s="136"/>
      <c r="BG9" s="26">
        <f t="shared" si="15"/>
        <v>1997.9397485452369</v>
      </c>
      <c r="BH9" s="43">
        <f t="shared" si="0"/>
        <v>0</v>
      </c>
      <c r="BI9" s="43">
        <f t="shared" si="1"/>
        <v>0</v>
      </c>
      <c r="BJ9" s="43">
        <f t="shared" si="2"/>
        <v>0</v>
      </c>
      <c r="BK9" s="43">
        <f t="shared" si="3"/>
        <v>0</v>
      </c>
      <c r="BL9" s="43">
        <f t="shared" si="4"/>
        <v>0</v>
      </c>
      <c r="BM9" s="43">
        <f t="shared" si="5"/>
        <v>0</v>
      </c>
      <c r="BN9" s="43">
        <f t="shared" si="6"/>
        <v>0</v>
      </c>
      <c r="BO9" s="43">
        <f t="shared" si="7"/>
        <v>0</v>
      </c>
      <c r="BP9" s="43">
        <f t="shared" si="8"/>
        <v>0</v>
      </c>
      <c r="BQ9" s="43">
        <f t="shared" si="9"/>
        <v>0</v>
      </c>
      <c r="BR9" s="43">
        <f t="shared" si="10"/>
        <v>0.25</v>
      </c>
      <c r="BS9" s="43">
        <f t="shared" si="11"/>
        <v>0.5</v>
      </c>
      <c r="BT9" s="43">
        <f t="shared" si="12"/>
        <v>0.75</v>
      </c>
      <c r="BU9" s="43">
        <f t="shared" si="13"/>
        <v>1</v>
      </c>
      <c r="BV9" s="239">
        <f t="shared" si="16"/>
        <v>1717224.9423312545</v>
      </c>
      <c r="BW9" s="239">
        <f t="shared" si="17"/>
        <v>871384.46553721011</v>
      </c>
      <c r="BX9" s="239">
        <f t="shared" si="14"/>
        <v>844729.37639217963</v>
      </c>
    </row>
    <row r="10" spans="1:76" ht="12.75" customHeight="1" x14ac:dyDescent="0.25">
      <c r="A10" s="479"/>
      <c r="B10" s="3" t="s">
        <v>12</v>
      </c>
      <c r="C10" s="7">
        <v>5</v>
      </c>
      <c r="D10" s="37">
        <v>1564545.6307439422</v>
      </c>
      <c r="E10" s="151"/>
      <c r="F10" s="152">
        <v>275838.40370647283</v>
      </c>
      <c r="G10" s="87">
        <v>0</v>
      </c>
      <c r="H10" s="88"/>
      <c r="I10" s="127"/>
      <c r="J10" s="88"/>
      <c r="K10" s="89">
        <v>0</v>
      </c>
      <c r="L10" s="90"/>
      <c r="M10" s="153"/>
      <c r="N10" s="91"/>
      <c r="O10" s="95">
        <v>0</v>
      </c>
      <c r="P10" s="93"/>
      <c r="Q10" s="94"/>
      <c r="R10" s="93"/>
      <c r="S10" s="154">
        <v>0</v>
      </c>
      <c r="T10" s="114"/>
      <c r="U10" s="154"/>
      <c r="V10" s="155"/>
      <c r="W10" s="58">
        <v>74281.899999999994</v>
      </c>
      <c r="X10" s="58">
        <v>0</v>
      </c>
      <c r="Y10" s="58"/>
      <c r="Z10" s="59"/>
      <c r="AA10" s="76">
        <v>0</v>
      </c>
      <c r="AB10" s="156">
        <v>0</v>
      </c>
      <c r="AC10" s="157"/>
      <c r="AD10" s="61"/>
      <c r="AE10" s="63">
        <v>0</v>
      </c>
      <c r="AF10" s="63">
        <v>0</v>
      </c>
      <c r="AG10" s="158"/>
      <c r="AH10" s="62"/>
      <c r="AI10" s="154">
        <v>0</v>
      </c>
      <c r="AJ10" s="154">
        <v>0</v>
      </c>
      <c r="AK10" s="154"/>
      <c r="AL10" s="155"/>
      <c r="AM10" s="49">
        <v>0</v>
      </c>
      <c r="AN10" s="49">
        <v>0</v>
      </c>
      <c r="AO10" s="49"/>
      <c r="AP10" s="50"/>
      <c r="AQ10" s="159">
        <v>94920</v>
      </c>
      <c r="AR10" s="198">
        <v>0</v>
      </c>
      <c r="AS10" s="198"/>
      <c r="AT10" s="198"/>
      <c r="AU10" s="210">
        <v>0</v>
      </c>
      <c r="AV10" s="210">
        <v>0</v>
      </c>
      <c r="AW10" s="210"/>
      <c r="AX10" s="210"/>
      <c r="AY10" s="129">
        <v>16667</v>
      </c>
      <c r="AZ10" s="129">
        <v>0</v>
      </c>
      <c r="BA10" s="129"/>
      <c r="BB10" s="129"/>
      <c r="BC10" s="136">
        <v>0</v>
      </c>
      <c r="BD10" s="136"/>
      <c r="BE10" s="136"/>
      <c r="BF10" s="136"/>
      <c r="BG10" s="26">
        <f t="shared" si="15"/>
        <v>1996.8815287911268</v>
      </c>
      <c r="BH10" s="43">
        <f t="shared" si="0"/>
        <v>0</v>
      </c>
      <c r="BI10" s="43">
        <f t="shared" si="1"/>
        <v>0</v>
      </c>
      <c r="BJ10" s="43">
        <f t="shared" si="2"/>
        <v>0</v>
      </c>
      <c r="BK10" s="43">
        <f t="shared" si="3"/>
        <v>0</v>
      </c>
      <c r="BL10" s="43">
        <f t="shared" si="4"/>
        <v>0</v>
      </c>
      <c r="BM10" s="43">
        <f t="shared" si="5"/>
        <v>0</v>
      </c>
      <c r="BN10" s="43">
        <f t="shared" si="6"/>
        <v>0</v>
      </c>
      <c r="BO10" s="43">
        <f t="shared" si="7"/>
        <v>0</v>
      </c>
      <c r="BP10" s="43">
        <f t="shared" si="8"/>
        <v>0</v>
      </c>
      <c r="BQ10" s="43">
        <f t="shared" si="9"/>
        <v>0.19999999999999996</v>
      </c>
      <c r="BR10" s="43">
        <f t="shared" si="10"/>
        <v>0.4</v>
      </c>
      <c r="BS10" s="43">
        <f t="shared" si="11"/>
        <v>0.6</v>
      </c>
      <c r="BT10" s="43">
        <f t="shared" si="12"/>
        <v>0.8</v>
      </c>
      <c r="BU10" s="43">
        <f t="shared" si="13"/>
        <v>1</v>
      </c>
      <c r="BV10" s="239">
        <f t="shared" si="16"/>
        <v>1738592.0571161245</v>
      </c>
      <c r="BW10" s="239">
        <f t="shared" si="17"/>
        <v>1630374.0065591419</v>
      </c>
      <c r="BX10" s="239">
        <f t="shared" si="14"/>
        <v>51752.692005481542</v>
      </c>
    </row>
    <row r="11" spans="1:76" ht="12.75" customHeight="1" x14ac:dyDescent="0.25">
      <c r="A11" s="479"/>
      <c r="B11" s="3" t="s">
        <v>13</v>
      </c>
      <c r="C11" s="7">
        <v>8</v>
      </c>
      <c r="D11" s="37">
        <v>0</v>
      </c>
      <c r="E11" s="151"/>
      <c r="F11" s="152">
        <v>0</v>
      </c>
      <c r="G11" s="87">
        <v>51708.179991999998</v>
      </c>
      <c r="H11" s="88"/>
      <c r="I11" s="127"/>
      <c r="J11" s="88"/>
      <c r="K11" s="89">
        <v>4151.08</v>
      </c>
      <c r="L11" s="90"/>
      <c r="M11" s="153"/>
      <c r="N11" s="91"/>
      <c r="O11" s="95">
        <v>30862.359060999996</v>
      </c>
      <c r="P11" s="93"/>
      <c r="Q11" s="94"/>
      <c r="R11" s="93"/>
      <c r="S11" s="154">
        <v>0</v>
      </c>
      <c r="T11" s="114"/>
      <c r="U11" s="154"/>
      <c r="V11" s="155"/>
      <c r="W11" s="58">
        <v>0</v>
      </c>
      <c r="X11" s="58">
        <v>0</v>
      </c>
      <c r="Y11" s="58"/>
      <c r="Z11" s="59"/>
      <c r="AA11" s="76">
        <v>0</v>
      </c>
      <c r="AB11" s="156">
        <v>0</v>
      </c>
      <c r="AC11" s="157"/>
      <c r="AD11" s="61"/>
      <c r="AE11" s="63">
        <v>0</v>
      </c>
      <c r="AF11" s="63">
        <v>0</v>
      </c>
      <c r="AG11" s="158"/>
      <c r="AH11" s="62"/>
      <c r="AI11" s="154">
        <v>14365.63</v>
      </c>
      <c r="AJ11" s="154">
        <v>0</v>
      </c>
      <c r="AK11" s="154"/>
      <c r="AL11" s="155"/>
      <c r="AM11" s="49">
        <v>9332.4</v>
      </c>
      <c r="AN11" s="49">
        <v>0</v>
      </c>
      <c r="AO11" s="49"/>
      <c r="AP11" s="50"/>
      <c r="AQ11" s="159">
        <v>9332</v>
      </c>
      <c r="AR11" s="198">
        <v>0</v>
      </c>
      <c r="AS11" s="198"/>
      <c r="AT11" s="198"/>
      <c r="AU11" s="210">
        <v>0</v>
      </c>
      <c r="AV11" s="210">
        <v>0</v>
      </c>
      <c r="AW11" s="210"/>
      <c r="AX11" s="210"/>
      <c r="AY11" s="129">
        <v>0</v>
      </c>
      <c r="AZ11" s="129">
        <v>0</v>
      </c>
      <c r="BA11" s="129"/>
      <c r="BB11" s="129"/>
      <c r="BC11" s="136">
        <v>41463</v>
      </c>
      <c r="BD11" s="136"/>
      <c r="BE11" s="136"/>
      <c r="BF11" s="136"/>
      <c r="BG11" s="26">
        <f t="shared" si="15"/>
        <v>0</v>
      </c>
      <c r="BH11" s="43">
        <f t="shared" si="0"/>
        <v>0</v>
      </c>
      <c r="BI11" s="43">
        <f t="shared" si="1"/>
        <v>0</v>
      </c>
      <c r="BJ11" s="43">
        <f t="shared" si="2"/>
        <v>0</v>
      </c>
      <c r="BK11" s="43">
        <f t="shared" si="3"/>
        <v>0</v>
      </c>
      <c r="BL11" s="43">
        <f t="shared" si="4"/>
        <v>0</v>
      </c>
      <c r="BM11" s="43">
        <f t="shared" si="5"/>
        <v>0</v>
      </c>
      <c r="BN11" s="43">
        <f t="shared" si="6"/>
        <v>0.125</v>
      </c>
      <c r="BO11" s="43">
        <f t="shared" si="7"/>
        <v>0.25</v>
      </c>
      <c r="BP11" s="43">
        <f t="shared" si="8"/>
        <v>0.375</v>
      </c>
      <c r="BQ11" s="43">
        <f t="shared" si="9"/>
        <v>0.5</v>
      </c>
      <c r="BR11" s="43">
        <f t="shared" si="10"/>
        <v>0.625</v>
      </c>
      <c r="BS11" s="43">
        <f t="shared" si="11"/>
        <v>0.75</v>
      </c>
      <c r="BT11" s="43">
        <f t="shared" si="12"/>
        <v>0.875</v>
      </c>
      <c r="BU11" s="43">
        <f t="shared" si="13"/>
        <v>1</v>
      </c>
      <c r="BV11" s="239">
        <f t="shared" si="16"/>
        <v>133829.04943802315</v>
      </c>
      <c r="BW11" s="239">
        <f t="shared" si="17"/>
        <v>65793.317474425348</v>
      </c>
      <c r="BX11" s="239">
        <f t="shared" si="14"/>
        <v>52272.268859995907</v>
      </c>
    </row>
    <row r="12" spans="1:76" ht="12.75" customHeight="1" thickBot="1" x14ac:dyDescent="0.3">
      <c r="A12" s="479"/>
      <c r="B12" s="10" t="s">
        <v>14</v>
      </c>
      <c r="C12" s="11">
        <v>17</v>
      </c>
      <c r="D12" s="161">
        <v>793536.7407842034</v>
      </c>
      <c r="E12" s="151"/>
      <c r="F12" s="162">
        <v>403574.94180041947</v>
      </c>
      <c r="G12" s="87">
        <v>9410.98</v>
      </c>
      <c r="H12" s="96"/>
      <c r="I12" s="127"/>
      <c r="J12" s="96"/>
      <c r="K12" s="89">
        <v>24691.65</v>
      </c>
      <c r="L12" s="97"/>
      <c r="M12" s="153"/>
      <c r="N12" s="98"/>
      <c r="O12" s="92">
        <v>28613.58</v>
      </c>
      <c r="P12" s="99"/>
      <c r="Q12" s="94"/>
      <c r="R12" s="99"/>
      <c r="S12" s="84">
        <v>29705.16</v>
      </c>
      <c r="T12" s="114"/>
      <c r="U12" s="154"/>
      <c r="V12" s="35"/>
      <c r="W12" s="58">
        <v>29915.59</v>
      </c>
      <c r="X12" s="58">
        <v>0</v>
      </c>
      <c r="Y12" s="58"/>
      <c r="Z12" s="64"/>
      <c r="AA12" s="70">
        <v>33499.410000000003</v>
      </c>
      <c r="AB12" s="156">
        <v>0</v>
      </c>
      <c r="AC12" s="157"/>
      <c r="AD12" s="65"/>
      <c r="AE12" s="63">
        <v>27239.34</v>
      </c>
      <c r="AF12" s="63">
        <v>0</v>
      </c>
      <c r="AG12" s="158"/>
      <c r="AH12" s="66"/>
      <c r="AI12" s="84">
        <v>771.99</v>
      </c>
      <c r="AJ12" s="154">
        <v>0</v>
      </c>
      <c r="AK12" s="154"/>
      <c r="AL12" s="35"/>
      <c r="AM12" s="49">
        <v>0</v>
      </c>
      <c r="AN12" s="49">
        <v>0</v>
      </c>
      <c r="AO12" s="49"/>
      <c r="AP12" s="51"/>
      <c r="AQ12" s="159">
        <v>0</v>
      </c>
      <c r="AR12" s="199">
        <v>0</v>
      </c>
      <c r="AS12" s="199"/>
      <c r="AT12" s="199"/>
      <c r="AU12" s="211">
        <v>0</v>
      </c>
      <c r="AV12" s="211">
        <v>0</v>
      </c>
      <c r="AW12" s="211"/>
      <c r="AX12" s="211"/>
      <c r="AY12" s="130">
        <v>0</v>
      </c>
      <c r="AZ12" s="130">
        <v>0</v>
      </c>
      <c r="BA12" s="130"/>
      <c r="BB12" s="130"/>
      <c r="BC12" s="136">
        <v>0</v>
      </c>
      <c r="BD12" s="144"/>
      <c r="BE12" s="137"/>
      <c r="BF12" s="137"/>
      <c r="BG12" s="26">
        <f t="shared" si="15"/>
        <v>1992.645817714536</v>
      </c>
      <c r="BH12" s="43">
        <f t="shared" si="0"/>
        <v>0</v>
      </c>
      <c r="BI12" s="43">
        <f t="shared" si="1"/>
        <v>0.29411764705882348</v>
      </c>
      <c r="BJ12" s="43">
        <f t="shared" si="2"/>
        <v>0.3529411764705882</v>
      </c>
      <c r="BK12" s="43">
        <f t="shared" si="3"/>
        <v>0.41176470588235292</v>
      </c>
      <c r="BL12" s="43">
        <f t="shared" si="4"/>
        <v>0.47058823529411764</v>
      </c>
      <c r="BM12" s="44">
        <f t="shared" si="5"/>
        <v>0.52941176470588236</v>
      </c>
      <c r="BN12" s="43">
        <f t="shared" si="6"/>
        <v>0.58823529411764708</v>
      </c>
      <c r="BO12" s="43">
        <f t="shared" si="7"/>
        <v>0.64705882352941169</v>
      </c>
      <c r="BP12" s="43">
        <f t="shared" si="8"/>
        <v>0.70588235294117641</v>
      </c>
      <c r="BQ12" s="43">
        <f t="shared" si="9"/>
        <v>0.76470588235294112</v>
      </c>
      <c r="BR12" s="43">
        <f t="shared" si="10"/>
        <v>0.82352941176470584</v>
      </c>
      <c r="BS12" s="43">
        <f t="shared" si="11"/>
        <v>0.88235294117647056</v>
      </c>
      <c r="BT12" s="43">
        <f t="shared" si="12"/>
        <v>0.94117647058823528</v>
      </c>
      <c r="BU12" s="43">
        <f t="shared" si="13"/>
        <v>1</v>
      </c>
      <c r="BV12" s="239">
        <f t="shared" si="16"/>
        <v>937638.12133279815</v>
      </c>
      <c r="BW12" s="239">
        <f t="shared" si="17"/>
        <v>793536.7407842034</v>
      </c>
      <c r="BX12" s="239">
        <f t="shared" si="14"/>
        <v>74060.911835207356</v>
      </c>
    </row>
    <row r="13" spans="1:76" ht="12.75" customHeight="1" thickBot="1" x14ac:dyDescent="0.35">
      <c r="A13" s="480"/>
      <c r="B13" s="13" t="s">
        <v>15</v>
      </c>
      <c r="C13" s="14"/>
      <c r="D13" s="38">
        <v>7366442.9851119583</v>
      </c>
      <c r="E13" s="38"/>
      <c r="F13" s="38">
        <v>3156823.1414713804</v>
      </c>
      <c r="G13" s="67">
        <v>266106.52899199998</v>
      </c>
      <c r="H13" s="67">
        <v>0</v>
      </c>
      <c r="I13" s="67"/>
      <c r="J13" s="67"/>
      <c r="K13" s="116">
        <v>107260.34</v>
      </c>
      <c r="L13" s="116">
        <v>0</v>
      </c>
      <c r="M13" s="116"/>
      <c r="N13" s="116"/>
      <c r="O13" s="68">
        <v>170017.04106100003</v>
      </c>
      <c r="P13" s="68">
        <v>0</v>
      </c>
      <c r="Q13" s="68"/>
      <c r="R13" s="68"/>
      <c r="S13" s="163">
        <v>141552.63</v>
      </c>
      <c r="T13" s="164">
        <v>0</v>
      </c>
      <c r="U13" s="164"/>
      <c r="V13" s="165"/>
      <c r="W13" s="67">
        <v>334246.14000000007</v>
      </c>
      <c r="X13" s="67">
        <v>0</v>
      </c>
      <c r="Y13" s="67"/>
      <c r="Z13" s="67"/>
      <c r="AA13" s="116">
        <v>167868.13</v>
      </c>
      <c r="AB13" s="116">
        <v>0</v>
      </c>
      <c r="AC13" s="116"/>
      <c r="AD13" s="116"/>
      <c r="AE13" s="68">
        <v>132511.28</v>
      </c>
      <c r="AF13" s="68">
        <v>0</v>
      </c>
      <c r="AG13" s="68"/>
      <c r="AH13" s="117"/>
      <c r="AI13" s="163">
        <v>323314.10387699993</v>
      </c>
      <c r="AJ13" s="164">
        <v>0</v>
      </c>
      <c r="AK13" s="164"/>
      <c r="AL13" s="165"/>
      <c r="AM13" s="52">
        <v>91335.93</v>
      </c>
      <c r="AN13" s="189">
        <v>0</v>
      </c>
      <c r="AO13" s="118"/>
      <c r="AP13" s="119"/>
      <c r="AQ13" s="206">
        <v>243514.73</v>
      </c>
      <c r="AR13" s="200">
        <v>0</v>
      </c>
      <c r="AS13" s="200"/>
      <c r="AT13" s="200"/>
      <c r="AU13" s="212">
        <v>0</v>
      </c>
      <c r="AV13" s="212">
        <v>0</v>
      </c>
      <c r="AW13" s="212"/>
      <c r="AX13" s="212"/>
      <c r="AY13" s="131">
        <v>56420.78</v>
      </c>
      <c r="AZ13" s="131">
        <v>0</v>
      </c>
      <c r="BA13" s="131"/>
      <c r="BB13" s="131"/>
      <c r="BC13" s="138">
        <f>+SUM(BC5:BC12)</f>
        <v>1275811.54</v>
      </c>
      <c r="BD13" s="138">
        <f>+SUM(BD5:BD12)</f>
        <v>0</v>
      </c>
      <c r="BE13" s="138"/>
      <c r="BF13" s="138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240">
        <f>SUM(BV5:BV12)</f>
        <v>10220948.327460408</v>
      </c>
      <c r="BW13" s="240">
        <f>SUM(BW5:BW12)</f>
        <v>7243427.3732264023</v>
      </c>
      <c r="BX13" s="240">
        <f>SUM(BX5:BX12)</f>
        <v>1908266.3280777163</v>
      </c>
    </row>
    <row r="14" spans="1:76" ht="12.75" customHeight="1" x14ac:dyDescent="0.35">
      <c r="A14" s="6"/>
      <c r="B14" s="4" t="s">
        <v>18</v>
      </c>
      <c r="C14" s="15"/>
      <c r="D14" s="40">
        <v>0</v>
      </c>
      <c r="E14" s="195"/>
      <c r="F14" s="77">
        <v>0</v>
      </c>
      <c r="G14" s="104"/>
      <c r="H14" s="104"/>
      <c r="I14" s="104"/>
      <c r="J14" s="104"/>
      <c r="K14" s="105"/>
      <c r="L14" s="106">
        <v>0</v>
      </c>
      <c r="M14" s="106"/>
      <c r="N14" s="105"/>
      <c r="O14" s="107"/>
      <c r="P14" s="107"/>
      <c r="Q14" s="107"/>
      <c r="R14" s="107"/>
      <c r="S14" s="168"/>
      <c r="T14" s="168"/>
      <c r="U14" s="169"/>
      <c r="V14" s="170"/>
      <c r="W14" s="73"/>
      <c r="X14" s="73"/>
      <c r="Y14" s="74"/>
      <c r="Z14" s="73"/>
      <c r="AA14" s="75"/>
      <c r="AB14" s="75"/>
      <c r="AC14" s="171"/>
      <c r="AD14" s="75"/>
      <c r="AE14" s="50"/>
      <c r="AF14" s="50"/>
      <c r="AG14" s="53"/>
      <c r="AH14" s="50"/>
      <c r="AI14" s="169"/>
      <c r="AJ14" s="170"/>
      <c r="AK14" s="170"/>
      <c r="AL14" s="170"/>
      <c r="AM14" s="190">
        <v>0</v>
      </c>
      <c r="AN14" s="85">
        <v>0</v>
      </c>
      <c r="AO14" s="85"/>
      <c r="AP14" s="86"/>
      <c r="AQ14" s="207">
        <v>0</v>
      </c>
      <c r="AR14" s="202">
        <v>0</v>
      </c>
      <c r="AS14" s="202"/>
      <c r="AT14" s="202"/>
      <c r="AU14" s="218">
        <v>0</v>
      </c>
      <c r="AV14" s="214">
        <v>0</v>
      </c>
      <c r="AW14" s="214"/>
      <c r="AX14" s="219"/>
      <c r="AY14" s="128">
        <v>0</v>
      </c>
      <c r="AZ14" s="128">
        <v>0</v>
      </c>
      <c r="BA14" s="128"/>
      <c r="BB14" s="128"/>
      <c r="BC14" s="143"/>
      <c r="BD14" s="143"/>
      <c r="BE14" s="143"/>
      <c r="BF14" s="143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241"/>
      <c r="BW14" s="241"/>
      <c r="BX14" s="241"/>
    </row>
    <row r="15" spans="1:76" ht="12.75" customHeight="1" x14ac:dyDescent="0.25">
      <c r="A15" s="6"/>
      <c r="B15" s="3" t="s">
        <v>95</v>
      </c>
      <c r="C15" s="7">
        <v>30</v>
      </c>
      <c r="D15" s="37">
        <v>0</v>
      </c>
      <c r="E15" s="151"/>
      <c r="F15" s="152">
        <v>0</v>
      </c>
      <c r="G15" s="87">
        <v>0</v>
      </c>
      <c r="H15" s="88"/>
      <c r="I15" s="127"/>
      <c r="J15" s="88"/>
      <c r="K15" s="89">
        <v>0</v>
      </c>
      <c r="L15" s="90">
        <v>0</v>
      </c>
      <c r="M15" s="153"/>
      <c r="N15" s="91"/>
      <c r="O15" s="95">
        <v>0</v>
      </c>
      <c r="P15" s="93"/>
      <c r="Q15" s="94"/>
      <c r="R15" s="93"/>
      <c r="S15" s="154">
        <v>0</v>
      </c>
      <c r="T15" s="114"/>
      <c r="U15" s="154"/>
      <c r="V15" s="155"/>
      <c r="W15" s="58">
        <v>0</v>
      </c>
      <c r="X15" s="58">
        <v>0</v>
      </c>
      <c r="Y15" s="58"/>
      <c r="Z15" s="59"/>
      <c r="AA15" s="76">
        <v>0</v>
      </c>
      <c r="AB15" s="156">
        <v>0</v>
      </c>
      <c r="AC15" s="157"/>
      <c r="AD15" s="61"/>
      <c r="AE15" s="63">
        <v>0</v>
      </c>
      <c r="AF15" s="63">
        <v>0</v>
      </c>
      <c r="AG15" s="158"/>
      <c r="AH15" s="62"/>
      <c r="AI15" s="154">
        <v>0</v>
      </c>
      <c r="AJ15" s="154">
        <v>0</v>
      </c>
      <c r="AK15" s="154"/>
      <c r="AL15" s="155"/>
      <c r="AM15" s="49">
        <v>0</v>
      </c>
      <c r="AN15" s="49">
        <v>0</v>
      </c>
      <c r="AO15" s="49"/>
      <c r="AP15" s="50"/>
      <c r="AQ15" s="159">
        <v>0</v>
      </c>
      <c r="AR15" s="198">
        <v>0</v>
      </c>
      <c r="AS15" s="198"/>
      <c r="AT15" s="198"/>
      <c r="AU15" s="210">
        <v>0</v>
      </c>
      <c r="AV15" s="210">
        <v>0</v>
      </c>
      <c r="AW15" s="210"/>
      <c r="AX15" s="210"/>
      <c r="AY15" s="129">
        <v>0</v>
      </c>
      <c r="AZ15" s="129">
        <v>0</v>
      </c>
      <c r="BA15" s="129"/>
      <c r="BB15" s="129"/>
      <c r="BC15" s="139">
        <v>0</v>
      </c>
      <c r="BD15" s="136"/>
      <c r="BE15" s="136"/>
      <c r="BF15" s="136"/>
      <c r="BG15" s="26">
        <f>IF(D15=0,0,2001-(D15-F15)*C15/D15)</f>
        <v>0</v>
      </c>
      <c r="BH15" s="43">
        <f>IF((1-($BV$2-$BG15)/$C15)&gt;0,(1-($BV$2-$BG15)/$C15),0)</f>
        <v>0</v>
      </c>
      <c r="BI15" s="43">
        <f>IF((1-($BV$2-G$2)/$C15)&gt;0,(1-($BV$2-G$2)/$C15),0)</f>
        <v>0.6</v>
      </c>
      <c r="BJ15" s="43">
        <f>IF((1-($BV$2-K$2)/$C15)&gt;0,(1-($BV$2-K$2)/$C15),0)</f>
        <v>0.6333333333333333</v>
      </c>
      <c r="BK15" s="43">
        <f>IF((1-($BV$2-O$2)/$C15)&gt;0,(1-($BV$2-O$2)/$C15),0)</f>
        <v>0.66666666666666674</v>
      </c>
      <c r="BL15" s="43">
        <f>IF((1-($BV$2-S$2)/$C15)&gt;0,(1-($BV$2-S$2)/$C15),0)</f>
        <v>0.7</v>
      </c>
      <c r="BM15" s="43">
        <f>IF((1-($BV$2-W$2)/$C15)&gt;0,(1-($BV$2-W$2)/$C15),0)</f>
        <v>0.73333333333333339</v>
      </c>
      <c r="BN15" s="43">
        <f>IF((1-($BV$2-AA$2)/$C15)&gt;0,(1-($BV$2-AA$2)/$C15),0)</f>
        <v>0.76666666666666661</v>
      </c>
      <c r="BO15" s="43">
        <f>IF((1-($BV$2-AE$2)/$C15)&gt;0,(1-($BV$2-AE$2)/$C15),0)</f>
        <v>0.8</v>
      </c>
      <c r="BP15" s="43">
        <f>IF((1-($BV$2-AI$2)/$C15)&gt;0,(1-($BV$2-AI$2)/$C15),0)</f>
        <v>0.83333333333333337</v>
      </c>
      <c r="BQ15" s="43">
        <f>IF((1-($BV$2-AM$2)/$C15)&gt;0,(1-($BV$2-AM$2)/$C15),0)</f>
        <v>0.8666666666666667</v>
      </c>
      <c r="BR15" s="43">
        <f>IF((1-($BV$2-AQ$2)/$C15)&gt;0,(1-($BV$2-AQ$2)/$C15),0)</f>
        <v>0.9</v>
      </c>
      <c r="BS15" s="43">
        <f>IF((1-($BV$2-AU$2)/$C15)&gt;0,(1-($BV$2-AU$2)/$C15),0)</f>
        <v>0.93333333333333335</v>
      </c>
      <c r="BT15" s="43">
        <f>IF((1-($BV$2-AY$2)/$C15)&gt;0,(1-($BV$2-AY$2)/$C15),0)</f>
        <v>0.96666666666666667</v>
      </c>
      <c r="BU15" s="43">
        <f>IF((1-($BV$2-BC$2)/$C15)&gt;0,(1-($BV$2-BC$2)/$C15),0)</f>
        <v>1</v>
      </c>
      <c r="BV15" s="239">
        <f>+D15-E15+(G15-I15)*G$61+(K15-M15)*K$61+(O15-Q15)*O$61+(S15-U15)*S$61+(W15-Y15)*W$61+(AA15-AC15)*AA$61+(AE15-AG15)*AE$61+(AI15-AK15)*AI$61+(AM15-AO15)*AM$61+(AQ15-AS15)*$AQ$61+(AU15-AW15)*$AU$61+(AY15-BA15)*$AY$61+(BC15-BE15)*$BC$61</f>
        <v>0</v>
      </c>
      <c r="BW15" s="239">
        <f>BV15-(IF(BH15=0,0,D15-E15)+IF(BI15=0,0,(G15-I15)*G$61)+IF(BJ15=0,0,(K15-M15)*K$61)+IF(BK15=0,0,(O15-Q15)*O$61)+IF(BL15=0,0,(S15-U15)*S$61)+IF(BM15=0,0,(W15-Y15)*W$61)+IF(BN15=0,0,(AA15-AC15)*AA$61)+IF(BO15=0,0,(AE15-AG15)*AE$61)+IF(BP15=0,0,(AI15-AK15)*AI$61)+IF(BQ15=0,0,(AM15-AO15)*AM$61)+IF(BR15=0,0,(AQ15-AS15)*$AQ$61)+IF(BS15=0,0,(AU15-AW15)*$AU$61)+IF(BT15=0,0,(AY15-BA15)*$AY$61)++IF(BU15=0,0,(BC15-BE15)*$BC$61))</f>
        <v>0</v>
      </c>
      <c r="BX15" s="239">
        <f>(D15-E15)*BH15+((G15-H15-(I15-J15))*G$61)*BI15+((K15-L15-(M15-N15))*K$61)*BJ15+((O15-P15-(Q15-R15))*O$61)*BK15+((S15-T15-(U15-V15))*S$61)*BL15+((W15-X15-(Y15-Z15))*W$61)*BM15+((AA15-AB15-(AC15-AD15))*AA$61)*BN15+((AE15-AF15-(AG15-AH15))*AE$61)*BO15+((AI15-AJ15-(AK15-AL15))*AI$61)*BP15+((AM15-AN15)*BQ15-(AO15-AP15))*$AM$61+((AQ15-AR15)*BR15-(AS15-AT15))*$AQ$61+((AU15-AV15)*BS15-(AW15-AX15))*$AU$61+((AY15-AZ15)*BT15-(BA15-BB15))*$AY$61+((BC15-BD15)*BU15-(BF15-BG15))*$BC$61</f>
        <v>0</v>
      </c>
    </row>
    <row r="16" spans="1:76" ht="12.75" customHeight="1" x14ac:dyDescent="0.25">
      <c r="A16" s="6"/>
      <c r="B16" s="3" t="s">
        <v>96</v>
      </c>
      <c r="C16" s="7">
        <v>30</v>
      </c>
      <c r="D16" s="37">
        <v>0</v>
      </c>
      <c r="E16" s="151"/>
      <c r="F16" s="152">
        <v>0</v>
      </c>
      <c r="G16" s="87">
        <v>0</v>
      </c>
      <c r="H16" s="88"/>
      <c r="I16" s="127"/>
      <c r="J16" s="88"/>
      <c r="K16" s="89">
        <v>0</v>
      </c>
      <c r="L16" s="90">
        <v>0</v>
      </c>
      <c r="M16" s="153"/>
      <c r="N16" s="91"/>
      <c r="O16" s="95">
        <v>0</v>
      </c>
      <c r="P16" s="93"/>
      <c r="Q16" s="94"/>
      <c r="R16" s="93"/>
      <c r="S16" s="154">
        <v>0</v>
      </c>
      <c r="T16" s="114"/>
      <c r="U16" s="154"/>
      <c r="V16" s="155"/>
      <c r="W16" s="58">
        <v>0</v>
      </c>
      <c r="X16" s="58">
        <v>0</v>
      </c>
      <c r="Y16" s="58"/>
      <c r="Z16" s="59"/>
      <c r="AA16" s="76">
        <v>0</v>
      </c>
      <c r="AB16" s="156">
        <v>0</v>
      </c>
      <c r="AC16" s="157"/>
      <c r="AD16" s="61"/>
      <c r="AE16" s="63">
        <v>0</v>
      </c>
      <c r="AF16" s="63">
        <v>0</v>
      </c>
      <c r="AG16" s="158"/>
      <c r="AH16" s="62"/>
      <c r="AI16" s="154">
        <v>0</v>
      </c>
      <c r="AJ16" s="154">
        <v>0</v>
      </c>
      <c r="AK16" s="154"/>
      <c r="AL16" s="155"/>
      <c r="AM16" s="49">
        <v>0</v>
      </c>
      <c r="AN16" s="49">
        <v>0</v>
      </c>
      <c r="AO16" s="49"/>
      <c r="AP16" s="50"/>
      <c r="AQ16" s="159">
        <v>0</v>
      </c>
      <c r="AR16" s="198">
        <v>0</v>
      </c>
      <c r="AS16" s="198"/>
      <c r="AT16" s="198"/>
      <c r="AU16" s="210">
        <v>0</v>
      </c>
      <c r="AV16" s="210">
        <v>0</v>
      </c>
      <c r="AW16" s="210"/>
      <c r="AX16" s="210"/>
      <c r="AY16" s="129">
        <v>0</v>
      </c>
      <c r="AZ16" s="129">
        <v>0</v>
      </c>
      <c r="BA16" s="129"/>
      <c r="BB16" s="129"/>
      <c r="BC16" s="139">
        <v>0</v>
      </c>
      <c r="BD16" s="136"/>
      <c r="BE16" s="136"/>
      <c r="BF16" s="136"/>
      <c r="BG16" s="26">
        <f>IF(D16=0,0,2001-(D16-F16)*C16/D16)</f>
        <v>0</v>
      </c>
      <c r="BH16" s="43">
        <f>IF((1-($BV$2-$BG16)/$C16)&gt;0,(1-($BV$2-$BG16)/$C16),0)</f>
        <v>0</v>
      </c>
      <c r="BI16" s="43">
        <f>IF((1-($BV$2-G$2)/$C16)&gt;0,(1-($BV$2-G$2)/$C16),0)</f>
        <v>0.6</v>
      </c>
      <c r="BJ16" s="43">
        <f>IF((1-($BV$2-K$2)/$C16)&gt;0,(1-($BV$2-K$2)/$C16),0)</f>
        <v>0.6333333333333333</v>
      </c>
      <c r="BK16" s="43">
        <f>IF((1-($BV$2-O$2)/$C16)&gt;0,(1-($BV$2-O$2)/$C16),0)</f>
        <v>0.66666666666666674</v>
      </c>
      <c r="BL16" s="43">
        <f>IF((1-($BV$2-S$2)/$C16)&gt;0,(1-($BV$2-S$2)/$C16),0)</f>
        <v>0.7</v>
      </c>
      <c r="BM16" s="43">
        <f>IF((1-($BV$2-W$2)/$C16)&gt;0,(1-($BV$2-W$2)/$C16),0)</f>
        <v>0.73333333333333339</v>
      </c>
      <c r="BN16" s="43">
        <f>IF((1-($BV$2-AA$2)/$C16)&gt;0,(1-($BV$2-AA$2)/$C16),0)</f>
        <v>0.76666666666666661</v>
      </c>
      <c r="BO16" s="43">
        <f>IF((1-($BV$2-AE$2)/$C16)&gt;0,(1-($BV$2-AE$2)/$C16),0)</f>
        <v>0.8</v>
      </c>
      <c r="BP16" s="43">
        <f>IF((1-($BV$2-AI$2)/$C16)&gt;0,(1-($BV$2-AI$2)/$C16),0)</f>
        <v>0.83333333333333337</v>
      </c>
      <c r="BQ16" s="43">
        <f>IF((1-($BV$2-AM$2)/$C16)&gt;0,(1-($BV$2-AM$2)/$C16),0)</f>
        <v>0.8666666666666667</v>
      </c>
      <c r="BR16" s="43">
        <f>IF((1-($BV$2-AQ$2)/$C16)&gt;0,(1-($BV$2-AQ$2)/$C16),0)</f>
        <v>0.9</v>
      </c>
      <c r="BS16" s="43">
        <f>IF((1-($BV$2-AU$2)/$C16)&gt;0,(1-($BV$2-AU$2)/$C16),0)</f>
        <v>0.93333333333333335</v>
      </c>
      <c r="BT16" s="43">
        <f>IF((1-($BV$2-AY$2)/$C16)&gt;0,(1-($BV$2-AY$2)/$C16),0)</f>
        <v>0.96666666666666667</v>
      </c>
      <c r="BU16" s="43">
        <f>IF((1-($BV$2-BC$2)/$C16)&gt;0,(1-($BV$2-BC$2)/$C16),0)</f>
        <v>1</v>
      </c>
      <c r="BV16" s="239">
        <f>+D16-E16+(G16-I16)*G$61+(K16-M16)*K$61+(O16-Q16)*O$61+(S16-U16)*S$61+(W16-Y16)*W$61+(AA16-AC16)*AA$61+(AE16-AG16)*AE$61+(AI16-AK16)*AI$61+(AM16-AO16)*AM$61+(AQ16-AS16)*$AQ$61+(AU16-AW16)*$AU$61+(AY16-BA16)*$AY$61+(BC16-BE16)*$BC$61</f>
        <v>0</v>
      </c>
      <c r="BW16" s="239">
        <f>BV16-(IF(BH16=0,0,D16-E16)+IF(BI16=0,0,(G16-I16)*G$61)+IF(BJ16=0,0,(K16-M16)*K$61)+IF(BK16=0,0,(O16-Q16)*O$61)+IF(BL16=0,0,(S16-U16)*S$61)+IF(BM16=0,0,(W16-Y16)*W$61)+IF(BN16=0,0,(AA16-AC16)*AA$61)+IF(BO16=0,0,(AE16-AG16)*AE$61)+IF(BP16=0,0,(AI16-AK16)*AI$61)+IF(BQ16=0,0,(AM16-AO16)*AM$61)+IF(BR16=0,0,(AQ16-AS16)*$AQ$61)+IF(BS16=0,0,(AU16-AW16)*$AU$61)+IF(BT16=0,0,(AY16-BA16)*$AY$61)++IF(BU16=0,0,(BC16-BE16)*$BC$61))</f>
        <v>0</v>
      </c>
      <c r="BX16" s="239">
        <f>(D16-E16)*BH16+((G16-H16-(I16-J16))*G$61)*BI16+((K16-L16-(M16-N16))*K$61)*BJ16+((O16-P16-(Q16-R16))*O$61)*BK16+((S16-T16-(U16-V16))*S$61)*BL16+((W16-X16-(Y16-Z16))*W$61)*BM16+((AA16-AB16-(AC16-AD16))*AA$61)*BN16+((AE16-AF16-(AG16-AH16))*AE$61)*BO16+((AI16-AJ16-(AK16-AL16))*AI$61)*BP16+((AM16-AN16)*BQ16-(AO16-AP16))*$AM$61+((AQ16-AR16)*BR16-(AS16-AT16))*$AQ$61+((AU16-AV16)*BS16-(AW16-AX16))*$AU$61+((AY16-AZ16)*BT16-(BA16-BB16))*$AY$61+((BC16-BD16)*BU16-(BF16-BG16))*$BC$61</f>
        <v>0</v>
      </c>
    </row>
    <row r="17" spans="1:79" ht="12.75" customHeight="1" x14ac:dyDescent="0.25">
      <c r="A17" s="6"/>
      <c r="B17" s="3" t="s">
        <v>97</v>
      </c>
      <c r="C17" s="7">
        <v>30</v>
      </c>
      <c r="D17" s="37">
        <v>0</v>
      </c>
      <c r="E17" s="151"/>
      <c r="F17" s="152">
        <v>0</v>
      </c>
      <c r="G17" s="87">
        <v>0</v>
      </c>
      <c r="H17" s="88"/>
      <c r="I17" s="127"/>
      <c r="J17" s="88"/>
      <c r="K17" s="89">
        <v>0</v>
      </c>
      <c r="L17" s="90">
        <v>0</v>
      </c>
      <c r="M17" s="153"/>
      <c r="N17" s="91"/>
      <c r="O17" s="95">
        <v>0</v>
      </c>
      <c r="P17" s="93"/>
      <c r="Q17" s="94"/>
      <c r="R17" s="93"/>
      <c r="S17" s="154">
        <v>0</v>
      </c>
      <c r="T17" s="114"/>
      <c r="U17" s="154"/>
      <c r="V17" s="155"/>
      <c r="W17" s="58">
        <v>0</v>
      </c>
      <c r="X17" s="58">
        <v>0</v>
      </c>
      <c r="Y17" s="58"/>
      <c r="Z17" s="59"/>
      <c r="AA17" s="76">
        <v>0</v>
      </c>
      <c r="AB17" s="156">
        <v>0</v>
      </c>
      <c r="AC17" s="157"/>
      <c r="AD17" s="61"/>
      <c r="AE17" s="63">
        <v>0</v>
      </c>
      <c r="AF17" s="63">
        <v>0</v>
      </c>
      <c r="AG17" s="158"/>
      <c r="AH17" s="62"/>
      <c r="AI17" s="154">
        <v>0</v>
      </c>
      <c r="AJ17" s="154">
        <v>0</v>
      </c>
      <c r="AK17" s="154"/>
      <c r="AL17" s="155"/>
      <c r="AM17" s="49">
        <v>0</v>
      </c>
      <c r="AN17" s="49">
        <v>0</v>
      </c>
      <c r="AO17" s="49"/>
      <c r="AP17" s="50"/>
      <c r="AQ17" s="159">
        <v>0</v>
      </c>
      <c r="AR17" s="198">
        <v>0</v>
      </c>
      <c r="AS17" s="198"/>
      <c r="AT17" s="198"/>
      <c r="AU17" s="210">
        <v>0</v>
      </c>
      <c r="AV17" s="210">
        <v>0</v>
      </c>
      <c r="AW17" s="210"/>
      <c r="AX17" s="210"/>
      <c r="AY17" s="129">
        <v>0</v>
      </c>
      <c r="AZ17" s="129">
        <v>0</v>
      </c>
      <c r="BA17" s="129"/>
      <c r="BB17" s="129"/>
      <c r="BC17" s="139">
        <v>882092.27</v>
      </c>
      <c r="BD17" s="136"/>
      <c r="BE17" s="136"/>
      <c r="BF17" s="136"/>
      <c r="BG17" s="26">
        <f>IF(D17=0,0,2001-(D17-F17)*C17/D17)</f>
        <v>0</v>
      </c>
      <c r="BH17" s="43">
        <f>IF((1-($BV$2-$BG17)/$C17)&gt;0,(1-($BV$2-$BG17)/$C17),0)</f>
        <v>0</v>
      </c>
      <c r="BI17" s="43">
        <f>IF((1-($BV$2-G$2)/$C17)&gt;0,(1-($BV$2-G$2)/$C17),0)</f>
        <v>0.6</v>
      </c>
      <c r="BJ17" s="43">
        <f>IF((1-($BV$2-K$2)/$C17)&gt;0,(1-($BV$2-K$2)/$C17),0)</f>
        <v>0.6333333333333333</v>
      </c>
      <c r="BK17" s="43">
        <f>IF((1-($BV$2-O$2)/$C17)&gt;0,(1-($BV$2-O$2)/$C17),0)</f>
        <v>0.66666666666666674</v>
      </c>
      <c r="BL17" s="43">
        <f>IF((1-($BV$2-S$2)/$C17)&gt;0,(1-($BV$2-S$2)/$C17),0)</f>
        <v>0.7</v>
      </c>
      <c r="BM17" s="43">
        <f>IF((1-($BV$2-W$2)/$C17)&gt;0,(1-($BV$2-W$2)/$C17),0)</f>
        <v>0.73333333333333339</v>
      </c>
      <c r="BN17" s="43">
        <f>IF((1-($BV$2-AA$2)/$C17)&gt;0,(1-($BV$2-AA$2)/$C17),0)</f>
        <v>0.76666666666666661</v>
      </c>
      <c r="BO17" s="43">
        <f>IF((1-($BV$2-AE$2)/$C17)&gt;0,(1-($BV$2-AE$2)/$C17),0)</f>
        <v>0.8</v>
      </c>
      <c r="BP17" s="43">
        <f>IF((1-($BV$2-AI$2)/$C17)&gt;0,(1-($BV$2-AI$2)/$C17),0)</f>
        <v>0.83333333333333337</v>
      </c>
      <c r="BQ17" s="43">
        <f>IF((1-($BV$2-AM$2)/$C17)&gt;0,(1-($BV$2-AM$2)/$C17),0)</f>
        <v>0.8666666666666667</v>
      </c>
      <c r="BR17" s="43">
        <f>IF((1-($BV$2-AQ$2)/$C17)&gt;0,(1-($BV$2-AQ$2)/$C17),0)</f>
        <v>0.9</v>
      </c>
      <c r="BS17" s="43">
        <f>IF((1-($BV$2-AU$2)/$C17)&gt;0,(1-($BV$2-AU$2)/$C17),0)</f>
        <v>0.93333333333333335</v>
      </c>
      <c r="BT17" s="43">
        <f>IF((1-($BV$2-AY$2)/$C17)&gt;0,(1-($BV$2-AY$2)/$C17),0)</f>
        <v>0.96666666666666667</v>
      </c>
      <c r="BU17" s="43">
        <f>IF((1-($BV$2-BC$2)/$C17)&gt;0,(1-($BV$2-BC$2)/$C17),0)</f>
        <v>1</v>
      </c>
      <c r="BV17" s="239">
        <f>+D17-E17+(G17-I17)*G$61+(K17-M17)*K$61+(O17-Q17)*O$61+(S17-U17)*S$61+(W17-Y17)*W$61+(AA17-AC17)*AA$61+(AE17-AG17)*AE$61+(AI17-AK17)*AI$61+(AM17-AO17)*AM$61+(AQ17-AS17)*$AQ$61+(AU17-AW17)*$AU$61+(AY17-BA17)*$AY$61+(BC17-BE17)*$BC$61</f>
        <v>729395.82168605283</v>
      </c>
      <c r="BW17" s="239">
        <f>BV17-(IF(BH17=0,0,D17-E17)+IF(BI17=0,0,(G17-I17)*G$61)+IF(BJ17=0,0,(K17-M17)*K$61)+IF(BK17=0,0,(O17-Q17)*O$61)+IF(BL17=0,0,(S17-U17)*S$61)+IF(BM17=0,0,(W17-Y17)*W$61)+IF(BN17=0,0,(AA17-AC17)*AA$61)+IF(BO17=0,0,(AE17-AG17)*AE$61)+IF(BP17=0,0,(AI17-AK17)*AI$61)+IF(BQ17=0,0,(AM17-AO17)*AM$61)+IF(BR17=0,0,(AQ17-AS17)*$AQ$61)+IF(BS17=0,0,(AU17-AW17)*$AU$61)+IF(BT17=0,0,(AY17-BA17)*$AY$61)++IF(BU17=0,0,(BC17-BE17)*$BC$61))</f>
        <v>0</v>
      </c>
      <c r="BX17" s="239">
        <f>(D17-E17)*BH17+((G17-H17-(I17-J17))*G$61)*BI17+((K17-L17-(M17-N17))*K$61)*BJ17+((O17-P17-(Q17-R17))*O$61)*BK17+((S17-T17-(U17-V17))*S$61)*BL17+((W17-X17-(Y17-Z17))*W$61)*BM17+((AA17-AB17-(AC17-AD17))*AA$61)*BN17+((AE17-AF17-(AG17-AH17))*AE$61)*BO17+((AI17-AJ17-(AK17-AL17))*AI$61)*BP17+((AM17-AN17)*BQ17-(AO17-AP17))*$AM$61+((AQ17-AR17)*BR17-(AS17-AT17))*$AQ$61+((AU17-AV17)*BS17-(AW17-AX17))*$AU$61+((AY17-AZ17)*BT17-(BA17-BB17))*$AY$61+((BC17-BD17)*BU17-(BF17-BG17))*$BC$61</f>
        <v>729395.82168605283</v>
      </c>
    </row>
    <row r="18" spans="1:79" ht="12.75" customHeight="1" x14ac:dyDescent="0.35">
      <c r="A18" s="6"/>
      <c r="B18" s="4" t="s">
        <v>19</v>
      </c>
      <c r="C18" s="15"/>
      <c r="D18" s="77">
        <v>0</v>
      </c>
      <c r="E18" s="109"/>
      <c r="F18" s="77">
        <v>0</v>
      </c>
      <c r="G18" s="104"/>
      <c r="H18" s="104"/>
      <c r="I18" s="104"/>
      <c r="J18" s="104"/>
      <c r="K18" s="105"/>
      <c r="L18" s="106">
        <v>0</v>
      </c>
      <c r="M18" s="106"/>
      <c r="N18" s="105"/>
      <c r="O18" s="107"/>
      <c r="P18" s="107"/>
      <c r="Q18" s="107"/>
      <c r="R18" s="107"/>
      <c r="S18" s="168"/>
      <c r="T18" s="168"/>
      <c r="U18" s="169"/>
      <c r="V18" s="170"/>
      <c r="W18" s="74"/>
      <c r="X18" s="73"/>
      <c r="Y18" s="74"/>
      <c r="Z18" s="73"/>
      <c r="AA18" s="75"/>
      <c r="AB18" s="75"/>
      <c r="AC18" s="171"/>
      <c r="AD18" s="75"/>
      <c r="AE18" s="50"/>
      <c r="AF18" s="50"/>
      <c r="AG18" s="53"/>
      <c r="AH18" s="50"/>
      <c r="AI18" s="169"/>
      <c r="AJ18" s="170"/>
      <c r="AK18" s="170"/>
      <c r="AL18" s="170"/>
      <c r="AM18" s="190">
        <v>0</v>
      </c>
      <c r="AN18" s="85">
        <v>0</v>
      </c>
      <c r="AO18" s="85"/>
      <c r="AP18" s="86"/>
      <c r="AQ18" s="207">
        <v>0</v>
      </c>
      <c r="AR18" s="202">
        <v>0</v>
      </c>
      <c r="AS18" s="202"/>
      <c r="AT18" s="202"/>
      <c r="AU18" s="218">
        <v>0</v>
      </c>
      <c r="AV18" s="214">
        <v>0</v>
      </c>
      <c r="AW18" s="214"/>
      <c r="AX18" s="219"/>
      <c r="AY18" s="128">
        <v>0</v>
      </c>
      <c r="AZ18" s="128">
        <v>0</v>
      </c>
      <c r="BA18" s="128"/>
      <c r="BB18" s="128"/>
      <c r="BC18" s="143"/>
      <c r="BD18" s="143"/>
      <c r="BE18" s="143"/>
      <c r="BF18" s="143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241"/>
      <c r="BW18" s="241"/>
      <c r="BX18" s="241"/>
    </row>
    <row r="19" spans="1:79" ht="12.75" customHeight="1" x14ac:dyDescent="0.25">
      <c r="A19" s="6"/>
      <c r="B19" s="3" t="s">
        <v>20</v>
      </c>
      <c r="C19" s="7">
        <v>30</v>
      </c>
      <c r="D19" s="37">
        <v>20631115.423739497</v>
      </c>
      <c r="E19" s="151"/>
      <c r="F19" s="152">
        <v>11427451.59935529</v>
      </c>
      <c r="G19" s="87">
        <v>275088</v>
      </c>
      <c r="H19" s="88"/>
      <c r="I19" s="127"/>
      <c r="J19" s="88"/>
      <c r="K19" s="89">
        <v>838585.51</v>
      </c>
      <c r="L19" s="90">
        <v>252735</v>
      </c>
      <c r="M19" s="153"/>
      <c r="N19" s="91"/>
      <c r="O19" s="95">
        <v>682132.64</v>
      </c>
      <c r="P19" s="93"/>
      <c r="Q19" s="94"/>
      <c r="R19" s="93"/>
      <c r="S19" s="154">
        <v>853048</v>
      </c>
      <c r="T19" s="114"/>
      <c r="U19" s="154"/>
      <c r="V19" s="155"/>
      <c r="W19" s="58">
        <v>1150963.24</v>
      </c>
      <c r="X19" s="58">
        <v>0</v>
      </c>
      <c r="Y19" s="58"/>
      <c r="Z19" s="59"/>
      <c r="AA19" s="76">
        <v>1286599.07</v>
      </c>
      <c r="AB19" s="156">
        <v>255770.07</v>
      </c>
      <c r="AC19" s="157"/>
      <c r="AD19" s="61"/>
      <c r="AE19" s="63">
        <v>1756704.5</v>
      </c>
      <c r="AF19" s="63">
        <v>0</v>
      </c>
      <c r="AG19" s="158"/>
      <c r="AH19" s="62"/>
      <c r="AI19" s="154">
        <v>3549323.0099999965</v>
      </c>
      <c r="AJ19" s="154">
        <v>0</v>
      </c>
      <c r="AK19" s="154"/>
      <c r="AL19" s="155"/>
      <c r="AM19" s="49">
        <v>1341910.8899999994</v>
      </c>
      <c r="AN19" s="49">
        <v>0</v>
      </c>
      <c r="AO19" s="49"/>
      <c r="AP19" s="53"/>
      <c r="AQ19" s="159">
        <v>1605662.6499999997</v>
      </c>
      <c r="AR19" s="198">
        <v>0</v>
      </c>
      <c r="AS19" s="198"/>
      <c r="AT19" s="198"/>
      <c r="AU19" s="210">
        <v>974437.2</v>
      </c>
      <c r="AV19" s="210">
        <v>0</v>
      </c>
      <c r="AW19" s="210"/>
      <c r="AX19" s="210"/>
      <c r="AY19" s="129">
        <v>2945753.8299999982</v>
      </c>
      <c r="AZ19" s="129">
        <v>0</v>
      </c>
      <c r="BA19" s="129"/>
      <c r="BB19" s="129"/>
      <c r="BC19" s="139">
        <v>1470098.0800000005</v>
      </c>
      <c r="BD19" s="136"/>
      <c r="BE19" s="136"/>
      <c r="BF19" s="136"/>
      <c r="BG19" s="26">
        <f t="shared" ref="BG19:BG31" si="18">IF(D19=0,0,2001-(D19-F19)*C19/D19)</f>
        <v>1987.6168208038905</v>
      </c>
      <c r="BH19" s="43">
        <f t="shared" ref="BH19:BH31" si="19">IF((1-($BV$2-$BG19)/$C19)&gt;0,(1-($BV$2-$BG19)/$C19),0)</f>
        <v>0.12056069346301679</v>
      </c>
      <c r="BI19" s="43">
        <f t="shared" ref="BI19:BI31" si="20">IF((1-($BV$2-G$2)/$C19)&gt;0,(1-($BV$2-G$2)/$C19),0)</f>
        <v>0.6</v>
      </c>
      <c r="BJ19" s="43">
        <f t="shared" ref="BJ19:BJ31" si="21">IF((1-($BV$2-K$2)/$C19)&gt;0,(1-($BV$2-K$2)/$C19),0)</f>
        <v>0.6333333333333333</v>
      </c>
      <c r="BK19" s="43">
        <f t="shared" ref="BK19:BK31" si="22">IF((1-($BV$2-O$2)/$C19)&gt;0,(1-($BV$2-O$2)/$C19),0)</f>
        <v>0.66666666666666674</v>
      </c>
      <c r="BL19" s="43">
        <f t="shared" ref="BL19:BL31" si="23">IF((1-($BV$2-S$2)/$C19)&gt;0,(1-($BV$2-S$2)/$C19),0)</f>
        <v>0.7</v>
      </c>
      <c r="BM19" s="43">
        <f t="shared" ref="BM19:BM31" si="24">IF((1-($BV$2-W$2)/$C19)&gt;0,(1-($BV$2-W$2)/$C19),0)</f>
        <v>0.73333333333333339</v>
      </c>
      <c r="BN19" s="43">
        <f t="shared" ref="BN19:BN31" si="25">IF((1-($BV$2-AA$2)/$C19)&gt;0,(1-($BV$2-AA$2)/$C19),0)</f>
        <v>0.76666666666666661</v>
      </c>
      <c r="BO19" s="43">
        <f t="shared" ref="BO19:BO31" si="26">IF((1-($BV$2-AE$2)/$C19)&gt;0,(1-($BV$2-AE$2)/$C19),0)</f>
        <v>0.8</v>
      </c>
      <c r="BP19" s="43">
        <f t="shared" ref="BP19:BP31" si="27">IF((1-($BV$2-AI$2)/$C19)&gt;0,(1-($BV$2-AI$2)/$C19),0)</f>
        <v>0.83333333333333337</v>
      </c>
      <c r="BQ19" s="43">
        <f t="shared" ref="BQ19:BQ31" si="28">IF((1-($BV$2-AM$2)/$C19)&gt;0,(1-($BV$2-AM$2)/$C19),0)</f>
        <v>0.8666666666666667</v>
      </c>
      <c r="BR19" s="43">
        <f t="shared" ref="BR19:BR31" si="29">IF((1-($BV$2-AQ$2)/$C19)&gt;0,(1-($BV$2-AQ$2)/$C19),0)</f>
        <v>0.9</v>
      </c>
      <c r="BS19" s="43">
        <f t="shared" ref="BS19:BS31" si="30">IF((1-($BV$2-AU$2)/$C19)&gt;0,(1-($BV$2-AU$2)/$C19),0)</f>
        <v>0.93333333333333335</v>
      </c>
      <c r="BT19" s="43">
        <f t="shared" ref="BT19:BT31" si="31">IF((1-($BV$2-AY$2)/$C19)&gt;0,(1-($BV$2-AY$2)/$C19),0)</f>
        <v>0.96666666666666667</v>
      </c>
      <c r="BU19" s="43">
        <f t="shared" ref="BU19:BU31" si="32">IF((1-($BV$2-BC$2)/$C19)&gt;0,(1-($BV$2-BC$2)/$C19),0)</f>
        <v>1</v>
      </c>
      <c r="BV19" s="239">
        <f>+D19-E19+(G19-I19)*G$61+(K19-M19)*K$61+(O19-Q19)*O$61+(S19-U19)*S$61+(W19-Y19)*W$61+(AA19-AC19)*AA$61+(AE19-AG19)*AE$61+(AI19-AK19)*AI$61+(AM19-AO19)*AM$61+(AQ19-AS19)*$AQ$61+(AU19-AW19)*$AU$61+(AY19-BA19)*$AY$61+(BC19-BE19)*$BC$61</f>
        <v>35480888.93564748</v>
      </c>
      <c r="BW19" s="239">
        <f>BV19-(IF(BH19=0,0,D19-E19)+IF(BI19=0,0,(G19-I19)*G$61)+IF(BJ19=0,0,(K19-M19)*K$61)+IF(BK19=0,0,(O19-Q19)*O$61)+IF(BL19=0,0,(S19-U19)*S$61)+IF(BM19=0,0,(W19-Y19)*W$61)+IF(BN19=0,0,(AA19-AC19)*AA$61)+IF(BO19=0,0,(AE19-AG19)*AE$61)+IF(BP19=0,0,(AI19-AK19)*AI$61)+IF(BQ19=0,0,(AM19-AO19)*AM$61)+IF(BR19=0,0,(AQ19-AS19)*$AQ$61)+IF(BS19=0,0,(AU19-AW19)*$AU$61)+IF(BT19=0,0,(AY19-BA19)*$AY$61)+IF(BU19=0,0,(BC19-BE19)*$BC$61))</f>
        <v>0</v>
      </c>
      <c r="BX19" s="239">
        <f t="shared" ref="BX19:BX31" si="33">(D19-E19)*BH19+((G19-H19-(I19-J19))*G$61)*BI19+((K19-L19-(M19-N19))*K$61)*BJ19+((O19-P19-(Q19-R19))*O$61)*BK19+((S19-T19-(U19-V19))*S$61)*BL19+((W19-X19-(Y19-Z19))*W$61)*BM19+((AA19-AB19-(AC19-AD19))*AA$61)*BN19+((AE19-AF19-(AG19-AH19))*AE$61)*BO19+((AI19-AJ19-(AK19-AL19))*AI$61)*BP19+((AM19-AN19)*BQ19-(AO19-AP19))*$AM$61+((AQ19-AR19)*BR19-(AS19-AT19))*$AQ$61+((AU19-AV19)*BS19-(AW19-AX19))*$AU$61+((AY19-AZ19)*BT19-(BA19-BB19))*$AY$61+((BC19-BD19)*BU19-(BF19-BG19))*$BC$61</f>
        <v>14550548.999509633</v>
      </c>
      <c r="BY19">
        <f>+IF(BH19=0,D19-E19,0)+IF(BI19=0,(G19-I19)*$G$61,0)+IF(BJ19=0,(K19-M19)*$K$61,0)+IF(BK19=0,(O19-Q19)*$O$61,0)+IF(BL19=0,(S19-U19)*$S$61,0)</f>
        <v>0</v>
      </c>
      <c r="BZ19">
        <f>IF(BH19=0,0,D19-E19)+IF(BI19=0,0,(G19-I19)*G$61)+IF(BJ19=0,0,(K19-M19)*K$61)+IF(BK19=0,0,(O19-Q19)*O$61)+IF(BL19=0,0,(S19-U19)*S$61)+IF(BM19=0,0,(W19-Y19)*W$61)+IF(BN19=0,0,(AA19-AC19)*AA$61)+IF(BO19=0,0,(AE19-AG19)*AE$61)+IF(BP19=0,0,(AI19-AK19)*AI$61)+IF(BQ19=0,0,(AM19-AO19)*AM$61)+IF(BR19=0,0,(AQ19-AS19)*$AQ$61)+IF(BS19=0,0,(AU19-AW19)*$AU$61)+IF(BT19=0,0,(AY19-BA19)*$AY$61)+IF(BU19=0,0,(BC19-BE19)*$BC$61)</f>
        <v>35480888.93564748</v>
      </c>
      <c r="CA19" s="222">
        <f>+D19-E19+(G19-I19)*G$61+(K19-M19)*K$61+(O19-Q19)*O$61+(S19-U19)*S$61+(W19-Y19)*W$61+(AA19-AC19)*AA$61+(AE19-AG19)*AE$61+(AI19-AK19)*AI$61+(AM19-AO19)*AM$61+(AQ19-AS19)*$AQ$61+(AU19-AW19)*$AU$61+(AY19-BA19)*$AY$61+(BC19-BE19)*$BC$61</f>
        <v>35480888.93564748</v>
      </c>
    </row>
    <row r="20" spans="1:79" ht="12.75" customHeight="1" x14ac:dyDescent="0.25">
      <c r="A20" s="6" t="s">
        <v>60</v>
      </c>
      <c r="B20" s="3" t="s">
        <v>21</v>
      </c>
      <c r="C20" s="7">
        <v>30</v>
      </c>
      <c r="D20" s="37">
        <v>20319163.888809633</v>
      </c>
      <c r="E20" s="151"/>
      <c r="F20" s="152">
        <v>11254485.314634677</v>
      </c>
      <c r="G20" s="87">
        <v>81953.06180000001</v>
      </c>
      <c r="H20" s="88"/>
      <c r="I20" s="127"/>
      <c r="J20" s="88"/>
      <c r="K20" s="89">
        <v>480527.24</v>
      </c>
      <c r="L20" s="90">
        <v>0</v>
      </c>
      <c r="M20" s="153"/>
      <c r="N20" s="91"/>
      <c r="O20" s="95">
        <v>359813.26</v>
      </c>
      <c r="P20" s="93"/>
      <c r="Q20" s="94"/>
      <c r="R20" s="93"/>
      <c r="S20" s="154">
        <v>329504</v>
      </c>
      <c r="T20" s="114"/>
      <c r="U20" s="154"/>
      <c r="V20" s="155"/>
      <c r="W20" s="58">
        <v>210021.37999999998</v>
      </c>
      <c r="X20" s="58">
        <v>0</v>
      </c>
      <c r="Y20" s="58"/>
      <c r="Z20" s="59"/>
      <c r="AA20" s="76">
        <v>443891</v>
      </c>
      <c r="AB20" s="156">
        <v>0</v>
      </c>
      <c r="AC20" s="157"/>
      <c r="AD20" s="61"/>
      <c r="AE20" s="63">
        <v>422858.36</v>
      </c>
      <c r="AF20" s="63">
        <v>0</v>
      </c>
      <c r="AG20" s="158"/>
      <c r="AH20" s="62"/>
      <c r="AI20" s="154">
        <v>219533.05</v>
      </c>
      <c r="AJ20" s="154">
        <v>0</v>
      </c>
      <c r="AK20" s="154"/>
      <c r="AL20" s="155"/>
      <c r="AM20" s="49">
        <v>325380.67999999993</v>
      </c>
      <c r="AN20" s="49">
        <v>0</v>
      </c>
      <c r="AO20" s="49"/>
      <c r="AP20" s="50"/>
      <c r="AQ20" s="159">
        <v>361263.11000000028</v>
      </c>
      <c r="AR20" s="198">
        <v>0</v>
      </c>
      <c r="AS20" s="198"/>
      <c r="AT20" s="198"/>
      <c r="AU20" s="210">
        <v>277474.00999999978</v>
      </c>
      <c r="AV20" s="210">
        <v>0</v>
      </c>
      <c r="AW20" s="210"/>
      <c r="AX20" s="210"/>
      <c r="AY20" s="129">
        <v>696693.82999999949</v>
      </c>
      <c r="AZ20" s="129">
        <v>0</v>
      </c>
      <c r="BA20" s="129"/>
      <c r="BB20" s="129"/>
      <c r="BC20" s="139">
        <v>871356.4600000002</v>
      </c>
      <c r="BD20" s="136"/>
      <c r="BE20" s="136"/>
      <c r="BF20" s="136"/>
      <c r="BG20" s="26">
        <f t="shared" si="18"/>
        <v>1987.6165577130359</v>
      </c>
      <c r="BH20" s="43">
        <f t="shared" si="19"/>
        <v>0.12055192376786483</v>
      </c>
      <c r="BI20" s="43">
        <f t="shared" si="20"/>
        <v>0.6</v>
      </c>
      <c r="BJ20" s="43">
        <f t="shared" si="21"/>
        <v>0.6333333333333333</v>
      </c>
      <c r="BK20" s="43">
        <f t="shared" si="22"/>
        <v>0.66666666666666674</v>
      </c>
      <c r="BL20" s="43">
        <f t="shared" si="23"/>
        <v>0.7</v>
      </c>
      <c r="BM20" s="43">
        <f t="shared" si="24"/>
        <v>0.73333333333333339</v>
      </c>
      <c r="BN20" s="43">
        <f t="shared" si="25"/>
        <v>0.76666666666666661</v>
      </c>
      <c r="BO20" s="43">
        <f t="shared" si="26"/>
        <v>0.8</v>
      </c>
      <c r="BP20" s="43">
        <f t="shared" si="27"/>
        <v>0.83333333333333337</v>
      </c>
      <c r="BQ20" s="43">
        <f t="shared" si="28"/>
        <v>0.8666666666666667</v>
      </c>
      <c r="BR20" s="43">
        <f t="shared" si="29"/>
        <v>0.9</v>
      </c>
      <c r="BS20" s="43">
        <f t="shared" si="30"/>
        <v>0.93333333333333335</v>
      </c>
      <c r="BT20" s="43">
        <f t="shared" si="31"/>
        <v>0.96666666666666667</v>
      </c>
      <c r="BU20" s="43">
        <f t="shared" si="32"/>
        <v>1</v>
      </c>
      <c r="BV20" s="239">
        <f t="shared" ref="BV20:BV31" si="34">+D20-E20+(G20-I20)*G$61+(K20-M20)*K$61+(O20-Q20)*O$61+(S20-U20)*S$61+(W20-Y20)*W$61+(AA20-AC20)*AA$61+(AE20-AG20)*AE$61+(AI20-AK20)*AI$61+(AM20-AO20)*AM$61+(AQ20-AS20)*$AQ$61+(AU20-AW20)*$AU$61+(AY20-BA20)*$AY$61+(BC20-BE20)*$BC$61</f>
        <v>24389933.456699084</v>
      </c>
      <c r="BW20" s="239">
        <f t="shared" ref="BW20:BW31" si="35">BV20-(IF(BH20=0,0,D20-E20)+IF(BI20=0,0,(G20-I20)*G$61)+IF(BJ20=0,0,(K20-M20)*K$61)+IF(BK20=0,0,(O20-Q20)*O$61)+IF(BL20=0,0,(S20-U20)*S$61)+IF(BM20=0,0,(W20-Y20)*W$61)+IF(BN20=0,0,(AA20-AC20)*AA$61)+IF(BO20=0,0,(AE20-AG20)*AE$61)+IF(BP20=0,0,(AI20-AK20)*AI$61)+IF(BQ20=0,0,(AM20-AO20)*AM$61)+IF(BR20=0,0,(AQ20-AS20)*$AQ$61)+IF(BS20=0,0,(AU20-AW20)*$AU$61)+IF(BT20=0,0,(AY20-BA20)*$AY$61)+IF(BU20=0,0,(BC20-BE20)*$BC$61))</f>
        <v>0</v>
      </c>
      <c r="BX20" s="239">
        <f t="shared" si="33"/>
        <v>5818896.9759222204</v>
      </c>
    </row>
    <row r="21" spans="1:79" ht="12.75" customHeight="1" x14ac:dyDescent="0.25">
      <c r="A21" s="6" t="s">
        <v>61</v>
      </c>
      <c r="B21" s="3" t="s">
        <v>22</v>
      </c>
      <c r="C21" s="7">
        <v>30</v>
      </c>
      <c r="D21" s="37">
        <v>149580.82704669842</v>
      </c>
      <c r="E21" s="151"/>
      <c r="F21" s="152">
        <v>82851.686520415911</v>
      </c>
      <c r="G21" s="87">
        <v>0</v>
      </c>
      <c r="H21" s="88"/>
      <c r="I21" s="127"/>
      <c r="J21" s="88"/>
      <c r="K21" s="89">
        <v>0</v>
      </c>
      <c r="L21" s="90">
        <v>0</v>
      </c>
      <c r="M21" s="153"/>
      <c r="N21" s="91"/>
      <c r="O21" s="95">
        <v>0</v>
      </c>
      <c r="P21" s="93"/>
      <c r="Q21" s="94"/>
      <c r="R21" s="93"/>
      <c r="S21" s="154">
        <v>0</v>
      </c>
      <c r="T21" s="114"/>
      <c r="U21" s="154"/>
      <c r="V21" s="155"/>
      <c r="W21" s="58">
        <v>0</v>
      </c>
      <c r="X21" s="58">
        <v>0</v>
      </c>
      <c r="Y21" s="58"/>
      <c r="Z21" s="59"/>
      <c r="AA21" s="76">
        <v>133700</v>
      </c>
      <c r="AB21" s="156">
        <v>133700</v>
      </c>
      <c r="AC21" s="157"/>
      <c r="AD21" s="61"/>
      <c r="AE21" s="63">
        <v>0</v>
      </c>
      <c r="AF21" s="63">
        <v>0</v>
      </c>
      <c r="AG21" s="158"/>
      <c r="AH21" s="62"/>
      <c r="AI21" s="154">
        <v>0</v>
      </c>
      <c r="AJ21" s="154">
        <v>0</v>
      </c>
      <c r="AK21" s="154"/>
      <c r="AL21" s="155"/>
      <c r="AM21" s="49">
        <v>0</v>
      </c>
      <c r="AN21" s="49">
        <v>0</v>
      </c>
      <c r="AO21" s="49"/>
      <c r="AP21" s="50"/>
      <c r="AQ21" s="159">
        <v>0</v>
      </c>
      <c r="AR21" s="198">
        <v>0</v>
      </c>
      <c r="AS21" s="198"/>
      <c r="AT21" s="198"/>
      <c r="AU21" s="210">
        <v>0</v>
      </c>
      <c r="AV21" s="210">
        <v>0</v>
      </c>
      <c r="AW21" s="210"/>
      <c r="AX21" s="210"/>
      <c r="AY21" s="129">
        <v>0</v>
      </c>
      <c r="AZ21" s="129">
        <v>0</v>
      </c>
      <c r="BA21" s="129"/>
      <c r="BB21" s="129"/>
      <c r="BC21" s="139">
        <v>0</v>
      </c>
      <c r="BD21" s="136"/>
      <c r="BE21" s="136"/>
      <c r="BF21" s="136"/>
      <c r="BG21" s="26">
        <f t="shared" si="18"/>
        <v>1987.6167726485194</v>
      </c>
      <c r="BH21" s="43">
        <f t="shared" si="19"/>
        <v>0.1205590882839791</v>
      </c>
      <c r="BI21" s="43">
        <f t="shared" si="20"/>
        <v>0.6</v>
      </c>
      <c r="BJ21" s="43">
        <f t="shared" si="21"/>
        <v>0.6333333333333333</v>
      </c>
      <c r="BK21" s="43">
        <f t="shared" si="22"/>
        <v>0.66666666666666674</v>
      </c>
      <c r="BL21" s="43">
        <f t="shared" si="23"/>
        <v>0.7</v>
      </c>
      <c r="BM21" s="43">
        <f t="shared" si="24"/>
        <v>0.73333333333333339</v>
      </c>
      <c r="BN21" s="43">
        <f t="shared" si="25"/>
        <v>0.76666666666666661</v>
      </c>
      <c r="BO21" s="43">
        <f t="shared" si="26"/>
        <v>0.8</v>
      </c>
      <c r="BP21" s="43">
        <f t="shared" si="27"/>
        <v>0.83333333333333337</v>
      </c>
      <c r="BQ21" s="43">
        <f t="shared" si="28"/>
        <v>0.8666666666666667</v>
      </c>
      <c r="BR21" s="43">
        <f t="shared" si="29"/>
        <v>0.9</v>
      </c>
      <c r="BS21" s="43">
        <f t="shared" si="30"/>
        <v>0.93333333333333335</v>
      </c>
      <c r="BT21" s="43">
        <f t="shared" si="31"/>
        <v>0.96666666666666667</v>
      </c>
      <c r="BU21" s="43">
        <f t="shared" si="32"/>
        <v>1</v>
      </c>
      <c r="BV21" s="239">
        <f t="shared" si="34"/>
        <v>265260.84188789543</v>
      </c>
      <c r="BW21" s="239">
        <f t="shared" si="35"/>
        <v>0</v>
      </c>
      <c r="BX21" s="239">
        <f t="shared" si="33"/>
        <v>19676.874300268788</v>
      </c>
    </row>
    <row r="22" spans="1:79" ht="12.75" customHeight="1" x14ac:dyDescent="0.25">
      <c r="A22" s="6"/>
      <c r="B22" s="3" t="s">
        <v>23</v>
      </c>
      <c r="C22" s="7">
        <v>30</v>
      </c>
      <c r="D22" s="37">
        <v>0</v>
      </c>
      <c r="E22" s="151"/>
      <c r="F22" s="152">
        <v>0</v>
      </c>
      <c r="G22" s="87">
        <v>0</v>
      </c>
      <c r="H22" s="88"/>
      <c r="I22" s="127"/>
      <c r="J22" s="88"/>
      <c r="K22" s="89">
        <v>7945</v>
      </c>
      <c r="L22" s="90">
        <v>0</v>
      </c>
      <c r="M22" s="153"/>
      <c r="N22" s="91"/>
      <c r="O22" s="95">
        <v>11509.8</v>
      </c>
      <c r="P22" s="93"/>
      <c r="Q22" s="94"/>
      <c r="R22" s="93"/>
      <c r="S22" s="154">
        <v>67325</v>
      </c>
      <c r="T22" s="114"/>
      <c r="U22" s="154"/>
      <c r="V22" s="155"/>
      <c r="W22" s="58">
        <v>56607.360000000001</v>
      </c>
      <c r="X22" s="58">
        <v>0</v>
      </c>
      <c r="Y22" s="58"/>
      <c r="Z22" s="59"/>
      <c r="AA22" s="76">
        <v>26335</v>
      </c>
      <c r="AB22" s="156">
        <v>0</v>
      </c>
      <c r="AC22" s="157"/>
      <c r="AD22" s="61"/>
      <c r="AE22" s="63">
        <v>117016</v>
      </c>
      <c r="AF22" s="63">
        <v>0</v>
      </c>
      <c r="AG22" s="158"/>
      <c r="AH22" s="62"/>
      <c r="AI22" s="154">
        <v>177430.08</v>
      </c>
      <c r="AJ22" s="154">
        <v>0</v>
      </c>
      <c r="AK22" s="154"/>
      <c r="AL22" s="155"/>
      <c r="AM22" s="49">
        <v>419033.79200000002</v>
      </c>
      <c r="AN22" s="49">
        <v>0</v>
      </c>
      <c r="AO22" s="49"/>
      <c r="AP22" s="50"/>
      <c r="AQ22" s="159">
        <v>15078.509999999998</v>
      </c>
      <c r="AR22" s="198">
        <v>0</v>
      </c>
      <c r="AS22" s="198"/>
      <c r="AT22" s="198"/>
      <c r="AU22" s="210">
        <v>12954.53</v>
      </c>
      <c r="AV22" s="210">
        <v>0</v>
      </c>
      <c r="AW22" s="210"/>
      <c r="AX22" s="210"/>
      <c r="AY22" s="129">
        <v>358492.62</v>
      </c>
      <c r="AZ22" s="129">
        <v>0</v>
      </c>
      <c r="BA22" s="129"/>
      <c r="BB22" s="129"/>
      <c r="BC22" s="139">
        <v>169979.92999999996</v>
      </c>
      <c r="BD22" s="136"/>
      <c r="BE22" s="136"/>
      <c r="BF22" s="136"/>
      <c r="BG22" s="26">
        <f t="shared" si="18"/>
        <v>0</v>
      </c>
      <c r="BH22" s="43">
        <f t="shared" si="19"/>
        <v>0</v>
      </c>
      <c r="BI22" s="43">
        <f t="shared" si="20"/>
        <v>0.6</v>
      </c>
      <c r="BJ22" s="43">
        <f t="shared" si="21"/>
        <v>0.6333333333333333</v>
      </c>
      <c r="BK22" s="43">
        <f t="shared" si="22"/>
        <v>0.66666666666666674</v>
      </c>
      <c r="BL22" s="43">
        <f t="shared" si="23"/>
        <v>0.7</v>
      </c>
      <c r="BM22" s="43">
        <f t="shared" si="24"/>
        <v>0.73333333333333339</v>
      </c>
      <c r="BN22" s="43">
        <f t="shared" si="25"/>
        <v>0.76666666666666661</v>
      </c>
      <c r="BO22" s="43">
        <f t="shared" si="26"/>
        <v>0.8</v>
      </c>
      <c r="BP22" s="43">
        <f t="shared" si="27"/>
        <v>0.83333333333333337</v>
      </c>
      <c r="BQ22" s="43">
        <f t="shared" si="28"/>
        <v>0.8666666666666667</v>
      </c>
      <c r="BR22" s="43">
        <f t="shared" si="29"/>
        <v>0.9</v>
      </c>
      <c r="BS22" s="43">
        <f t="shared" si="30"/>
        <v>0.93333333333333335</v>
      </c>
      <c r="BT22" s="43">
        <f t="shared" si="31"/>
        <v>0.96666666666666667</v>
      </c>
      <c r="BU22" s="43">
        <f t="shared" si="32"/>
        <v>1</v>
      </c>
      <c r="BV22" s="239">
        <f t="shared" si="34"/>
        <v>1058708.4219896221</v>
      </c>
      <c r="BW22" s="239">
        <f t="shared" si="35"/>
        <v>0</v>
      </c>
      <c r="BX22" s="239">
        <f t="shared" si="33"/>
        <v>924890.75168737513</v>
      </c>
    </row>
    <row r="23" spans="1:79" ht="12.75" customHeight="1" x14ac:dyDescent="0.25">
      <c r="A23" s="6"/>
      <c r="B23" s="3" t="s">
        <v>24</v>
      </c>
      <c r="C23" s="7">
        <v>30</v>
      </c>
      <c r="D23" s="37">
        <v>0</v>
      </c>
      <c r="E23" s="151"/>
      <c r="F23" s="152">
        <v>0</v>
      </c>
      <c r="G23" s="87">
        <v>441.38</v>
      </c>
      <c r="H23" s="88"/>
      <c r="I23" s="127"/>
      <c r="J23" s="88"/>
      <c r="K23" s="89">
        <v>2038.59</v>
      </c>
      <c r="L23" s="90">
        <v>0</v>
      </c>
      <c r="M23" s="153"/>
      <c r="N23" s="91"/>
      <c r="O23" s="95">
        <v>30511.68</v>
      </c>
      <c r="P23" s="93"/>
      <c r="Q23" s="94"/>
      <c r="R23" s="93"/>
      <c r="S23" s="154">
        <v>47275</v>
      </c>
      <c r="T23" s="114"/>
      <c r="U23" s="154"/>
      <c r="V23" s="155"/>
      <c r="W23" s="58">
        <v>29162</v>
      </c>
      <c r="X23" s="58">
        <v>0</v>
      </c>
      <c r="Y23" s="58"/>
      <c r="Z23" s="59"/>
      <c r="AA23" s="76">
        <v>227643</v>
      </c>
      <c r="AB23" s="156">
        <v>0</v>
      </c>
      <c r="AC23" s="157"/>
      <c r="AD23" s="61"/>
      <c r="AE23" s="63">
        <v>30843</v>
      </c>
      <c r="AF23" s="63">
        <v>0</v>
      </c>
      <c r="AG23" s="158"/>
      <c r="AH23" s="62"/>
      <c r="AI23" s="154">
        <v>13617.82</v>
      </c>
      <c r="AJ23" s="154">
        <v>0</v>
      </c>
      <c r="AK23" s="154"/>
      <c r="AL23" s="155"/>
      <c r="AM23" s="49">
        <v>558680.16</v>
      </c>
      <c r="AN23" s="49">
        <v>0</v>
      </c>
      <c r="AO23" s="49"/>
      <c r="AP23" s="50"/>
      <c r="AQ23" s="159">
        <v>84681.959999999992</v>
      </c>
      <c r="AR23" s="198">
        <v>0</v>
      </c>
      <c r="AS23" s="198"/>
      <c r="AT23" s="198"/>
      <c r="AU23" s="210">
        <v>36276.959999999999</v>
      </c>
      <c r="AV23" s="210">
        <v>0</v>
      </c>
      <c r="AW23" s="210"/>
      <c r="AX23" s="210"/>
      <c r="AY23" s="129">
        <v>29336.300000000003</v>
      </c>
      <c r="AZ23" s="129">
        <v>0</v>
      </c>
      <c r="BA23" s="129"/>
      <c r="BB23" s="129"/>
      <c r="BC23" s="139">
        <v>67647.91</v>
      </c>
      <c r="BD23" s="136"/>
      <c r="BE23" s="136"/>
      <c r="BF23" s="136"/>
      <c r="BG23" s="26">
        <f t="shared" si="18"/>
        <v>0</v>
      </c>
      <c r="BH23" s="43">
        <f t="shared" si="19"/>
        <v>0</v>
      </c>
      <c r="BI23" s="43">
        <f t="shared" si="20"/>
        <v>0.6</v>
      </c>
      <c r="BJ23" s="43">
        <f t="shared" si="21"/>
        <v>0.6333333333333333</v>
      </c>
      <c r="BK23" s="43">
        <f t="shared" si="22"/>
        <v>0.66666666666666674</v>
      </c>
      <c r="BL23" s="43">
        <f t="shared" si="23"/>
        <v>0.7</v>
      </c>
      <c r="BM23" s="43">
        <f t="shared" si="24"/>
        <v>0.73333333333333339</v>
      </c>
      <c r="BN23" s="43">
        <f t="shared" si="25"/>
        <v>0.76666666666666661</v>
      </c>
      <c r="BO23" s="43">
        <f t="shared" si="26"/>
        <v>0.8</v>
      </c>
      <c r="BP23" s="43">
        <f t="shared" si="27"/>
        <v>0.83333333333333337</v>
      </c>
      <c r="BQ23" s="43">
        <f t="shared" si="28"/>
        <v>0.8666666666666667</v>
      </c>
      <c r="BR23" s="43">
        <f t="shared" si="29"/>
        <v>0.9</v>
      </c>
      <c r="BS23" s="43">
        <f t="shared" si="30"/>
        <v>0.93333333333333335</v>
      </c>
      <c r="BT23" s="43">
        <f t="shared" si="31"/>
        <v>0.96666666666666667</v>
      </c>
      <c r="BU23" s="43">
        <f t="shared" si="32"/>
        <v>1</v>
      </c>
      <c r="BV23" s="239">
        <f t="shared" si="34"/>
        <v>891661.65135417937</v>
      </c>
      <c r="BW23" s="239">
        <f t="shared" si="35"/>
        <v>0</v>
      </c>
      <c r="BX23" s="239">
        <f t="shared" si="33"/>
        <v>748895.50069567992</v>
      </c>
    </row>
    <row r="24" spans="1:79" ht="12.75" customHeight="1" x14ac:dyDescent="0.25">
      <c r="A24" s="6"/>
      <c r="B24" s="3" t="s">
        <v>25</v>
      </c>
      <c r="C24" s="7">
        <v>30</v>
      </c>
      <c r="D24" s="37">
        <v>0</v>
      </c>
      <c r="E24" s="151"/>
      <c r="F24" s="152">
        <v>0</v>
      </c>
      <c r="G24" s="87">
        <v>0</v>
      </c>
      <c r="H24" s="88"/>
      <c r="I24" s="127"/>
      <c r="J24" s="88"/>
      <c r="K24" s="89">
        <v>0</v>
      </c>
      <c r="L24" s="90">
        <v>0</v>
      </c>
      <c r="M24" s="153"/>
      <c r="N24" s="91"/>
      <c r="O24" s="95">
        <v>0</v>
      </c>
      <c r="P24" s="93"/>
      <c r="Q24" s="94"/>
      <c r="R24" s="93"/>
      <c r="S24" s="154">
        <v>0</v>
      </c>
      <c r="T24" s="114"/>
      <c r="U24" s="154"/>
      <c r="V24" s="155"/>
      <c r="W24" s="58">
        <v>0</v>
      </c>
      <c r="X24" s="58">
        <v>0</v>
      </c>
      <c r="Y24" s="58"/>
      <c r="Z24" s="59"/>
      <c r="AA24" s="76">
        <v>0</v>
      </c>
      <c r="AB24" s="156">
        <v>0</v>
      </c>
      <c r="AC24" s="157"/>
      <c r="AD24" s="61"/>
      <c r="AE24" s="63">
        <v>0</v>
      </c>
      <c r="AF24" s="63">
        <v>0</v>
      </c>
      <c r="AG24" s="158"/>
      <c r="AH24" s="62"/>
      <c r="AI24" s="154">
        <v>0</v>
      </c>
      <c r="AJ24" s="154">
        <v>0</v>
      </c>
      <c r="AK24" s="154"/>
      <c r="AL24" s="155"/>
      <c r="AM24" s="49">
        <v>0</v>
      </c>
      <c r="AN24" s="49">
        <v>0</v>
      </c>
      <c r="AO24" s="49"/>
      <c r="AP24" s="50"/>
      <c r="AQ24" s="159">
        <v>0</v>
      </c>
      <c r="AR24" s="198">
        <v>0</v>
      </c>
      <c r="AS24" s="198"/>
      <c r="AT24" s="198"/>
      <c r="AU24" s="210">
        <v>0</v>
      </c>
      <c r="AV24" s="210">
        <v>0</v>
      </c>
      <c r="AW24" s="210"/>
      <c r="AX24" s="210"/>
      <c r="AY24" s="129">
        <v>0</v>
      </c>
      <c r="AZ24" s="129">
        <v>0</v>
      </c>
      <c r="BA24" s="129"/>
      <c r="BB24" s="129"/>
      <c r="BC24" s="139">
        <v>0</v>
      </c>
      <c r="BD24" s="136"/>
      <c r="BE24" s="136"/>
      <c r="BF24" s="136"/>
      <c r="BG24" s="26">
        <f t="shared" si="18"/>
        <v>0</v>
      </c>
      <c r="BH24" s="43">
        <f t="shared" si="19"/>
        <v>0</v>
      </c>
      <c r="BI24" s="43">
        <f t="shared" si="20"/>
        <v>0.6</v>
      </c>
      <c r="BJ24" s="43">
        <f t="shared" si="21"/>
        <v>0.6333333333333333</v>
      </c>
      <c r="BK24" s="43">
        <f t="shared" si="22"/>
        <v>0.66666666666666674</v>
      </c>
      <c r="BL24" s="43">
        <f t="shared" si="23"/>
        <v>0.7</v>
      </c>
      <c r="BM24" s="43">
        <f t="shared" si="24"/>
        <v>0.73333333333333339</v>
      </c>
      <c r="BN24" s="43">
        <f t="shared" si="25"/>
        <v>0.76666666666666661</v>
      </c>
      <c r="BO24" s="43">
        <f t="shared" si="26"/>
        <v>0.8</v>
      </c>
      <c r="BP24" s="43">
        <f t="shared" si="27"/>
        <v>0.83333333333333337</v>
      </c>
      <c r="BQ24" s="43">
        <f t="shared" si="28"/>
        <v>0.8666666666666667</v>
      </c>
      <c r="BR24" s="43">
        <f t="shared" si="29"/>
        <v>0.9</v>
      </c>
      <c r="BS24" s="43">
        <f t="shared" si="30"/>
        <v>0.93333333333333335</v>
      </c>
      <c r="BT24" s="43">
        <f t="shared" si="31"/>
        <v>0.96666666666666667</v>
      </c>
      <c r="BU24" s="43">
        <f t="shared" si="32"/>
        <v>1</v>
      </c>
      <c r="BV24" s="239">
        <f t="shared" si="34"/>
        <v>0</v>
      </c>
      <c r="BW24" s="239">
        <f t="shared" si="35"/>
        <v>0</v>
      </c>
      <c r="BX24" s="239">
        <f t="shared" si="33"/>
        <v>0</v>
      </c>
    </row>
    <row r="25" spans="1:79" ht="12.75" customHeight="1" x14ac:dyDescent="0.25">
      <c r="A25" s="6"/>
      <c r="B25" s="3" t="s">
        <v>26</v>
      </c>
      <c r="C25" s="7">
        <v>30</v>
      </c>
      <c r="D25" s="37">
        <v>5501374.3444445133</v>
      </c>
      <c r="E25" s="151"/>
      <c r="F25" s="152">
        <v>2211179.1957926331</v>
      </c>
      <c r="G25" s="87">
        <v>246248.65</v>
      </c>
      <c r="H25" s="88"/>
      <c r="I25" s="127"/>
      <c r="J25" s="88"/>
      <c r="K25" s="89">
        <v>0</v>
      </c>
      <c r="L25" s="90">
        <v>0</v>
      </c>
      <c r="M25" s="153"/>
      <c r="N25" s="91"/>
      <c r="O25" s="95">
        <v>73556.03</v>
      </c>
      <c r="P25" s="93"/>
      <c r="Q25" s="94"/>
      <c r="R25" s="93"/>
      <c r="S25" s="154">
        <v>34597</v>
      </c>
      <c r="T25" s="114"/>
      <c r="U25" s="154"/>
      <c r="V25" s="155"/>
      <c r="W25" s="58">
        <v>13668.23</v>
      </c>
      <c r="X25" s="58">
        <v>0</v>
      </c>
      <c r="Y25" s="58"/>
      <c r="Z25" s="59"/>
      <c r="AA25" s="76">
        <v>92007</v>
      </c>
      <c r="AB25" s="156">
        <v>0</v>
      </c>
      <c r="AC25" s="157"/>
      <c r="AD25" s="61"/>
      <c r="AE25" s="63">
        <v>14698</v>
      </c>
      <c r="AF25" s="63">
        <v>0</v>
      </c>
      <c r="AG25" s="158"/>
      <c r="AH25" s="62"/>
      <c r="AI25" s="154">
        <v>1190332.1199999999</v>
      </c>
      <c r="AJ25" s="154">
        <v>0</v>
      </c>
      <c r="AK25" s="154"/>
      <c r="AL25" s="155"/>
      <c r="AM25" s="49">
        <v>61476</v>
      </c>
      <c r="AN25" s="49">
        <v>0</v>
      </c>
      <c r="AO25" s="49"/>
      <c r="AP25" s="50"/>
      <c r="AQ25" s="159">
        <v>736704.62000000011</v>
      </c>
      <c r="AR25" s="198">
        <v>0</v>
      </c>
      <c r="AS25" s="198"/>
      <c r="AT25" s="198"/>
      <c r="AU25" s="210">
        <v>142747</v>
      </c>
      <c r="AV25" s="210">
        <v>0</v>
      </c>
      <c r="AW25" s="210"/>
      <c r="AX25" s="210"/>
      <c r="AY25" s="129">
        <v>72665.05</v>
      </c>
      <c r="AZ25" s="129">
        <v>0</v>
      </c>
      <c r="BA25" s="129"/>
      <c r="BB25" s="129"/>
      <c r="BC25" s="139">
        <v>78936.5</v>
      </c>
      <c r="BD25" s="136"/>
      <c r="BE25" s="136"/>
      <c r="BF25" s="136"/>
      <c r="BG25" s="26">
        <f t="shared" si="18"/>
        <v>1983.0579643777135</v>
      </c>
      <c r="BH25" s="43">
        <f t="shared" si="19"/>
        <v>0</v>
      </c>
      <c r="BI25" s="43">
        <f t="shared" si="20"/>
        <v>0.6</v>
      </c>
      <c r="BJ25" s="43">
        <f t="shared" si="21"/>
        <v>0.6333333333333333</v>
      </c>
      <c r="BK25" s="43">
        <f t="shared" si="22"/>
        <v>0.66666666666666674</v>
      </c>
      <c r="BL25" s="43">
        <f t="shared" si="23"/>
        <v>0.7</v>
      </c>
      <c r="BM25" s="43">
        <f t="shared" si="24"/>
        <v>0.73333333333333339</v>
      </c>
      <c r="BN25" s="43">
        <f t="shared" si="25"/>
        <v>0.76666666666666661</v>
      </c>
      <c r="BO25" s="43">
        <f t="shared" si="26"/>
        <v>0.8</v>
      </c>
      <c r="BP25" s="43">
        <f t="shared" si="27"/>
        <v>0.83333333333333337</v>
      </c>
      <c r="BQ25" s="43">
        <f t="shared" si="28"/>
        <v>0.8666666666666667</v>
      </c>
      <c r="BR25" s="43">
        <f t="shared" si="29"/>
        <v>0.9</v>
      </c>
      <c r="BS25" s="43">
        <f t="shared" si="30"/>
        <v>0.93333333333333335</v>
      </c>
      <c r="BT25" s="43">
        <f t="shared" si="31"/>
        <v>0.96666666666666667</v>
      </c>
      <c r="BU25" s="43">
        <f t="shared" si="32"/>
        <v>1</v>
      </c>
      <c r="BV25" s="239">
        <f t="shared" si="34"/>
        <v>7798192.487108211</v>
      </c>
      <c r="BW25" s="239">
        <f t="shared" si="35"/>
        <v>5501374.3444445115</v>
      </c>
      <c r="BX25" s="239">
        <f t="shared" si="33"/>
        <v>1911649.2087397301</v>
      </c>
    </row>
    <row r="26" spans="1:79" ht="12.75" customHeight="1" x14ac:dyDescent="0.25">
      <c r="A26" s="6"/>
      <c r="B26" s="3" t="s">
        <v>27</v>
      </c>
      <c r="C26" s="7">
        <v>30</v>
      </c>
      <c r="D26" s="37">
        <v>0</v>
      </c>
      <c r="E26" s="151"/>
      <c r="F26" s="152">
        <v>0</v>
      </c>
      <c r="G26" s="87">
        <v>0</v>
      </c>
      <c r="H26" s="88"/>
      <c r="I26" s="127"/>
      <c r="J26" s="88"/>
      <c r="K26" s="89">
        <v>0</v>
      </c>
      <c r="L26" s="90">
        <v>0</v>
      </c>
      <c r="M26" s="153"/>
      <c r="N26" s="91"/>
      <c r="O26" s="95">
        <v>0</v>
      </c>
      <c r="P26" s="93"/>
      <c r="Q26" s="94"/>
      <c r="R26" s="93"/>
      <c r="S26" s="154">
        <v>0</v>
      </c>
      <c r="T26" s="114"/>
      <c r="U26" s="154"/>
      <c r="V26" s="155"/>
      <c r="W26" s="58">
        <v>0</v>
      </c>
      <c r="X26" s="58">
        <v>0</v>
      </c>
      <c r="Y26" s="58"/>
      <c r="Z26" s="59"/>
      <c r="AA26" s="76">
        <v>0</v>
      </c>
      <c r="AB26" s="156">
        <v>0</v>
      </c>
      <c r="AC26" s="157"/>
      <c r="AD26" s="61"/>
      <c r="AE26" s="63">
        <v>0</v>
      </c>
      <c r="AF26" s="63">
        <v>0</v>
      </c>
      <c r="AG26" s="158"/>
      <c r="AH26" s="62"/>
      <c r="AI26" s="154">
        <v>0</v>
      </c>
      <c r="AJ26" s="154">
        <v>0</v>
      </c>
      <c r="AK26" s="154"/>
      <c r="AL26" s="155"/>
      <c r="AM26" s="49">
        <v>0</v>
      </c>
      <c r="AN26" s="49">
        <v>0</v>
      </c>
      <c r="AO26" s="49"/>
      <c r="AP26" s="50"/>
      <c r="AQ26" s="159">
        <v>0</v>
      </c>
      <c r="AR26" s="198">
        <v>0</v>
      </c>
      <c r="AS26" s="198"/>
      <c r="AT26" s="198"/>
      <c r="AU26" s="210">
        <v>0</v>
      </c>
      <c r="AV26" s="210">
        <v>0</v>
      </c>
      <c r="AW26" s="210"/>
      <c r="AX26" s="210"/>
      <c r="AY26" s="129">
        <v>0</v>
      </c>
      <c r="AZ26" s="129">
        <v>0</v>
      </c>
      <c r="BA26" s="129"/>
      <c r="BB26" s="129"/>
      <c r="BC26" s="139">
        <v>0</v>
      </c>
      <c r="BD26" s="136"/>
      <c r="BE26" s="136"/>
      <c r="BF26" s="136"/>
      <c r="BG26" s="26">
        <f t="shared" si="18"/>
        <v>0</v>
      </c>
      <c r="BH26" s="43">
        <f t="shared" si="19"/>
        <v>0</v>
      </c>
      <c r="BI26" s="43">
        <f t="shared" si="20"/>
        <v>0.6</v>
      </c>
      <c r="BJ26" s="43">
        <f t="shared" si="21"/>
        <v>0.6333333333333333</v>
      </c>
      <c r="BK26" s="43">
        <f t="shared" si="22"/>
        <v>0.66666666666666674</v>
      </c>
      <c r="BL26" s="43">
        <f t="shared" si="23"/>
        <v>0.7</v>
      </c>
      <c r="BM26" s="43">
        <f t="shared" si="24"/>
        <v>0.73333333333333339</v>
      </c>
      <c r="BN26" s="43">
        <f t="shared" si="25"/>
        <v>0.76666666666666661</v>
      </c>
      <c r="BO26" s="43">
        <f t="shared" si="26"/>
        <v>0.8</v>
      </c>
      <c r="BP26" s="43">
        <f t="shared" si="27"/>
        <v>0.83333333333333337</v>
      </c>
      <c r="BQ26" s="43">
        <f t="shared" si="28"/>
        <v>0.8666666666666667</v>
      </c>
      <c r="BR26" s="43">
        <f t="shared" si="29"/>
        <v>0.9</v>
      </c>
      <c r="BS26" s="43">
        <f t="shared" si="30"/>
        <v>0.93333333333333335</v>
      </c>
      <c r="BT26" s="43">
        <f t="shared" si="31"/>
        <v>0.96666666666666667</v>
      </c>
      <c r="BU26" s="43">
        <f t="shared" si="32"/>
        <v>1</v>
      </c>
      <c r="BV26" s="239">
        <f t="shared" si="34"/>
        <v>0</v>
      </c>
      <c r="BW26" s="239">
        <f t="shared" si="35"/>
        <v>0</v>
      </c>
      <c r="BX26" s="239">
        <f t="shared" si="33"/>
        <v>0</v>
      </c>
    </row>
    <row r="27" spans="1:79" ht="12.75" customHeight="1" x14ac:dyDescent="0.25">
      <c r="A27" s="6"/>
      <c r="B27" s="3" t="s">
        <v>28</v>
      </c>
      <c r="C27" s="7">
        <v>30</v>
      </c>
      <c r="D27" s="37">
        <v>0</v>
      </c>
      <c r="E27" s="151"/>
      <c r="F27" s="152">
        <v>0</v>
      </c>
      <c r="G27" s="87">
        <v>0</v>
      </c>
      <c r="H27" s="88"/>
      <c r="I27" s="127"/>
      <c r="J27" s="88"/>
      <c r="K27" s="89">
        <v>0</v>
      </c>
      <c r="L27" s="90">
        <v>0</v>
      </c>
      <c r="M27" s="153"/>
      <c r="N27" s="91"/>
      <c r="O27" s="95">
        <v>0</v>
      </c>
      <c r="P27" s="93"/>
      <c r="Q27" s="94"/>
      <c r="R27" s="93"/>
      <c r="S27" s="154">
        <v>0</v>
      </c>
      <c r="T27" s="114"/>
      <c r="U27" s="154"/>
      <c r="V27" s="155"/>
      <c r="W27" s="58">
        <v>0</v>
      </c>
      <c r="X27" s="58">
        <v>0</v>
      </c>
      <c r="Y27" s="58"/>
      <c r="Z27" s="59"/>
      <c r="AA27" s="76">
        <v>0</v>
      </c>
      <c r="AB27" s="156">
        <v>0</v>
      </c>
      <c r="AC27" s="157"/>
      <c r="AD27" s="61"/>
      <c r="AE27" s="63">
        <v>0</v>
      </c>
      <c r="AF27" s="63">
        <v>0</v>
      </c>
      <c r="AG27" s="158"/>
      <c r="AH27" s="62"/>
      <c r="AI27" s="154">
        <v>0</v>
      </c>
      <c r="AJ27" s="154">
        <v>0</v>
      </c>
      <c r="AK27" s="154"/>
      <c r="AL27" s="155"/>
      <c r="AM27" s="49">
        <v>0</v>
      </c>
      <c r="AN27" s="49">
        <v>0</v>
      </c>
      <c r="AO27" s="49"/>
      <c r="AP27" s="50"/>
      <c r="AQ27" s="159">
        <v>0</v>
      </c>
      <c r="AR27" s="198">
        <v>0</v>
      </c>
      <c r="AS27" s="198"/>
      <c r="AT27" s="198"/>
      <c r="AU27" s="210">
        <v>0</v>
      </c>
      <c r="AV27" s="210">
        <v>0</v>
      </c>
      <c r="AW27" s="210"/>
      <c r="AX27" s="210"/>
      <c r="AY27" s="129">
        <v>0</v>
      </c>
      <c r="AZ27" s="129">
        <v>0</v>
      </c>
      <c r="BA27" s="129"/>
      <c r="BB27" s="129"/>
      <c r="BC27" s="139">
        <v>0</v>
      </c>
      <c r="BD27" s="136"/>
      <c r="BE27" s="136"/>
      <c r="BF27" s="136"/>
      <c r="BG27" s="26">
        <f t="shared" si="18"/>
        <v>0</v>
      </c>
      <c r="BH27" s="43">
        <f t="shared" si="19"/>
        <v>0</v>
      </c>
      <c r="BI27" s="43">
        <f t="shared" si="20"/>
        <v>0.6</v>
      </c>
      <c r="BJ27" s="43">
        <f t="shared" si="21"/>
        <v>0.6333333333333333</v>
      </c>
      <c r="BK27" s="43">
        <f t="shared" si="22"/>
        <v>0.66666666666666674</v>
      </c>
      <c r="BL27" s="43">
        <f t="shared" si="23"/>
        <v>0.7</v>
      </c>
      <c r="BM27" s="43">
        <f t="shared" si="24"/>
        <v>0.73333333333333339</v>
      </c>
      <c r="BN27" s="43">
        <f t="shared" si="25"/>
        <v>0.76666666666666661</v>
      </c>
      <c r="BO27" s="43">
        <f t="shared" si="26"/>
        <v>0.8</v>
      </c>
      <c r="BP27" s="43">
        <f t="shared" si="27"/>
        <v>0.83333333333333337</v>
      </c>
      <c r="BQ27" s="43">
        <f t="shared" si="28"/>
        <v>0.8666666666666667</v>
      </c>
      <c r="BR27" s="43">
        <f t="shared" si="29"/>
        <v>0.9</v>
      </c>
      <c r="BS27" s="43">
        <f t="shared" si="30"/>
        <v>0.93333333333333335</v>
      </c>
      <c r="BT27" s="43">
        <f t="shared" si="31"/>
        <v>0.96666666666666667</v>
      </c>
      <c r="BU27" s="43">
        <f t="shared" si="32"/>
        <v>1</v>
      </c>
      <c r="BV27" s="239">
        <f t="shared" si="34"/>
        <v>0</v>
      </c>
      <c r="BW27" s="239">
        <f t="shared" si="35"/>
        <v>0</v>
      </c>
      <c r="BX27" s="239">
        <f t="shared" si="33"/>
        <v>0</v>
      </c>
    </row>
    <row r="28" spans="1:79" ht="12.75" customHeight="1" x14ac:dyDescent="0.25">
      <c r="A28" s="6"/>
      <c r="B28" s="3" t="s">
        <v>53</v>
      </c>
      <c r="C28" s="7">
        <v>30</v>
      </c>
      <c r="D28" s="37">
        <v>0</v>
      </c>
      <c r="E28" s="151"/>
      <c r="F28" s="152">
        <v>0</v>
      </c>
      <c r="G28" s="87">
        <v>0</v>
      </c>
      <c r="H28" s="88"/>
      <c r="I28" s="127"/>
      <c r="J28" s="88"/>
      <c r="K28" s="89">
        <v>0</v>
      </c>
      <c r="L28" s="90">
        <v>0</v>
      </c>
      <c r="M28" s="153"/>
      <c r="N28" s="91"/>
      <c r="O28" s="95">
        <v>0</v>
      </c>
      <c r="P28" s="93"/>
      <c r="Q28" s="94"/>
      <c r="R28" s="93"/>
      <c r="S28" s="154">
        <v>0</v>
      </c>
      <c r="T28" s="114"/>
      <c r="U28" s="154"/>
      <c r="V28" s="155"/>
      <c r="W28" s="58">
        <v>0</v>
      </c>
      <c r="X28" s="58">
        <v>0</v>
      </c>
      <c r="Y28" s="58"/>
      <c r="Z28" s="59"/>
      <c r="AA28" s="76">
        <v>0</v>
      </c>
      <c r="AB28" s="156">
        <v>0</v>
      </c>
      <c r="AC28" s="157"/>
      <c r="AD28" s="61"/>
      <c r="AE28" s="63">
        <v>0</v>
      </c>
      <c r="AF28" s="63">
        <v>0</v>
      </c>
      <c r="AG28" s="158"/>
      <c r="AH28" s="62"/>
      <c r="AI28" s="154">
        <v>0</v>
      </c>
      <c r="AJ28" s="154">
        <v>0</v>
      </c>
      <c r="AK28" s="154"/>
      <c r="AL28" s="155"/>
      <c r="AM28" s="49">
        <v>0</v>
      </c>
      <c r="AN28" s="49">
        <v>0</v>
      </c>
      <c r="AO28" s="49"/>
      <c r="AP28" s="50"/>
      <c r="AQ28" s="159">
        <v>0</v>
      </c>
      <c r="AR28" s="198">
        <v>0</v>
      </c>
      <c r="AS28" s="198"/>
      <c r="AT28" s="198"/>
      <c r="AU28" s="210">
        <v>0</v>
      </c>
      <c r="AV28" s="210">
        <v>0</v>
      </c>
      <c r="AW28" s="210"/>
      <c r="AX28" s="210"/>
      <c r="AY28" s="129">
        <v>21877.608</v>
      </c>
      <c r="AZ28" s="129">
        <v>0</v>
      </c>
      <c r="BA28" s="129"/>
      <c r="BB28" s="129"/>
      <c r="BC28" s="139"/>
      <c r="BD28" s="136"/>
      <c r="BE28" s="136"/>
      <c r="BF28" s="136"/>
      <c r="BG28" s="26">
        <f t="shared" si="18"/>
        <v>0</v>
      </c>
      <c r="BH28" s="43">
        <f t="shared" si="19"/>
        <v>0</v>
      </c>
      <c r="BI28" s="43">
        <f t="shared" si="20"/>
        <v>0.6</v>
      </c>
      <c r="BJ28" s="43">
        <f t="shared" si="21"/>
        <v>0.6333333333333333</v>
      </c>
      <c r="BK28" s="43">
        <f t="shared" si="22"/>
        <v>0.66666666666666674</v>
      </c>
      <c r="BL28" s="43">
        <f t="shared" si="23"/>
        <v>0.7</v>
      </c>
      <c r="BM28" s="43">
        <f t="shared" si="24"/>
        <v>0.73333333333333339</v>
      </c>
      <c r="BN28" s="43">
        <f t="shared" si="25"/>
        <v>0.76666666666666661</v>
      </c>
      <c r="BO28" s="43">
        <f t="shared" si="26"/>
        <v>0.8</v>
      </c>
      <c r="BP28" s="43">
        <f t="shared" si="27"/>
        <v>0.83333333333333337</v>
      </c>
      <c r="BQ28" s="43">
        <f t="shared" si="28"/>
        <v>0.8666666666666667</v>
      </c>
      <c r="BR28" s="43">
        <f t="shared" si="29"/>
        <v>0.9</v>
      </c>
      <c r="BS28" s="43">
        <f t="shared" si="30"/>
        <v>0.93333333333333335</v>
      </c>
      <c r="BT28" s="43">
        <f t="shared" si="31"/>
        <v>0.96666666666666667</v>
      </c>
      <c r="BU28" s="43">
        <f t="shared" si="32"/>
        <v>1</v>
      </c>
      <c r="BV28" s="239">
        <f t="shared" si="34"/>
        <v>12610.54608680449</v>
      </c>
      <c r="BW28" s="239">
        <f t="shared" si="35"/>
        <v>0</v>
      </c>
      <c r="BX28" s="239">
        <f t="shared" si="33"/>
        <v>12190.194550577675</v>
      </c>
    </row>
    <row r="29" spans="1:79" ht="12.75" customHeight="1" x14ac:dyDescent="0.25">
      <c r="A29" s="6"/>
      <c r="B29" s="3" t="s">
        <v>47</v>
      </c>
      <c r="C29" s="7">
        <v>30</v>
      </c>
      <c r="D29" s="37">
        <v>3799108.6462719133</v>
      </c>
      <c r="E29" s="151"/>
      <c r="F29" s="152">
        <v>2411549.8125453922</v>
      </c>
      <c r="G29" s="87">
        <v>47185.65</v>
      </c>
      <c r="H29" s="88"/>
      <c r="I29" s="127"/>
      <c r="J29" s="88"/>
      <c r="K29" s="89">
        <v>121565.18</v>
      </c>
      <c r="L29" s="90">
        <v>42230</v>
      </c>
      <c r="M29" s="153"/>
      <c r="N29" s="91"/>
      <c r="O29" s="95">
        <v>114271.26085397454</v>
      </c>
      <c r="P29" s="93"/>
      <c r="Q29" s="94"/>
      <c r="R29" s="93"/>
      <c r="S29" s="154">
        <v>315516</v>
      </c>
      <c r="T29" s="114"/>
      <c r="U29" s="154"/>
      <c r="V29" s="155"/>
      <c r="W29" s="58">
        <v>246969.46</v>
      </c>
      <c r="X29" s="58">
        <v>0</v>
      </c>
      <c r="Y29" s="58"/>
      <c r="Z29" s="59"/>
      <c r="AA29" s="76">
        <v>746934.4</v>
      </c>
      <c r="AB29" s="156">
        <v>111277</v>
      </c>
      <c r="AC29" s="157"/>
      <c r="AD29" s="61"/>
      <c r="AE29" s="63">
        <v>819508.73</v>
      </c>
      <c r="AF29" s="63">
        <v>0</v>
      </c>
      <c r="AG29" s="158"/>
      <c r="AH29" s="62"/>
      <c r="AI29" s="154">
        <v>396123.05</v>
      </c>
      <c r="AJ29" s="154">
        <v>0</v>
      </c>
      <c r="AK29" s="154"/>
      <c r="AL29" s="155"/>
      <c r="AM29" s="49">
        <v>616394.63</v>
      </c>
      <c r="AN29" s="49">
        <v>0</v>
      </c>
      <c r="AO29" s="49"/>
      <c r="AP29" s="50"/>
      <c r="AQ29" s="159">
        <v>924534.3600000008</v>
      </c>
      <c r="AR29" s="198">
        <v>0</v>
      </c>
      <c r="AS29" s="198"/>
      <c r="AT29" s="198"/>
      <c r="AU29" s="210">
        <v>984613.09999999939</v>
      </c>
      <c r="AV29" s="210">
        <v>0</v>
      </c>
      <c r="AW29" s="210"/>
      <c r="AX29" s="210"/>
      <c r="AY29" s="129">
        <v>1229523.2699999996</v>
      </c>
      <c r="AZ29" s="129">
        <v>0</v>
      </c>
      <c r="BA29" s="129"/>
      <c r="BB29" s="129"/>
      <c r="BC29" s="139">
        <v>1413716.5399999991</v>
      </c>
      <c r="BD29" s="136"/>
      <c r="BE29" s="136"/>
      <c r="BF29" s="136"/>
      <c r="BG29" s="26">
        <f t="shared" si="18"/>
        <v>1990.0430180109104</v>
      </c>
      <c r="BH29" s="43">
        <f t="shared" si="19"/>
        <v>0.20143393369701246</v>
      </c>
      <c r="BI29" s="43">
        <f t="shared" si="20"/>
        <v>0.6</v>
      </c>
      <c r="BJ29" s="43">
        <f t="shared" si="21"/>
        <v>0.6333333333333333</v>
      </c>
      <c r="BK29" s="43">
        <f t="shared" si="22"/>
        <v>0.66666666666666674</v>
      </c>
      <c r="BL29" s="43">
        <f t="shared" si="23"/>
        <v>0.7</v>
      </c>
      <c r="BM29" s="43">
        <f t="shared" si="24"/>
        <v>0.73333333333333339</v>
      </c>
      <c r="BN29" s="43">
        <f t="shared" si="25"/>
        <v>0.76666666666666661</v>
      </c>
      <c r="BO29" s="43">
        <f t="shared" si="26"/>
        <v>0.8</v>
      </c>
      <c r="BP29" s="43">
        <f t="shared" si="27"/>
        <v>0.83333333333333337</v>
      </c>
      <c r="BQ29" s="43">
        <f t="shared" si="28"/>
        <v>0.8666666666666667</v>
      </c>
      <c r="BR29" s="43">
        <f t="shared" si="29"/>
        <v>0.9</v>
      </c>
      <c r="BS29" s="43">
        <f t="shared" si="30"/>
        <v>0.93333333333333335</v>
      </c>
      <c r="BT29" s="43">
        <f t="shared" si="31"/>
        <v>0.96666666666666667</v>
      </c>
      <c r="BU29" s="43">
        <f t="shared" si="32"/>
        <v>1</v>
      </c>
      <c r="BV29" s="239">
        <f t="shared" si="34"/>
        <v>10064662.899033211</v>
      </c>
      <c r="BW29" s="239">
        <f t="shared" si="35"/>
        <v>0</v>
      </c>
      <c r="BX29" s="239">
        <f t="shared" si="33"/>
        <v>6153836.6930339914</v>
      </c>
    </row>
    <row r="30" spans="1:79" ht="12.75" customHeight="1" x14ac:dyDescent="0.25">
      <c r="A30" s="6"/>
      <c r="B30" s="3" t="s">
        <v>48</v>
      </c>
      <c r="C30" s="7">
        <v>30</v>
      </c>
      <c r="D30" s="37">
        <v>3801860.6462719133</v>
      </c>
      <c r="E30" s="151"/>
      <c r="F30" s="152">
        <v>2413152.2195853922</v>
      </c>
      <c r="G30" s="87">
        <v>86766.887999999992</v>
      </c>
      <c r="H30" s="88"/>
      <c r="I30" s="127"/>
      <c r="J30" s="88"/>
      <c r="K30" s="89">
        <v>135558.54513805523</v>
      </c>
      <c r="L30" s="90">
        <v>0</v>
      </c>
      <c r="M30" s="153"/>
      <c r="N30" s="91"/>
      <c r="O30" s="95">
        <v>115214.17914602546</v>
      </c>
      <c r="P30" s="93"/>
      <c r="Q30" s="94"/>
      <c r="R30" s="93"/>
      <c r="S30" s="154">
        <v>115420</v>
      </c>
      <c r="T30" s="114"/>
      <c r="U30" s="154"/>
      <c r="V30" s="155"/>
      <c r="W30" s="58">
        <v>129961</v>
      </c>
      <c r="X30" s="58">
        <v>0</v>
      </c>
      <c r="Y30" s="58"/>
      <c r="Z30" s="59"/>
      <c r="AA30" s="76">
        <v>333192</v>
      </c>
      <c r="AB30" s="156">
        <v>0</v>
      </c>
      <c r="AC30" s="157"/>
      <c r="AD30" s="61"/>
      <c r="AE30" s="63">
        <v>515266.79</v>
      </c>
      <c r="AF30" s="63">
        <v>0</v>
      </c>
      <c r="AG30" s="158"/>
      <c r="AH30" s="62"/>
      <c r="AI30" s="154">
        <v>330540.90999999997</v>
      </c>
      <c r="AJ30" s="154">
        <v>0</v>
      </c>
      <c r="AK30" s="154"/>
      <c r="AL30" s="155"/>
      <c r="AM30" s="49">
        <v>462363.19000000018</v>
      </c>
      <c r="AN30" s="49">
        <v>0</v>
      </c>
      <c r="AO30" s="49"/>
      <c r="AP30" s="50"/>
      <c r="AQ30" s="159">
        <v>804704.21999999986</v>
      </c>
      <c r="AR30" s="198">
        <v>0</v>
      </c>
      <c r="AS30" s="198"/>
      <c r="AT30" s="198"/>
      <c r="AU30" s="210">
        <v>708124.1399999999</v>
      </c>
      <c r="AV30" s="210">
        <v>0</v>
      </c>
      <c r="AW30" s="210"/>
      <c r="AX30" s="210"/>
      <c r="AY30" s="129">
        <v>950598.12999999837</v>
      </c>
      <c r="AZ30" s="129">
        <v>0</v>
      </c>
      <c r="BA30" s="129"/>
      <c r="BB30" s="129"/>
      <c r="BC30" s="139">
        <v>542518.81999999972</v>
      </c>
      <c r="BD30" s="136"/>
      <c r="BE30" s="136"/>
      <c r="BF30" s="136"/>
      <c r="BG30" s="26">
        <f t="shared" si="18"/>
        <v>1990.0418779969095</v>
      </c>
      <c r="BH30" s="43">
        <f t="shared" si="19"/>
        <v>0.20139593323031779</v>
      </c>
      <c r="BI30" s="43">
        <f t="shared" si="20"/>
        <v>0.6</v>
      </c>
      <c r="BJ30" s="43">
        <f t="shared" si="21"/>
        <v>0.6333333333333333</v>
      </c>
      <c r="BK30" s="43">
        <f t="shared" si="22"/>
        <v>0.66666666666666674</v>
      </c>
      <c r="BL30" s="43">
        <f t="shared" si="23"/>
        <v>0.7</v>
      </c>
      <c r="BM30" s="43">
        <f t="shared" si="24"/>
        <v>0.73333333333333339</v>
      </c>
      <c r="BN30" s="43">
        <f t="shared" si="25"/>
        <v>0.76666666666666661</v>
      </c>
      <c r="BO30" s="43">
        <f t="shared" si="26"/>
        <v>0.8</v>
      </c>
      <c r="BP30" s="43">
        <f t="shared" si="27"/>
        <v>0.83333333333333337</v>
      </c>
      <c r="BQ30" s="43">
        <f t="shared" si="28"/>
        <v>0.8666666666666667</v>
      </c>
      <c r="BR30" s="43">
        <f t="shared" si="29"/>
        <v>0.9</v>
      </c>
      <c r="BS30" s="43">
        <f t="shared" si="30"/>
        <v>0.93333333333333335</v>
      </c>
      <c r="BT30" s="43">
        <f t="shared" si="31"/>
        <v>0.96666666666666667</v>
      </c>
      <c r="BU30" s="43">
        <f t="shared" si="32"/>
        <v>1</v>
      </c>
      <c r="BV30" s="239">
        <f t="shared" si="34"/>
        <v>7868776.5363856489</v>
      </c>
      <c r="BW30" s="239">
        <f t="shared" si="35"/>
        <v>0</v>
      </c>
      <c r="BX30" s="239">
        <f t="shared" si="33"/>
        <v>4299499.5050410312</v>
      </c>
    </row>
    <row r="31" spans="1:79" ht="12.75" customHeight="1" x14ac:dyDescent="0.25">
      <c r="A31" s="6"/>
      <c r="B31" s="3" t="s">
        <v>49</v>
      </c>
      <c r="C31" s="7">
        <v>30</v>
      </c>
      <c r="D31" s="37">
        <v>0</v>
      </c>
      <c r="E31" s="151"/>
      <c r="F31" s="152">
        <v>0</v>
      </c>
      <c r="G31" s="87">
        <v>0</v>
      </c>
      <c r="H31" s="88"/>
      <c r="I31" s="127"/>
      <c r="J31" s="88"/>
      <c r="K31" s="89">
        <v>0</v>
      </c>
      <c r="L31" s="90">
        <v>0</v>
      </c>
      <c r="M31" s="153"/>
      <c r="N31" s="91"/>
      <c r="O31" s="95">
        <v>0</v>
      </c>
      <c r="P31" s="93"/>
      <c r="Q31" s="94"/>
      <c r="R31" s="93"/>
      <c r="S31" s="154">
        <v>0</v>
      </c>
      <c r="T31" s="114"/>
      <c r="U31" s="154"/>
      <c r="V31" s="155"/>
      <c r="W31" s="58">
        <v>0</v>
      </c>
      <c r="X31" s="58">
        <v>0</v>
      </c>
      <c r="Y31" s="58"/>
      <c r="Z31" s="59"/>
      <c r="AA31" s="76">
        <v>0</v>
      </c>
      <c r="AB31" s="156">
        <v>0</v>
      </c>
      <c r="AC31" s="157"/>
      <c r="AD31" s="61"/>
      <c r="AE31" s="63">
        <v>0</v>
      </c>
      <c r="AF31" s="63">
        <v>0</v>
      </c>
      <c r="AG31" s="158"/>
      <c r="AH31" s="62"/>
      <c r="AI31" s="154">
        <v>0</v>
      </c>
      <c r="AJ31" s="154">
        <v>0</v>
      </c>
      <c r="AK31" s="154"/>
      <c r="AL31" s="155"/>
      <c r="AM31" s="49">
        <v>0</v>
      </c>
      <c r="AN31" s="49">
        <v>0</v>
      </c>
      <c r="AO31" s="49"/>
      <c r="AP31" s="53"/>
      <c r="AQ31" s="159">
        <v>0</v>
      </c>
      <c r="AR31" s="198">
        <v>0</v>
      </c>
      <c r="AS31" s="198"/>
      <c r="AT31" s="198"/>
      <c r="AU31" s="210">
        <v>0</v>
      </c>
      <c r="AV31" s="210">
        <v>0</v>
      </c>
      <c r="AW31" s="210"/>
      <c r="AX31" s="210"/>
      <c r="AY31" s="129">
        <v>0</v>
      </c>
      <c r="AZ31" s="129">
        <v>0</v>
      </c>
      <c r="BA31" s="129"/>
      <c r="BB31" s="129"/>
      <c r="BC31" s="139">
        <v>103431.25</v>
      </c>
      <c r="BD31" s="136"/>
      <c r="BE31" s="136"/>
      <c r="BF31" s="136"/>
      <c r="BG31" s="26">
        <f t="shared" si="18"/>
        <v>0</v>
      </c>
      <c r="BH31" s="43">
        <f t="shared" si="19"/>
        <v>0</v>
      </c>
      <c r="BI31" s="43">
        <f t="shared" si="20"/>
        <v>0.6</v>
      </c>
      <c r="BJ31" s="43">
        <f t="shared" si="21"/>
        <v>0.6333333333333333</v>
      </c>
      <c r="BK31" s="43">
        <f t="shared" si="22"/>
        <v>0.66666666666666674</v>
      </c>
      <c r="BL31" s="43">
        <f t="shared" si="23"/>
        <v>0.7</v>
      </c>
      <c r="BM31" s="43">
        <f t="shared" si="24"/>
        <v>0.73333333333333339</v>
      </c>
      <c r="BN31" s="43">
        <f t="shared" si="25"/>
        <v>0.76666666666666661</v>
      </c>
      <c r="BO31" s="43">
        <f t="shared" si="26"/>
        <v>0.8</v>
      </c>
      <c r="BP31" s="43">
        <f t="shared" si="27"/>
        <v>0.83333333333333337</v>
      </c>
      <c r="BQ31" s="43">
        <f t="shared" si="28"/>
        <v>0.8666666666666667</v>
      </c>
      <c r="BR31" s="43">
        <f t="shared" si="29"/>
        <v>0.9</v>
      </c>
      <c r="BS31" s="43">
        <f t="shared" si="30"/>
        <v>0.93333333333333335</v>
      </c>
      <c r="BT31" s="43">
        <f t="shared" si="31"/>
        <v>0.96666666666666667</v>
      </c>
      <c r="BU31" s="43">
        <f t="shared" si="32"/>
        <v>1</v>
      </c>
      <c r="BV31" s="239">
        <f t="shared" si="34"/>
        <v>85526.564677599483</v>
      </c>
      <c r="BW31" s="239">
        <f t="shared" si="35"/>
        <v>0</v>
      </c>
      <c r="BX31" s="239">
        <f t="shared" si="33"/>
        <v>85526.564677599483</v>
      </c>
    </row>
    <row r="32" spans="1:79" ht="12.75" customHeight="1" x14ac:dyDescent="0.35">
      <c r="A32" s="6"/>
      <c r="B32" s="4" t="s">
        <v>29</v>
      </c>
      <c r="C32" s="15"/>
      <c r="D32" s="77">
        <v>0</v>
      </c>
      <c r="E32" s="109"/>
      <c r="F32" s="77">
        <v>0</v>
      </c>
      <c r="G32" s="104"/>
      <c r="H32" s="104"/>
      <c r="I32" s="104"/>
      <c r="J32" s="104"/>
      <c r="K32" s="105"/>
      <c r="L32" s="106">
        <v>0</v>
      </c>
      <c r="M32" s="106"/>
      <c r="N32" s="105"/>
      <c r="O32" s="107"/>
      <c r="P32" s="107"/>
      <c r="Q32" s="107"/>
      <c r="R32" s="107"/>
      <c r="S32" s="168"/>
      <c r="T32" s="168"/>
      <c r="U32" s="169"/>
      <c r="V32" s="170"/>
      <c r="W32" s="74"/>
      <c r="X32" s="73"/>
      <c r="Y32" s="74"/>
      <c r="Z32" s="73"/>
      <c r="AA32" s="75"/>
      <c r="AB32" s="75"/>
      <c r="AC32" s="171"/>
      <c r="AD32" s="75"/>
      <c r="AE32" s="50"/>
      <c r="AF32" s="50"/>
      <c r="AG32" s="53"/>
      <c r="AH32" s="50"/>
      <c r="AI32" s="169"/>
      <c r="AJ32" s="170"/>
      <c r="AK32" s="170"/>
      <c r="AL32" s="170"/>
      <c r="AM32" s="190">
        <v>0</v>
      </c>
      <c r="AN32" s="85">
        <v>0</v>
      </c>
      <c r="AO32" s="85"/>
      <c r="AP32" s="86"/>
      <c r="AQ32" s="207">
        <v>0</v>
      </c>
      <c r="AR32" s="202">
        <v>0</v>
      </c>
      <c r="AS32" s="202"/>
      <c r="AT32" s="202"/>
      <c r="AU32" s="218">
        <v>0</v>
      </c>
      <c r="AV32" s="214">
        <v>0</v>
      </c>
      <c r="AW32" s="214"/>
      <c r="AX32" s="219"/>
      <c r="AY32" s="128">
        <v>0</v>
      </c>
      <c r="AZ32" s="128">
        <v>0</v>
      </c>
      <c r="BA32" s="128"/>
      <c r="BB32" s="128"/>
      <c r="BC32" s="143"/>
      <c r="BD32" s="143"/>
      <c r="BE32" s="143"/>
      <c r="BF32" s="143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241"/>
      <c r="BW32" s="241"/>
      <c r="BX32" s="241"/>
    </row>
    <row r="33" spans="1:76" ht="12.75" customHeight="1" x14ac:dyDescent="0.25">
      <c r="A33" s="6"/>
      <c r="B33" s="3" t="s">
        <v>30</v>
      </c>
      <c r="C33" s="7">
        <v>30</v>
      </c>
      <c r="D33" s="37">
        <v>0</v>
      </c>
      <c r="E33" s="151"/>
      <c r="F33" s="152">
        <v>0</v>
      </c>
      <c r="G33" s="87">
        <v>357372.88</v>
      </c>
      <c r="H33" s="88"/>
      <c r="I33" s="127"/>
      <c r="J33" s="88"/>
      <c r="K33" s="89">
        <v>543253.56000000006</v>
      </c>
      <c r="L33" s="90">
        <v>0</v>
      </c>
      <c r="M33" s="153"/>
      <c r="N33" s="91"/>
      <c r="O33" s="95">
        <v>737930</v>
      </c>
      <c r="P33" s="93"/>
      <c r="Q33" s="94"/>
      <c r="R33" s="93"/>
      <c r="S33" s="154">
        <v>616404</v>
      </c>
      <c r="T33" s="114"/>
      <c r="U33" s="154"/>
      <c r="V33" s="155"/>
      <c r="W33" s="58">
        <v>908729</v>
      </c>
      <c r="X33" s="58">
        <v>0</v>
      </c>
      <c r="Y33" s="58"/>
      <c r="Z33" s="59"/>
      <c r="AA33" s="76">
        <v>1034380.58</v>
      </c>
      <c r="AB33" s="156">
        <v>55639</v>
      </c>
      <c r="AC33" s="157"/>
      <c r="AD33" s="61"/>
      <c r="AE33" s="63">
        <v>1297534</v>
      </c>
      <c r="AF33" s="63">
        <v>0</v>
      </c>
      <c r="AG33" s="158"/>
      <c r="AH33" s="62"/>
      <c r="AI33" s="154">
        <v>1402601.7</v>
      </c>
      <c r="AJ33" s="154">
        <v>0</v>
      </c>
      <c r="AK33" s="154"/>
      <c r="AL33" s="155"/>
      <c r="AM33" s="49">
        <v>1130909.5199999993</v>
      </c>
      <c r="AN33" s="49">
        <v>0</v>
      </c>
      <c r="AO33" s="49"/>
      <c r="AP33" s="50"/>
      <c r="AQ33" s="159">
        <v>1272704.2400000021</v>
      </c>
      <c r="AR33" s="198">
        <v>0</v>
      </c>
      <c r="AS33" s="198"/>
      <c r="AT33" s="198"/>
      <c r="AU33" s="210">
        <v>1171005.9999999995</v>
      </c>
      <c r="AV33" s="210">
        <v>0</v>
      </c>
      <c r="AW33" s="210"/>
      <c r="AX33" s="210"/>
      <c r="AY33" s="129">
        <v>1787672.0399999998</v>
      </c>
      <c r="AZ33" s="129">
        <v>0</v>
      </c>
      <c r="BA33" s="129"/>
      <c r="BB33" s="129"/>
      <c r="BC33" s="139">
        <v>1674946.8199999996</v>
      </c>
      <c r="BD33" s="136"/>
      <c r="BE33" s="136"/>
      <c r="BF33" s="136"/>
      <c r="BG33" s="26">
        <f>IF(D33=0,0,2001-(D33-F33)*C33/D33)</f>
        <v>0</v>
      </c>
      <c r="BH33" s="43">
        <f>IF((1-($BV$2-$BG33)/$C33)&gt;0,(1-($BV$2-$BG33)/$C33),0)</f>
        <v>0</v>
      </c>
      <c r="BI33" s="43">
        <f>IF((1-($BV$2-G$2)/$C33)&gt;0,(1-($BV$2-G$2)/$C33),0)</f>
        <v>0.6</v>
      </c>
      <c r="BJ33" s="43">
        <f>IF((1-($BV$2-K$2)/$C33)&gt;0,(1-($BV$2-K$2)/$C33),0)</f>
        <v>0.6333333333333333</v>
      </c>
      <c r="BK33" s="43">
        <f>IF((1-($BV$2-O$2)/$C33)&gt;0,(1-($BV$2-O$2)/$C33),0)</f>
        <v>0.66666666666666674</v>
      </c>
      <c r="BL33" s="43">
        <f>IF((1-($BV$2-S$2)/$C33)&gt;0,(1-($BV$2-S$2)/$C33),0)</f>
        <v>0.7</v>
      </c>
      <c r="BM33" s="43">
        <f>IF((1-($BV$2-W$2)/$C33)&gt;0,(1-($BV$2-W$2)/$C33),0)</f>
        <v>0.73333333333333339</v>
      </c>
      <c r="BN33" s="43">
        <f>IF((1-($BV$2-AA$2)/$C33)&gt;0,(1-($BV$2-AA$2)/$C33),0)</f>
        <v>0.76666666666666661</v>
      </c>
      <c r="BO33" s="43">
        <f>IF((1-($BV$2-AE$2)/$C33)&gt;0,(1-($BV$2-AE$2)/$C33),0)</f>
        <v>0.8</v>
      </c>
      <c r="BP33" s="43">
        <f>IF((1-($BV$2-AI$2)/$C33)&gt;0,(1-($BV$2-AI$2)/$C33),0)</f>
        <v>0.83333333333333337</v>
      </c>
      <c r="BQ33" s="43">
        <f>IF((1-($BV$2-AM$2)/$C33)&gt;0,(1-($BV$2-AM$2)/$C33),0)</f>
        <v>0.8666666666666667</v>
      </c>
      <c r="BR33" s="43">
        <f>IF((1-($BV$2-AQ$2)/$C33)&gt;0,(1-($BV$2-AQ$2)/$C33),0)</f>
        <v>0.9</v>
      </c>
      <c r="BS33" s="43">
        <f>IF((1-($BV$2-AU$2)/$C33)&gt;0,(1-($BV$2-AU$2)/$C33),0)</f>
        <v>0.93333333333333335</v>
      </c>
      <c r="BT33" s="43">
        <f>IF((1-($BV$2-AY$2)/$C33)&gt;0,(1-($BV$2-AY$2)/$C33),0)</f>
        <v>0.96666666666666667</v>
      </c>
      <c r="BU33" s="43">
        <f>IF((1-($BV$2-BC$2)/$C33)&gt;0,(1-($BV$2-BC$2)/$C33),0)</f>
        <v>1</v>
      </c>
      <c r="BV33" s="239">
        <f t="shared" ref="BV33:BV44" si="36">+D33-E33+(G33-I33)*G$61+(K33-M33)*K$61+(O33-Q33)*O$61+(S33-U33)*S$61+(W33-Y33)*W$61+(AA33-AC33)*AA$61+(AE33-AG33)*AE$61+(AI33-AK33)*AI$61+(AM33-AO33)*AM$61+(AQ33-AS33)*$AQ$61+(AU33-AW33)*$AU$61+(AY33-BA33)*$AY$61+(BC33-BE33)*$BC$61</f>
        <v>11111116.80573542</v>
      </c>
      <c r="BW33" s="239">
        <f>BV33-(IF(BH33=0,0,D33-E33)+IF(BI33=0,0,(G33-I33)*G$61)+IF(BJ33=0,0,(K33-M33)*K$61)+IF(BK33=0,0,(O33-Q33)*O$61)+IF(BL33=0,0,(S33-U33)*S$61)+IF(BM33=0,0,(W33-Y33)*W$61)+IF(BN33=0,0,(AA33-AC33)*AA$61)+IF(BO33=0,0,(AE33-AG33)*AE$61)+IF(BP33=0,0,(AI33-AK33)*AI$61)+IF(BQ33=0,0,(AM33-AO33)*AM$61)+IF(BR33=0,0,(AQ33-AS33)*$AQ$61)+IF(BS33=0,0,(AU33-AW33)*$AU$61)+IF(BT33=0,0,(AY33-BA33)*$AY$61)+IF(BU33=0,0,(BC33-BE33)*$BC$61))</f>
        <v>0</v>
      </c>
      <c r="BX33" s="239">
        <f>(D33-E33)*BH33+((G33-H33-(I33-J33))*G$61)*BI33+((K33-L33-(M33-N33))*K$61)*BJ33+((O33-P33-(Q33-R33))*O$61)*BK33+((S33-T33-(U33-V33))*S$61)*BL33+((W33-X33-(Y33-Z33))*W$61)*BM33+((AA33-AB33-(AC33-AD33))*AA$61)*BN33+((AE33-AF33-(AG33-AH33))*AE$61)*BO33+((AI33-AJ33-(AK33-AL33))*AI$61)*BP33+((AM33-AN33)*BQ33-(AO33-AP33))*$AM$61+((AQ33-AR33)*BR33-(AS33-AT33))*$AQ$61+((AU33-AV33)*BS33-(AW33-AX33))*$AU$61+((AY33-AZ33)*BT33-(BA33-BB33))*$AY$61+((BC33-BD33)*BU33-(BF33-BG33))*$BC$61</f>
        <v>9261489.4770765137</v>
      </c>
    </row>
    <row r="34" spans="1:76" ht="12.75" customHeight="1" x14ac:dyDescent="0.25">
      <c r="A34" s="6"/>
      <c r="B34" s="3" t="s">
        <v>31</v>
      </c>
      <c r="C34" s="7">
        <v>30</v>
      </c>
      <c r="D34" s="37">
        <v>0</v>
      </c>
      <c r="E34" s="151"/>
      <c r="F34" s="152">
        <v>0</v>
      </c>
      <c r="G34" s="87">
        <v>20855.34</v>
      </c>
      <c r="H34" s="88"/>
      <c r="I34" s="127"/>
      <c r="J34" s="88"/>
      <c r="K34" s="89">
        <v>31716.79</v>
      </c>
      <c r="L34" s="90">
        <v>0</v>
      </c>
      <c r="M34" s="153"/>
      <c r="N34" s="91"/>
      <c r="O34" s="95">
        <v>45392.1</v>
      </c>
      <c r="P34" s="93"/>
      <c r="Q34" s="94"/>
      <c r="R34" s="93"/>
      <c r="S34" s="154">
        <v>55532</v>
      </c>
      <c r="T34" s="114"/>
      <c r="U34" s="154"/>
      <c r="V34" s="155"/>
      <c r="W34" s="58">
        <v>21527.58</v>
      </c>
      <c r="X34" s="58">
        <v>0</v>
      </c>
      <c r="Y34" s="58"/>
      <c r="Z34" s="59"/>
      <c r="AA34" s="76">
        <v>69879.69</v>
      </c>
      <c r="AB34" s="156">
        <v>0</v>
      </c>
      <c r="AC34" s="157"/>
      <c r="AD34" s="61"/>
      <c r="AE34" s="63">
        <v>167603.6</v>
      </c>
      <c r="AF34" s="63">
        <v>0</v>
      </c>
      <c r="AG34" s="158"/>
      <c r="AH34" s="62"/>
      <c r="AI34" s="154">
        <v>114363.29</v>
      </c>
      <c r="AJ34" s="154">
        <v>0</v>
      </c>
      <c r="AK34" s="154"/>
      <c r="AL34" s="155"/>
      <c r="AM34" s="49">
        <v>128319.80999999997</v>
      </c>
      <c r="AN34" s="49">
        <v>0</v>
      </c>
      <c r="AO34" s="49"/>
      <c r="AP34" s="50"/>
      <c r="AQ34" s="159">
        <v>45878.89</v>
      </c>
      <c r="AR34" s="198">
        <v>0</v>
      </c>
      <c r="AS34" s="198"/>
      <c r="AT34" s="198"/>
      <c r="AU34" s="210">
        <v>78988.76999999999</v>
      </c>
      <c r="AV34" s="210">
        <v>0</v>
      </c>
      <c r="AW34" s="210"/>
      <c r="AX34" s="210"/>
      <c r="AY34" s="129">
        <v>165321.32</v>
      </c>
      <c r="AZ34" s="129">
        <v>0</v>
      </c>
      <c r="BA34" s="129"/>
      <c r="BB34" s="129"/>
      <c r="BC34" s="139">
        <v>329359.53999999998</v>
      </c>
      <c r="BD34" s="136"/>
      <c r="BE34" s="136"/>
      <c r="BF34" s="136"/>
      <c r="BG34" s="26">
        <f>IF(D34=0,0,2001-(D34-F34)*C34/D34)</f>
        <v>0</v>
      </c>
      <c r="BH34" s="43">
        <f>IF((1-($BV$2-$BG34)/$C34)&gt;0,(1-($BV$2-$BG34)/$C34),0)</f>
        <v>0</v>
      </c>
      <c r="BI34" s="43">
        <f>IF((1-($BV$2-G$2)/$C34)&gt;0,(1-($BV$2-G$2)/$C34),0)</f>
        <v>0.6</v>
      </c>
      <c r="BJ34" s="43">
        <f>IF((1-($BV$2-K$2)/$C34)&gt;0,(1-($BV$2-K$2)/$C34),0)</f>
        <v>0.6333333333333333</v>
      </c>
      <c r="BK34" s="43">
        <f>IF((1-($BV$2-O$2)/$C34)&gt;0,(1-($BV$2-O$2)/$C34),0)</f>
        <v>0.66666666666666674</v>
      </c>
      <c r="BL34" s="43">
        <f>IF((1-($BV$2-S$2)/$C34)&gt;0,(1-($BV$2-S$2)/$C34),0)</f>
        <v>0.7</v>
      </c>
      <c r="BM34" s="43">
        <f>IF((1-($BV$2-W$2)/$C34)&gt;0,(1-($BV$2-W$2)/$C34),0)</f>
        <v>0.73333333333333339</v>
      </c>
      <c r="BN34" s="43">
        <f>IF((1-($BV$2-AA$2)/$C34)&gt;0,(1-($BV$2-AA$2)/$C34),0)</f>
        <v>0.76666666666666661</v>
      </c>
      <c r="BO34" s="43">
        <f>IF((1-($BV$2-AE$2)/$C34)&gt;0,(1-($BV$2-AE$2)/$C34),0)</f>
        <v>0.8</v>
      </c>
      <c r="BP34" s="43">
        <f>IF((1-($BV$2-AI$2)/$C34)&gt;0,(1-($BV$2-AI$2)/$C34),0)</f>
        <v>0.83333333333333337</v>
      </c>
      <c r="BQ34" s="43">
        <f>IF((1-($BV$2-AM$2)/$C34)&gt;0,(1-($BV$2-AM$2)/$C34),0)</f>
        <v>0.8666666666666667</v>
      </c>
      <c r="BR34" s="43">
        <f>IF((1-($BV$2-AQ$2)/$C34)&gt;0,(1-($BV$2-AQ$2)/$C34),0)</f>
        <v>0.9</v>
      </c>
      <c r="BS34" s="43">
        <f>IF((1-($BV$2-AU$2)/$C34)&gt;0,(1-($BV$2-AU$2)/$C34),0)</f>
        <v>0.93333333333333335</v>
      </c>
      <c r="BT34" s="43">
        <f>IF((1-($BV$2-AY$2)/$C34)&gt;0,(1-($BV$2-AY$2)/$C34),0)</f>
        <v>0.96666666666666667</v>
      </c>
      <c r="BU34" s="43">
        <f>IF((1-($BV$2-BC$2)/$C34)&gt;0,(1-($BV$2-BC$2)/$C34),0)</f>
        <v>1</v>
      </c>
      <c r="BV34" s="239">
        <f t="shared" si="36"/>
        <v>1010469.5160861979</v>
      </c>
      <c r="BW34" s="239">
        <f>BV34-(IF(BH34=0,0,D34-E34)+IF(BI34=0,0,(G34-I34)*G$61)+IF(BJ34=0,0,(K34-M34)*K$61)+IF(BK34=0,0,(O34-Q34)*O$61)+IF(BL34=0,0,(S34-U34)*S$61)+IF(BM34=0,0,(W34-Y34)*W$61)+IF(BN34=0,0,(AA34-AC34)*AA$61)+IF(BO34=0,0,(AE34-AG34)*AE$61)+IF(BP34=0,0,(AI34-AK34)*AI$61)+IF(BQ34=0,0,(AM34-AO34)*AM$61)+IF(BR34=0,0,(AQ34-AS34)*$AQ$61)+IF(BS34=0,0,(AU34-AW34)*$AU$61)+IF(BT34=0,0,(AY34-BA34)*$AY$61)+IF(BU34=0,0,(BC34-BE34)*$BC$61))</f>
        <v>0</v>
      </c>
      <c r="BX34" s="239">
        <f>(D34-E34)*BH34+((G34-H34-(I34-J34))*G$61)*BI34+((K34-L34-(M34-N34))*K$61)*BJ34+((O34-P34-(Q34-R34))*O$61)*BK34+((S34-T34-(U34-V34))*S$61)*BL34+((W34-X34-(Y34-Z34))*W$61)*BM34+((AA34-AB34-(AC34-AD34))*AA$61)*BN34+((AE34-AF34-(AG34-AH34))*AE$61)*BO34+((AI34-AJ34-(AK34-AL34))*AI$61)*BP34+((AM34-AN34)*BQ34-(AO34-AP34))*$AM$61+((AQ34-AR34)*BR34-(AS34-AT34))*$AQ$61+((AU34-AV34)*BS34-(AW34-AX34))*$AU$61+((AY34-AZ34)*BT34-(BA34-BB34))*$AY$61+((BC34-BD34)*BU34-(BF34-BG34))*$BC$61</f>
        <v>878737.95633815951</v>
      </c>
    </row>
    <row r="35" spans="1:76" ht="12.75" customHeight="1" x14ac:dyDescent="0.25">
      <c r="A35" s="6"/>
      <c r="B35" s="3" t="s">
        <v>50</v>
      </c>
      <c r="C35" s="7">
        <v>30</v>
      </c>
      <c r="D35" s="37">
        <v>10109999.26940603</v>
      </c>
      <c r="E35" s="151"/>
      <c r="F35" s="152">
        <v>6944775.122452748</v>
      </c>
      <c r="G35" s="87">
        <v>110095.16</v>
      </c>
      <c r="H35" s="88"/>
      <c r="I35" s="127"/>
      <c r="J35" s="88"/>
      <c r="K35" s="89">
        <v>147527.42000000001</v>
      </c>
      <c r="L35" s="90">
        <v>20984</v>
      </c>
      <c r="M35" s="153"/>
      <c r="N35" s="91"/>
      <c r="O35" s="95">
        <v>202095.11</v>
      </c>
      <c r="P35" s="93"/>
      <c r="Q35" s="94"/>
      <c r="R35" s="93"/>
      <c r="S35" s="154">
        <v>159017</v>
      </c>
      <c r="T35" s="114"/>
      <c r="U35" s="154"/>
      <c r="V35" s="155"/>
      <c r="W35" s="58">
        <v>103233.12</v>
      </c>
      <c r="X35" s="58">
        <v>0</v>
      </c>
      <c r="Y35" s="58"/>
      <c r="Z35" s="59"/>
      <c r="AA35" s="76">
        <v>228601</v>
      </c>
      <c r="AB35" s="156">
        <v>0</v>
      </c>
      <c r="AC35" s="157"/>
      <c r="AD35" s="61"/>
      <c r="AE35" s="63">
        <v>200982</v>
      </c>
      <c r="AF35" s="63">
        <v>0</v>
      </c>
      <c r="AG35" s="158"/>
      <c r="AH35" s="62"/>
      <c r="AI35" s="154">
        <v>317412.78999999998</v>
      </c>
      <c r="AJ35" s="154">
        <v>0</v>
      </c>
      <c r="AK35" s="154"/>
      <c r="AL35" s="155"/>
      <c r="AM35" s="49">
        <v>385355</v>
      </c>
      <c r="AN35" s="49">
        <v>0</v>
      </c>
      <c r="AO35" s="49"/>
      <c r="AP35" s="50"/>
      <c r="AQ35" s="159">
        <v>616660.66</v>
      </c>
      <c r="AR35" s="198">
        <v>0</v>
      </c>
      <c r="AS35" s="198"/>
      <c r="AT35" s="198"/>
      <c r="AU35" s="210">
        <v>343937.51999999996</v>
      </c>
      <c r="AV35" s="210">
        <v>0</v>
      </c>
      <c r="AW35" s="210"/>
      <c r="AX35" s="210"/>
      <c r="AY35" s="129">
        <v>322760.92000000004</v>
      </c>
      <c r="AZ35" s="129">
        <v>0</v>
      </c>
      <c r="BA35" s="129"/>
      <c r="BB35" s="129"/>
      <c r="BC35" s="139">
        <v>379311.01</v>
      </c>
      <c r="BD35" s="136"/>
      <c r="BE35" s="136"/>
      <c r="BF35" s="136"/>
      <c r="BG35" s="26">
        <f>IF(D35=0,0,2001-(D35-F35)*C35/D35)</f>
        <v>1991.607642802117</v>
      </c>
      <c r="BH35" s="43">
        <f>IF((1-($BV$2-$BG35)/$C35)&gt;0,(1-($BV$2-$BG35)/$C35),0)</f>
        <v>0.25358809340389898</v>
      </c>
      <c r="BI35" s="43">
        <f>IF((1-($BV$2-G$2)/$C35)&gt;0,(1-($BV$2-G$2)/$C35),0)</f>
        <v>0.6</v>
      </c>
      <c r="BJ35" s="43">
        <f>IF((1-($BV$2-K$2)/$C35)&gt;0,(1-($BV$2-K$2)/$C35),0)</f>
        <v>0.6333333333333333</v>
      </c>
      <c r="BK35" s="43">
        <f>IF((1-($BV$2-O$2)/$C35)&gt;0,(1-($BV$2-O$2)/$C35),0)</f>
        <v>0.66666666666666674</v>
      </c>
      <c r="BL35" s="43">
        <f>IF((1-($BV$2-S$2)/$C35)&gt;0,(1-($BV$2-S$2)/$C35),0)</f>
        <v>0.7</v>
      </c>
      <c r="BM35" s="43">
        <f>IF((1-($BV$2-W$2)/$C35)&gt;0,(1-($BV$2-W$2)/$C35),0)</f>
        <v>0.73333333333333339</v>
      </c>
      <c r="BN35" s="43">
        <f>IF((1-($BV$2-AA$2)/$C35)&gt;0,(1-($BV$2-AA$2)/$C35),0)</f>
        <v>0.76666666666666661</v>
      </c>
      <c r="BO35" s="43">
        <f>IF((1-($BV$2-AE$2)/$C35)&gt;0,(1-($BV$2-AE$2)/$C35),0)</f>
        <v>0.8</v>
      </c>
      <c r="BP35" s="43">
        <f>IF((1-($BV$2-AI$2)/$C35)&gt;0,(1-($BV$2-AI$2)/$C35),0)</f>
        <v>0.83333333333333337</v>
      </c>
      <c r="BQ35" s="43">
        <f>IF((1-($BV$2-AM$2)/$C35)&gt;0,(1-($BV$2-AM$2)/$C35),0)</f>
        <v>0.8666666666666667</v>
      </c>
      <c r="BR35" s="43">
        <f>IF((1-($BV$2-AQ$2)/$C35)&gt;0,(1-($BV$2-AQ$2)/$C35),0)</f>
        <v>0.9</v>
      </c>
      <c r="BS35" s="43">
        <f>IF((1-($BV$2-AU$2)/$C35)&gt;0,(1-($BV$2-AU$2)/$C35),0)</f>
        <v>0.93333333333333335</v>
      </c>
      <c r="BT35" s="43">
        <f>IF((1-($BV$2-AY$2)/$C35)&gt;0,(1-($BV$2-AY$2)/$C35),0)</f>
        <v>0.96666666666666667</v>
      </c>
      <c r="BU35" s="43">
        <f>IF((1-($BV$2-BC$2)/$C35)&gt;0,(1-($BV$2-BC$2)/$C35),0)</f>
        <v>1</v>
      </c>
      <c r="BV35" s="239">
        <f t="shared" si="36"/>
        <v>12926528.291885747</v>
      </c>
      <c r="BW35" s="239">
        <f>BV35-(IF(BH35=0,0,D35-E35)+IF(BI35=0,0,(G35-I35)*G$61)+IF(BJ35=0,0,(K35-M35)*K$61)+IF(BK35=0,0,(O35-Q35)*O$61)+IF(BL35=0,0,(S35-U35)*S$61)+IF(BM35=0,0,(W35-Y35)*W$61)+IF(BN35=0,0,(AA35-AC35)*AA$61)+IF(BO35=0,0,(AE35-AG35)*AE$61)+IF(BP35=0,0,(AI35-AK35)*AI$61)+IF(BQ35=0,0,(AM35-AO35)*AM$61)+IF(BR35=0,0,(AQ35-AS35)*$AQ$61)+IF(BS35=0,0,(AU35-AW35)*$AU$61)+IF(BT35=0,0,(AY35-BA35)*$AY$61)+IF(BU35=0,0,(BC35-BE35)*$BC$61))</f>
        <v>0</v>
      </c>
      <c r="BX35" s="239">
        <f>(D35-E35)*BH35+((G35-H35-(I35-J35))*G$61)*BI35+((K35-L35-(M35-N35))*K$61)*BJ35+((O35-P35-(Q35-R35))*O$61)*BK35+((S35-T35-(U35-V35))*S$61)*BL35+((W35-X35-(Y35-Z35))*W$61)*BM35+((AA35-AB35-(AC35-AD35))*AA$61)*BN35+((AE35-AF35-(AG35-AH35))*AE$61)*BO35+((AI35-AJ35-(AK35-AL35))*AI$61)*BP35+((AM35-AN35)*BQ35-(AO35-AP35))*$AM$61+((AQ35-AR35)*BR35-(AS35-AT35))*$AQ$61+((AU35-AV35)*BS35-(AW35-AX35))*$AU$61+((AY35-AZ35)*BT35-(BA35-BB35))*$AY$61+((BC35-BD35)*BU35-(BF35-BG35))*$BC$61</f>
        <v>4923818.533109813</v>
      </c>
    </row>
    <row r="36" spans="1:76" ht="12.75" customHeight="1" x14ac:dyDescent="0.35">
      <c r="A36" s="6"/>
      <c r="B36" s="5" t="s">
        <v>32</v>
      </c>
      <c r="C36" s="16"/>
      <c r="D36" s="77">
        <v>0</v>
      </c>
      <c r="E36" s="109"/>
      <c r="F36" s="77">
        <v>0</v>
      </c>
      <c r="G36" s="104"/>
      <c r="H36" s="104"/>
      <c r="I36" s="104"/>
      <c r="J36" s="104"/>
      <c r="K36" s="105"/>
      <c r="L36" s="106">
        <v>0</v>
      </c>
      <c r="M36" s="106"/>
      <c r="N36" s="105"/>
      <c r="O36" s="107"/>
      <c r="P36" s="107"/>
      <c r="Q36" s="107"/>
      <c r="R36" s="107"/>
      <c r="S36" s="168"/>
      <c r="T36" s="168"/>
      <c r="U36" s="169"/>
      <c r="V36" s="170"/>
      <c r="W36" s="74"/>
      <c r="X36" s="73"/>
      <c r="Y36" s="74"/>
      <c r="Z36" s="73"/>
      <c r="AA36" s="75"/>
      <c r="AB36" s="75"/>
      <c r="AC36" s="171"/>
      <c r="AD36" s="75"/>
      <c r="AE36" s="50"/>
      <c r="AF36" s="50"/>
      <c r="AG36" s="53"/>
      <c r="AH36" s="50"/>
      <c r="AI36" s="169"/>
      <c r="AJ36" s="170"/>
      <c r="AK36" s="170"/>
      <c r="AL36" s="170"/>
      <c r="AM36" s="190">
        <v>0</v>
      </c>
      <c r="AN36" s="85">
        <v>0</v>
      </c>
      <c r="AO36" s="85"/>
      <c r="AP36" s="86"/>
      <c r="AQ36" s="207">
        <v>0</v>
      </c>
      <c r="AR36" s="202">
        <v>0</v>
      </c>
      <c r="AS36" s="202"/>
      <c r="AT36" s="202"/>
      <c r="AU36" s="218">
        <v>0</v>
      </c>
      <c r="AV36" s="214">
        <v>0</v>
      </c>
      <c r="AW36" s="214"/>
      <c r="AX36" s="219"/>
      <c r="AY36" s="128">
        <v>0</v>
      </c>
      <c r="AZ36" s="128">
        <v>0</v>
      </c>
      <c r="BA36" s="128"/>
      <c r="BB36" s="128"/>
      <c r="BC36" s="143"/>
      <c r="BD36" s="143"/>
      <c r="BE36" s="143"/>
      <c r="BF36" s="143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241"/>
      <c r="BW36" s="241"/>
      <c r="BX36" s="241"/>
    </row>
    <row r="37" spans="1:76" ht="12.75" customHeight="1" x14ac:dyDescent="0.25">
      <c r="A37" s="6"/>
      <c r="B37" s="24" t="s">
        <v>59</v>
      </c>
      <c r="C37" s="7">
        <v>10</v>
      </c>
      <c r="D37" s="37">
        <v>0</v>
      </c>
      <c r="E37" s="151"/>
      <c r="F37" s="37">
        <v>0</v>
      </c>
      <c r="G37" s="87">
        <v>0</v>
      </c>
      <c r="H37" s="87"/>
      <c r="I37" s="127"/>
      <c r="J37" s="87"/>
      <c r="K37" s="89">
        <v>0</v>
      </c>
      <c r="L37" s="108">
        <v>0</v>
      </c>
      <c r="M37" s="153"/>
      <c r="N37" s="89"/>
      <c r="O37" s="95">
        <v>0</v>
      </c>
      <c r="P37" s="172"/>
      <c r="Q37" s="94"/>
      <c r="R37" s="172"/>
      <c r="S37" s="154">
        <v>0</v>
      </c>
      <c r="T37" s="114"/>
      <c r="U37" s="154"/>
      <c r="V37" s="155"/>
      <c r="W37" s="58">
        <v>0</v>
      </c>
      <c r="X37" s="58">
        <v>0</v>
      </c>
      <c r="Y37" s="58"/>
      <c r="Z37" s="59"/>
      <c r="AA37" s="76">
        <v>0</v>
      </c>
      <c r="AB37" s="156">
        <v>0</v>
      </c>
      <c r="AC37" s="157"/>
      <c r="AD37" s="61"/>
      <c r="AE37" s="63">
        <v>0</v>
      </c>
      <c r="AF37" s="63">
        <v>0</v>
      </c>
      <c r="AG37" s="158"/>
      <c r="AH37" s="62"/>
      <c r="AI37" s="154">
        <v>0</v>
      </c>
      <c r="AJ37" s="154">
        <v>0</v>
      </c>
      <c r="AK37" s="154"/>
      <c r="AL37" s="155"/>
      <c r="AM37" s="49">
        <v>0</v>
      </c>
      <c r="AN37" s="49">
        <v>0</v>
      </c>
      <c r="AO37" s="49"/>
      <c r="AP37" s="50"/>
      <c r="AQ37" s="159">
        <v>0</v>
      </c>
      <c r="AR37" s="198">
        <v>0</v>
      </c>
      <c r="AS37" s="198"/>
      <c r="AT37" s="198"/>
      <c r="AU37" s="210">
        <v>0</v>
      </c>
      <c r="AV37" s="210">
        <v>0</v>
      </c>
      <c r="AW37" s="210"/>
      <c r="AX37" s="210"/>
      <c r="AY37" s="129">
        <v>0</v>
      </c>
      <c r="AZ37" s="129">
        <v>0</v>
      </c>
      <c r="BA37" s="129"/>
      <c r="BB37" s="129"/>
      <c r="BC37" s="139">
        <v>0</v>
      </c>
      <c r="BD37" s="136"/>
      <c r="BE37" s="136"/>
      <c r="BF37" s="136"/>
      <c r="BG37" s="26">
        <f t="shared" ref="BG37:BG44" si="37">IF(D37=0,0,2001-(D37-F37)*C37/D37)</f>
        <v>0</v>
      </c>
      <c r="BH37" s="43">
        <f t="shared" ref="BH37:BH44" si="38">IF((1-($BV$2-$BG37)/$C37)&gt;0,(1-($BV$2-$BG37)/$C37),0)</f>
        <v>0</v>
      </c>
      <c r="BI37" s="43">
        <f t="shared" ref="BI37:BI44" si="39">IF((1-($BV$2-G$2)/$C37)&gt;0,(1-($BV$2-G$2)/$C37),0)</f>
        <v>0</v>
      </c>
      <c r="BJ37" s="43">
        <f t="shared" ref="BJ37:BJ44" si="40">IF((1-($BV$2-K$2)/$C37)&gt;0,(1-($BV$2-K$2)/$C37),0)</f>
        <v>0</v>
      </c>
      <c r="BK37" s="43">
        <f t="shared" ref="BK37:BK44" si="41">IF((1-($BV$2-O$2)/$C37)&gt;0,(1-($BV$2-O$2)/$C37),0)</f>
        <v>0</v>
      </c>
      <c r="BL37" s="43">
        <f t="shared" ref="BL37:BL44" si="42">IF((1-($BV$2-S$2)/$C37)&gt;0,(1-($BV$2-S$2)/$C37),0)</f>
        <v>9.9999999999999978E-2</v>
      </c>
      <c r="BM37" s="43">
        <f t="shared" ref="BM37:BM44" si="43">IF((1-($BV$2-W$2)/$C37)&gt;0,(1-($BV$2-W$2)/$C37),0)</f>
        <v>0.19999999999999996</v>
      </c>
      <c r="BN37" s="43">
        <f t="shared" ref="BN37:BN44" si="44">IF((1-($BV$2-AA$2)/$C37)&gt;0,(1-($BV$2-AA$2)/$C37),0)</f>
        <v>0.30000000000000004</v>
      </c>
      <c r="BO37" s="43">
        <f t="shared" ref="BO37:BO44" si="45">IF((1-($BV$2-AE$2)/$C37)&gt;0,(1-($BV$2-AE$2)/$C37),0)</f>
        <v>0.4</v>
      </c>
      <c r="BP37" s="43">
        <f t="shared" ref="BP37:BP44" si="46">IF((1-($BV$2-AI$2)/$C37)&gt;0,(1-($BV$2-AI$2)/$C37),0)</f>
        <v>0.5</v>
      </c>
      <c r="BQ37" s="43">
        <f t="shared" ref="BQ37:BQ44" si="47">IF((1-($BV$2-AM$2)/$C37)&gt;0,(1-($BV$2-AM$2)/$C37),0)</f>
        <v>0.6</v>
      </c>
      <c r="BR37" s="43">
        <f t="shared" ref="BR37:BR44" si="48">IF((1-($BV$2-AQ$2)/$C37)&gt;0,(1-($BV$2-AQ$2)/$C37),0)</f>
        <v>0.7</v>
      </c>
      <c r="BS37" s="43">
        <f t="shared" ref="BS37:BS44" si="49">IF((1-($BV$2-AU$2)/$C37)&gt;0,(1-($BV$2-AU$2)/$C37),0)</f>
        <v>0.8</v>
      </c>
      <c r="BT37" s="43">
        <f t="shared" ref="BT37:BT44" si="50">IF((1-($BV$2-AY$2)/$C37)&gt;0,(1-($BV$2-AY$2)/$C37),0)</f>
        <v>0.9</v>
      </c>
      <c r="BU37" s="43">
        <f t="shared" ref="BU37:BU44" si="51">IF((1-($BV$2-BC$2)/$C37)&gt;0,(1-($BV$2-BC$2)/$C37),0)</f>
        <v>1</v>
      </c>
      <c r="BV37" s="239">
        <f t="shared" si="36"/>
        <v>0</v>
      </c>
      <c r="BW37" s="239">
        <f t="shared" ref="BW37:BW44" si="52">BV37-(IF(BH37=0,0,D37-E37)+IF(BI37=0,0,(G37-I37)*G$61)+IF(BJ37=0,0,(K37-M37)*K$61)+IF(BK37=0,0,(O37-Q37)*O$61)+IF(BL37=0,0,(S37-U37)*S$61)+IF(BM37=0,0,(W37-Y37)*W$61)+IF(BN37=0,0,(AA37-AC37)*AA$61)+IF(BO37=0,0,(AE37-AG37)*AE$61)+IF(BP37=0,0,(AI37-AK37)*AI$61)+IF(BQ37=0,0,(AM37-AO37)*AM$61)+IF(BR37=0,0,(AQ37-AS37)*$AQ$61)+IF(BS37=0,0,(AU37-AW37)*$AU$61)+IF(BT37=0,0,(AY37-BA37)*$AY$61)+IF(BU37=0,0,(BC37-BE37)*$BC$61))</f>
        <v>0</v>
      </c>
      <c r="BX37" s="239">
        <f t="shared" ref="BX37:BX44" si="53">(D37-E37)*BH37+((G37-H37-(I37-J37))*G$61)*BI37+((K37-L37-(M37-N37))*K$61)*BJ37+((O37-P37-(Q37-R37))*O$61)*BK37+((S37-T37-(U37-V37))*S$61)*BL37+((W37-X37-(Y37-Z37))*W$61)*BM37+((AA37-AB37-(AC37-AD37))*AA$61)*BN37+((AE37-AF37-(AG37-AH37))*AE$61)*BO37+((AI37-AJ37-(AK37-AL37))*AI$61)*BP37+((AM37-AN37)*BQ37-(AO37-AP37))*$AM$61+((AQ37-AR37)*BR37-(AS37-AT37))*$AQ$61+((AU37-AV37)*BS37-(AW37-AX37))*$AU$61+((AY37-AZ37)*BT37-(BA37-BB37))*$AY$61+((BC37-BD37)*BU37-(BF37-BG37))*$BC$61</f>
        <v>0</v>
      </c>
    </row>
    <row r="38" spans="1:76" ht="12.75" customHeight="1" x14ac:dyDescent="0.25">
      <c r="A38" s="6"/>
      <c r="B38" s="24" t="s">
        <v>12</v>
      </c>
      <c r="C38" s="7">
        <v>5</v>
      </c>
      <c r="D38" s="37">
        <v>0</v>
      </c>
      <c r="E38" s="151"/>
      <c r="F38" s="37">
        <v>0</v>
      </c>
      <c r="G38" s="87">
        <v>0</v>
      </c>
      <c r="H38" s="87"/>
      <c r="I38" s="127"/>
      <c r="J38" s="87"/>
      <c r="K38" s="89">
        <v>0</v>
      </c>
      <c r="L38" s="108">
        <v>0</v>
      </c>
      <c r="M38" s="153"/>
      <c r="N38" s="89"/>
      <c r="O38" s="95">
        <v>0</v>
      </c>
      <c r="P38" s="172"/>
      <c r="Q38" s="94"/>
      <c r="R38" s="172"/>
      <c r="S38" s="154">
        <v>0</v>
      </c>
      <c r="T38" s="114"/>
      <c r="U38" s="154"/>
      <c r="V38" s="155"/>
      <c r="W38" s="58">
        <v>0</v>
      </c>
      <c r="X38" s="58">
        <v>0</v>
      </c>
      <c r="Y38" s="58"/>
      <c r="Z38" s="59"/>
      <c r="AA38" s="76">
        <v>0</v>
      </c>
      <c r="AB38" s="156">
        <v>0</v>
      </c>
      <c r="AC38" s="157"/>
      <c r="AD38" s="61"/>
      <c r="AE38" s="63">
        <v>0</v>
      </c>
      <c r="AF38" s="63">
        <v>0</v>
      </c>
      <c r="AG38" s="158"/>
      <c r="AH38" s="62"/>
      <c r="AI38" s="154">
        <v>0</v>
      </c>
      <c r="AJ38" s="154">
        <v>0</v>
      </c>
      <c r="AK38" s="154"/>
      <c r="AL38" s="155"/>
      <c r="AM38" s="49">
        <v>0</v>
      </c>
      <c r="AN38" s="49">
        <v>0</v>
      </c>
      <c r="AO38" s="49"/>
      <c r="AP38" s="50"/>
      <c r="AQ38" s="159">
        <v>0</v>
      </c>
      <c r="AR38" s="198">
        <v>0</v>
      </c>
      <c r="AS38" s="198"/>
      <c r="AT38" s="198"/>
      <c r="AU38" s="210">
        <v>0</v>
      </c>
      <c r="AV38" s="210">
        <v>0</v>
      </c>
      <c r="AW38" s="210"/>
      <c r="AX38" s="210"/>
      <c r="AY38" s="129">
        <v>13307.93</v>
      </c>
      <c r="AZ38" s="129">
        <v>0</v>
      </c>
      <c r="BA38" s="129"/>
      <c r="BB38" s="129"/>
      <c r="BC38" s="139"/>
      <c r="BD38" s="136"/>
      <c r="BE38" s="136"/>
      <c r="BF38" s="136"/>
      <c r="BG38" s="26">
        <f t="shared" si="37"/>
        <v>0</v>
      </c>
      <c r="BH38" s="43">
        <f t="shared" si="38"/>
        <v>0</v>
      </c>
      <c r="BI38" s="43">
        <f t="shared" si="39"/>
        <v>0</v>
      </c>
      <c r="BJ38" s="43">
        <f t="shared" si="40"/>
        <v>0</v>
      </c>
      <c r="BK38" s="43">
        <f t="shared" si="41"/>
        <v>0</v>
      </c>
      <c r="BL38" s="43">
        <f t="shared" si="42"/>
        <v>0</v>
      </c>
      <c r="BM38" s="43">
        <f t="shared" si="43"/>
        <v>0</v>
      </c>
      <c r="BN38" s="43">
        <f t="shared" si="44"/>
        <v>0</v>
      </c>
      <c r="BO38" s="43">
        <f t="shared" si="45"/>
        <v>0</v>
      </c>
      <c r="BP38" s="43">
        <f t="shared" si="46"/>
        <v>0</v>
      </c>
      <c r="BQ38" s="43">
        <f t="shared" si="47"/>
        <v>0.19999999999999996</v>
      </c>
      <c r="BR38" s="43">
        <f t="shared" si="48"/>
        <v>0.4</v>
      </c>
      <c r="BS38" s="43">
        <f t="shared" si="49"/>
        <v>0.6</v>
      </c>
      <c r="BT38" s="43">
        <f t="shared" si="50"/>
        <v>0.8</v>
      </c>
      <c r="BU38" s="43">
        <f t="shared" si="51"/>
        <v>1</v>
      </c>
      <c r="BV38" s="239">
        <f t="shared" si="36"/>
        <v>7670.8689809675761</v>
      </c>
      <c r="BW38" s="239">
        <f t="shared" si="52"/>
        <v>0</v>
      </c>
      <c r="BX38" s="239">
        <f t="shared" si="53"/>
        <v>6136.6951847740611</v>
      </c>
    </row>
    <row r="39" spans="1:76" ht="12.75" customHeight="1" x14ac:dyDescent="0.25">
      <c r="A39" s="6"/>
      <c r="B39" s="24" t="s">
        <v>39</v>
      </c>
      <c r="C39" s="7">
        <v>1000</v>
      </c>
      <c r="D39" s="37">
        <v>0</v>
      </c>
      <c r="E39" s="151"/>
      <c r="F39" s="37">
        <v>0</v>
      </c>
      <c r="G39" s="87">
        <v>0</v>
      </c>
      <c r="H39" s="87"/>
      <c r="I39" s="127"/>
      <c r="J39" s="87"/>
      <c r="K39" s="89">
        <v>0</v>
      </c>
      <c r="L39" s="108">
        <v>0</v>
      </c>
      <c r="M39" s="153"/>
      <c r="N39" s="89"/>
      <c r="O39" s="95">
        <v>0</v>
      </c>
      <c r="P39" s="172"/>
      <c r="Q39" s="94"/>
      <c r="R39" s="172"/>
      <c r="S39" s="154">
        <v>0</v>
      </c>
      <c r="T39" s="114"/>
      <c r="U39" s="154"/>
      <c r="V39" s="155"/>
      <c r="W39" s="58">
        <v>0</v>
      </c>
      <c r="X39" s="58">
        <v>0</v>
      </c>
      <c r="Y39" s="58"/>
      <c r="Z39" s="59"/>
      <c r="AA39" s="76">
        <v>0</v>
      </c>
      <c r="AB39" s="156">
        <v>0</v>
      </c>
      <c r="AC39" s="157"/>
      <c r="AD39" s="61"/>
      <c r="AE39" s="63">
        <v>0</v>
      </c>
      <c r="AF39" s="63">
        <v>0</v>
      </c>
      <c r="AG39" s="158"/>
      <c r="AH39" s="62"/>
      <c r="AI39" s="154">
        <v>0</v>
      </c>
      <c r="AJ39" s="154">
        <v>0</v>
      </c>
      <c r="AK39" s="154"/>
      <c r="AL39" s="155"/>
      <c r="AM39" s="49">
        <v>0</v>
      </c>
      <c r="AN39" s="49">
        <v>0</v>
      </c>
      <c r="AO39" s="49"/>
      <c r="AP39" s="50"/>
      <c r="AQ39" s="159">
        <v>0</v>
      </c>
      <c r="AR39" s="198">
        <v>0</v>
      </c>
      <c r="AS39" s="198"/>
      <c r="AT39" s="198"/>
      <c r="AU39" s="210">
        <v>0</v>
      </c>
      <c r="AV39" s="210">
        <v>0</v>
      </c>
      <c r="AW39" s="210"/>
      <c r="AX39" s="210"/>
      <c r="AY39" s="129">
        <v>0</v>
      </c>
      <c r="AZ39" s="129">
        <v>0</v>
      </c>
      <c r="BA39" s="129"/>
      <c r="BB39" s="129"/>
      <c r="BC39" s="139"/>
      <c r="BD39" s="136"/>
      <c r="BE39" s="136"/>
      <c r="BF39" s="136"/>
      <c r="BG39" s="26">
        <f t="shared" si="37"/>
        <v>0</v>
      </c>
      <c r="BH39" s="43">
        <f t="shared" si="38"/>
        <v>0</v>
      </c>
      <c r="BI39" s="43">
        <f t="shared" si="39"/>
        <v>0.98799999999999999</v>
      </c>
      <c r="BJ39" s="43">
        <f t="shared" si="40"/>
        <v>0.98899999999999999</v>
      </c>
      <c r="BK39" s="43">
        <f t="shared" si="41"/>
        <v>0.99</v>
      </c>
      <c r="BL39" s="43">
        <f t="shared" si="42"/>
        <v>0.99099999999999999</v>
      </c>
      <c r="BM39" s="43">
        <f t="shared" si="43"/>
        <v>0.99199999999999999</v>
      </c>
      <c r="BN39" s="43">
        <f t="shared" si="44"/>
        <v>0.99299999999999999</v>
      </c>
      <c r="BO39" s="43">
        <f t="shared" si="45"/>
        <v>0.99399999999999999</v>
      </c>
      <c r="BP39" s="43">
        <f t="shared" si="46"/>
        <v>0.995</v>
      </c>
      <c r="BQ39" s="43">
        <f t="shared" si="47"/>
        <v>0.996</v>
      </c>
      <c r="BR39" s="43">
        <f t="shared" si="48"/>
        <v>0.997</v>
      </c>
      <c r="BS39" s="43">
        <f t="shared" si="49"/>
        <v>0.998</v>
      </c>
      <c r="BT39" s="43">
        <f t="shared" si="50"/>
        <v>0.999</v>
      </c>
      <c r="BU39" s="43">
        <f t="shared" si="51"/>
        <v>1</v>
      </c>
      <c r="BV39" s="239">
        <f t="shared" si="36"/>
        <v>0</v>
      </c>
      <c r="BW39" s="239">
        <f t="shared" si="52"/>
        <v>0</v>
      </c>
      <c r="BX39" s="239">
        <f t="shared" si="53"/>
        <v>0</v>
      </c>
    </row>
    <row r="40" spans="1:76" ht="12.75" customHeight="1" x14ac:dyDescent="0.25">
      <c r="A40" s="6"/>
      <c r="B40" s="24" t="s">
        <v>9</v>
      </c>
      <c r="C40" s="7">
        <v>40</v>
      </c>
      <c r="D40" s="37">
        <v>0</v>
      </c>
      <c r="E40" s="151"/>
      <c r="F40" s="37">
        <v>0</v>
      </c>
      <c r="G40" s="87">
        <v>0</v>
      </c>
      <c r="H40" s="87"/>
      <c r="I40" s="127"/>
      <c r="J40" s="87"/>
      <c r="K40" s="89">
        <v>0</v>
      </c>
      <c r="L40" s="108">
        <v>0</v>
      </c>
      <c r="M40" s="153"/>
      <c r="N40" s="89"/>
      <c r="O40" s="95">
        <v>0</v>
      </c>
      <c r="P40" s="172"/>
      <c r="Q40" s="94"/>
      <c r="R40" s="172"/>
      <c r="S40" s="154">
        <v>0</v>
      </c>
      <c r="T40" s="114"/>
      <c r="U40" s="154"/>
      <c r="V40" s="155"/>
      <c r="W40" s="58">
        <v>0</v>
      </c>
      <c r="X40" s="58">
        <v>0</v>
      </c>
      <c r="Y40" s="58"/>
      <c r="Z40" s="59"/>
      <c r="AA40" s="76">
        <v>0</v>
      </c>
      <c r="AB40" s="156">
        <v>0</v>
      </c>
      <c r="AC40" s="157"/>
      <c r="AD40" s="61"/>
      <c r="AE40" s="63">
        <v>0</v>
      </c>
      <c r="AF40" s="63">
        <v>0</v>
      </c>
      <c r="AG40" s="158"/>
      <c r="AH40" s="62"/>
      <c r="AI40" s="154">
        <v>0</v>
      </c>
      <c r="AJ40" s="154">
        <v>0</v>
      </c>
      <c r="AK40" s="154"/>
      <c r="AL40" s="155"/>
      <c r="AM40" s="49">
        <v>0</v>
      </c>
      <c r="AN40" s="49">
        <v>0</v>
      </c>
      <c r="AO40" s="49"/>
      <c r="AP40" s="50"/>
      <c r="AQ40" s="159">
        <v>0</v>
      </c>
      <c r="AR40" s="198">
        <v>0</v>
      </c>
      <c r="AS40" s="198"/>
      <c r="AT40" s="198"/>
      <c r="AU40" s="210">
        <v>0</v>
      </c>
      <c r="AV40" s="210">
        <v>0</v>
      </c>
      <c r="AW40" s="210"/>
      <c r="AX40" s="210"/>
      <c r="AY40" s="129">
        <v>0</v>
      </c>
      <c r="AZ40" s="129">
        <v>0</v>
      </c>
      <c r="BA40" s="129"/>
      <c r="BB40" s="129"/>
      <c r="BC40" s="139"/>
      <c r="BD40" s="136"/>
      <c r="BE40" s="136"/>
      <c r="BF40" s="136"/>
      <c r="BG40" s="26">
        <f t="shared" si="37"/>
        <v>0</v>
      </c>
      <c r="BH40" s="43">
        <f t="shared" si="38"/>
        <v>0</v>
      </c>
      <c r="BI40" s="43">
        <f t="shared" si="39"/>
        <v>0.7</v>
      </c>
      <c r="BJ40" s="43">
        <f t="shared" si="40"/>
        <v>0.72499999999999998</v>
      </c>
      <c r="BK40" s="43">
        <f t="shared" si="41"/>
        <v>0.75</v>
      </c>
      <c r="BL40" s="43">
        <f t="shared" si="42"/>
        <v>0.77500000000000002</v>
      </c>
      <c r="BM40" s="43">
        <f t="shared" si="43"/>
        <v>0.8</v>
      </c>
      <c r="BN40" s="43">
        <f t="shared" si="44"/>
        <v>0.82499999999999996</v>
      </c>
      <c r="BO40" s="43">
        <f t="shared" si="45"/>
        <v>0.85</v>
      </c>
      <c r="BP40" s="43">
        <f t="shared" si="46"/>
        <v>0.875</v>
      </c>
      <c r="BQ40" s="43">
        <f t="shared" si="47"/>
        <v>0.9</v>
      </c>
      <c r="BR40" s="43">
        <f t="shared" si="48"/>
        <v>0.92500000000000004</v>
      </c>
      <c r="BS40" s="43">
        <f t="shared" si="49"/>
        <v>0.95</v>
      </c>
      <c r="BT40" s="43">
        <f t="shared" si="50"/>
        <v>0.97499999999999998</v>
      </c>
      <c r="BU40" s="43">
        <f t="shared" si="51"/>
        <v>1</v>
      </c>
      <c r="BV40" s="239">
        <f t="shared" si="36"/>
        <v>0</v>
      </c>
      <c r="BW40" s="239">
        <f t="shared" si="52"/>
        <v>0</v>
      </c>
      <c r="BX40" s="239">
        <f t="shared" si="53"/>
        <v>0</v>
      </c>
    </row>
    <row r="41" spans="1:76" ht="12.75" customHeight="1" x14ac:dyDescent="0.25">
      <c r="A41" s="6"/>
      <c r="B41" s="3" t="s">
        <v>51</v>
      </c>
      <c r="C41" s="7">
        <v>10</v>
      </c>
      <c r="D41" s="37">
        <v>68012.532297795682</v>
      </c>
      <c r="E41" s="151"/>
      <c r="F41" s="152">
        <v>0</v>
      </c>
      <c r="G41" s="87">
        <v>8156.81</v>
      </c>
      <c r="H41" s="88"/>
      <c r="I41" s="127"/>
      <c r="J41" s="88"/>
      <c r="K41" s="89">
        <v>72957</v>
      </c>
      <c r="L41" s="90">
        <v>0</v>
      </c>
      <c r="M41" s="153"/>
      <c r="N41" s="91"/>
      <c r="O41" s="95">
        <v>70981</v>
      </c>
      <c r="P41" s="93"/>
      <c r="Q41" s="94"/>
      <c r="R41" s="93"/>
      <c r="S41" s="154">
        <v>43325</v>
      </c>
      <c r="T41" s="114"/>
      <c r="U41" s="154"/>
      <c r="V41" s="155"/>
      <c r="W41" s="58">
        <v>0</v>
      </c>
      <c r="X41" s="58">
        <v>0</v>
      </c>
      <c r="Y41" s="58"/>
      <c r="Z41" s="59"/>
      <c r="AA41" s="76">
        <v>0</v>
      </c>
      <c r="AB41" s="156">
        <v>0</v>
      </c>
      <c r="AC41" s="157"/>
      <c r="AD41" s="61"/>
      <c r="AE41" s="63">
        <v>48894</v>
      </c>
      <c r="AF41" s="63">
        <v>0</v>
      </c>
      <c r="AG41" s="158"/>
      <c r="AH41" s="62"/>
      <c r="AI41" s="154">
        <v>43891.280000000006</v>
      </c>
      <c r="AJ41" s="154">
        <v>0</v>
      </c>
      <c r="AK41" s="154"/>
      <c r="AL41" s="155"/>
      <c r="AM41" s="49">
        <v>15184</v>
      </c>
      <c r="AN41" s="49">
        <v>0</v>
      </c>
      <c r="AO41" s="49"/>
      <c r="AP41" s="50"/>
      <c r="AQ41" s="159">
        <v>15539.74</v>
      </c>
      <c r="AR41" s="198">
        <v>0</v>
      </c>
      <c r="AS41" s="198"/>
      <c r="AT41" s="198"/>
      <c r="AU41" s="210">
        <v>11462.5</v>
      </c>
      <c r="AV41" s="210">
        <v>0</v>
      </c>
      <c r="AW41" s="210"/>
      <c r="AX41" s="210"/>
      <c r="AY41" s="129">
        <v>13307.93</v>
      </c>
      <c r="AZ41" s="129">
        <v>0</v>
      </c>
      <c r="BA41" s="129"/>
      <c r="BB41" s="129"/>
      <c r="BC41" s="139">
        <v>326558.83</v>
      </c>
      <c r="BD41" s="136"/>
      <c r="BE41" s="136"/>
      <c r="BF41" s="136"/>
      <c r="BG41" s="26">
        <f t="shared" si="37"/>
        <v>1991</v>
      </c>
      <c r="BH41" s="43">
        <f t="shared" si="38"/>
        <v>0</v>
      </c>
      <c r="BI41" s="43">
        <f t="shared" si="39"/>
        <v>0</v>
      </c>
      <c r="BJ41" s="43">
        <f t="shared" si="40"/>
        <v>0</v>
      </c>
      <c r="BK41" s="43">
        <f t="shared" si="41"/>
        <v>0</v>
      </c>
      <c r="BL41" s="43">
        <f t="shared" si="42"/>
        <v>9.9999999999999978E-2</v>
      </c>
      <c r="BM41" s="43">
        <f t="shared" si="43"/>
        <v>0.19999999999999996</v>
      </c>
      <c r="BN41" s="43">
        <f t="shared" si="44"/>
        <v>0.30000000000000004</v>
      </c>
      <c r="BO41" s="43">
        <f t="shared" si="45"/>
        <v>0.4</v>
      </c>
      <c r="BP41" s="43">
        <f t="shared" si="46"/>
        <v>0.5</v>
      </c>
      <c r="BQ41" s="43">
        <f t="shared" si="47"/>
        <v>0.6</v>
      </c>
      <c r="BR41" s="43">
        <f t="shared" si="48"/>
        <v>0.7</v>
      </c>
      <c r="BS41" s="43">
        <f t="shared" si="49"/>
        <v>0.8</v>
      </c>
      <c r="BT41" s="43">
        <f t="shared" si="50"/>
        <v>0.9</v>
      </c>
      <c r="BU41" s="43">
        <f t="shared" si="51"/>
        <v>1</v>
      </c>
      <c r="BV41" s="239">
        <f t="shared" si="36"/>
        <v>627686.20825610752</v>
      </c>
      <c r="BW41" s="239">
        <f t="shared" si="52"/>
        <v>202565.19844709069</v>
      </c>
      <c r="BX41" s="239">
        <f t="shared" si="53"/>
        <v>340186.63290175737</v>
      </c>
    </row>
    <row r="42" spans="1:76" ht="12.75" customHeight="1" x14ac:dyDescent="0.25">
      <c r="A42" s="6"/>
      <c r="B42" s="3" t="s">
        <v>52</v>
      </c>
      <c r="C42" s="7">
        <v>22</v>
      </c>
      <c r="D42" s="37">
        <v>0</v>
      </c>
      <c r="E42" s="151"/>
      <c r="F42" s="83">
        <v>0</v>
      </c>
      <c r="G42" s="87">
        <v>0</v>
      </c>
      <c r="H42" s="88"/>
      <c r="I42" s="127"/>
      <c r="J42" s="88"/>
      <c r="K42" s="89">
        <v>0</v>
      </c>
      <c r="L42" s="90">
        <v>0</v>
      </c>
      <c r="M42" s="153"/>
      <c r="N42" s="91"/>
      <c r="O42" s="95">
        <v>0</v>
      </c>
      <c r="P42" s="93"/>
      <c r="Q42" s="94"/>
      <c r="R42" s="93"/>
      <c r="S42" s="154">
        <v>0</v>
      </c>
      <c r="T42" s="114"/>
      <c r="U42" s="154"/>
      <c r="V42" s="155"/>
      <c r="W42" s="58">
        <v>0</v>
      </c>
      <c r="X42" s="58">
        <v>0</v>
      </c>
      <c r="Y42" s="58"/>
      <c r="Z42" s="59"/>
      <c r="AA42" s="76">
        <v>0</v>
      </c>
      <c r="AB42" s="156">
        <v>0</v>
      </c>
      <c r="AC42" s="157"/>
      <c r="AD42" s="61"/>
      <c r="AE42" s="63">
        <v>21889</v>
      </c>
      <c r="AF42" s="63">
        <v>0</v>
      </c>
      <c r="AG42" s="158"/>
      <c r="AH42" s="62"/>
      <c r="AI42" s="154">
        <v>0</v>
      </c>
      <c r="AJ42" s="154">
        <v>0</v>
      </c>
      <c r="AK42" s="154"/>
      <c r="AL42" s="155"/>
      <c r="AM42" s="49">
        <v>0</v>
      </c>
      <c r="AN42" s="49">
        <v>0</v>
      </c>
      <c r="AO42" s="49"/>
      <c r="AP42" s="50"/>
      <c r="AQ42" s="159">
        <v>0</v>
      </c>
      <c r="AR42" s="198">
        <v>0</v>
      </c>
      <c r="AS42" s="198"/>
      <c r="AT42" s="198"/>
      <c r="AU42" s="210">
        <v>2142</v>
      </c>
      <c r="AV42" s="210">
        <v>0</v>
      </c>
      <c r="AW42" s="210"/>
      <c r="AX42" s="210"/>
      <c r="AY42" s="129">
        <v>48264.98</v>
      </c>
      <c r="AZ42" s="129">
        <v>0</v>
      </c>
      <c r="BA42" s="129"/>
      <c r="BB42" s="129"/>
      <c r="BC42" s="139">
        <v>285524.53000000003</v>
      </c>
      <c r="BD42" s="136"/>
      <c r="BE42" s="136"/>
      <c r="BF42" s="136"/>
      <c r="BG42" s="26">
        <f t="shared" si="37"/>
        <v>0</v>
      </c>
      <c r="BH42" s="43">
        <f t="shared" si="38"/>
        <v>0</v>
      </c>
      <c r="BI42" s="43">
        <f t="shared" si="39"/>
        <v>0.45454545454545459</v>
      </c>
      <c r="BJ42" s="43">
        <f t="shared" si="40"/>
        <v>0.5</v>
      </c>
      <c r="BK42" s="43">
        <f t="shared" si="41"/>
        <v>0.54545454545454541</v>
      </c>
      <c r="BL42" s="43">
        <f t="shared" si="42"/>
        <v>0.59090909090909083</v>
      </c>
      <c r="BM42" s="43">
        <f t="shared" si="43"/>
        <v>0.63636363636363635</v>
      </c>
      <c r="BN42" s="43">
        <f t="shared" si="44"/>
        <v>0.68181818181818188</v>
      </c>
      <c r="BO42" s="43">
        <f t="shared" si="45"/>
        <v>0.72727272727272729</v>
      </c>
      <c r="BP42" s="43">
        <f t="shared" si="46"/>
        <v>0.77272727272727271</v>
      </c>
      <c r="BQ42" s="43">
        <f t="shared" si="47"/>
        <v>0.81818181818181812</v>
      </c>
      <c r="BR42" s="43">
        <f t="shared" si="48"/>
        <v>0.86363636363636365</v>
      </c>
      <c r="BS42" s="43">
        <f t="shared" si="49"/>
        <v>0.90909090909090906</v>
      </c>
      <c r="BT42" s="43">
        <f t="shared" si="50"/>
        <v>0.95454545454545459</v>
      </c>
      <c r="BU42" s="43">
        <f t="shared" si="51"/>
        <v>1</v>
      </c>
      <c r="BV42" s="239">
        <f t="shared" si="36"/>
        <v>284245.8922084783</v>
      </c>
      <c r="BW42" s="239">
        <f t="shared" si="52"/>
        <v>0</v>
      </c>
      <c r="BX42" s="239">
        <f t="shared" si="53"/>
        <v>277755.76359378948</v>
      </c>
    </row>
    <row r="43" spans="1:76" ht="12.75" customHeight="1" x14ac:dyDescent="0.25">
      <c r="A43" s="6"/>
      <c r="B43" s="3" t="s">
        <v>33</v>
      </c>
      <c r="C43" s="7">
        <v>4</v>
      </c>
      <c r="D43" s="37">
        <v>0</v>
      </c>
      <c r="E43" s="151"/>
      <c r="F43" s="152">
        <v>0</v>
      </c>
      <c r="G43" s="87">
        <v>0</v>
      </c>
      <c r="H43" s="88"/>
      <c r="I43" s="127"/>
      <c r="J43" s="88"/>
      <c r="K43" s="89">
        <v>0</v>
      </c>
      <c r="L43" s="90">
        <v>0</v>
      </c>
      <c r="M43" s="153"/>
      <c r="N43" s="91"/>
      <c r="O43" s="95">
        <v>0</v>
      </c>
      <c r="P43" s="93"/>
      <c r="Q43" s="94"/>
      <c r="R43" s="93"/>
      <c r="S43" s="154">
        <v>0</v>
      </c>
      <c r="T43" s="114"/>
      <c r="U43" s="154"/>
      <c r="V43" s="155"/>
      <c r="W43" s="58">
        <v>0</v>
      </c>
      <c r="X43" s="58">
        <v>0</v>
      </c>
      <c r="Y43" s="58"/>
      <c r="Z43" s="59"/>
      <c r="AA43" s="76">
        <v>0</v>
      </c>
      <c r="AB43" s="156">
        <v>0</v>
      </c>
      <c r="AC43" s="157"/>
      <c r="AD43" s="61"/>
      <c r="AE43" s="63">
        <v>0</v>
      </c>
      <c r="AF43" s="63">
        <v>0</v>
      </c>
      <c r="AG43" s="158"/>
      <c r="AH43" s="62"/>
      <c r="AI43" s="154">
        <v>0</v>
      </c>
      <c r="AJ43" s="154">
        <v>0</v>
      </c>
      <c r="AK43" s="154"/>
      <c r="AL43" s="155"/>
      <c r="AM43" s="49">
        <v>0</v>
      </c>
      <c r="AN43" s="49">
        <v>0</v>
      </c>
      <c r="AO43" s="49"/>
      <c r="AP43" s="50"/>
      <c r="AQ43" s="159">
        <v>0</v>
      </c>
      <c r="AR43" s="198">
        <v>0</v>
      </c>
      <c r="AS43" s="198"/>
      <c r="AT43" s="198"/>
      <c r="AU43" s="210">
        <v>0</v>
      </c>
      <c r="AV43" s="210">
        <v>0</v>
      </c>
      <c r="AW43" s="210"/>
      <c r="AX43" s="210"/>
      <c r="AY43" s="129">
        <v>0</v>
      </c>
      <c r="AZ43" s="129">
        <v>0</v>
      </c>
      <c r="BA43" s="129"/>
      <c r="BB43" s="129"/>
      <c r="BC43" s="139"/>
      <c r="BD43" s="136"/>
      <c r="BE43" s="136"/>
      <c r="BF43" s="136"/>
      <c r="BG43" s="26">
        <f t="shared" si="37"/>
        <v>0</v>
      </c>
      <c r="BH43" s="43">
        <f t="shared" si="38"/>
        <v>0</v>
      </c>
      <c r="BI43" s="43">
        <f t="shared" si="39"/>
        <v>0</v>
      </c>
      <c r="BJ43" s="43">
        <f t="shared" si="40"/>
        <v>0</v>
      </c>
      <c r="BK43" s="43">
        <f t="shared" si="41"/>
        <v>0</v>
      </c>
      <c r="BL43" s="43">
        <f t="shared" si="42"/>
        <v>0</v>
      </c>
      <c r="BM43" s="43">
        <f t="shared" si="43"/>
        <v>0</v>
      </c>
      <c r="BN43" s="43">
        <f t="shared" si="44"/>
        <v>0</v>
      </c>
      <c r="BO43" s="43">
        <f t="shared" si="45"/>
        <v>0</v>
      </c>
      <c r="BP43" s="43">
        <f t="shared" si="46"/>
        <v>0</v>
      </c>
      <c r="BQ43" s="43">
        <f t="shared" si="47"/>
        <v>0</v>
      </c>
      <c r="BR43" s="43">
        <f t="shared" si="48"/>
        <v>0.25</v>
      </c>
      <c r="BS43" s="43">
        <f t="shared" si="49"/>
        <v>0.5</v>
      </c>
      <c r="BT43" s="43">
        <f t="shared" si="50"/>
        <v>0.75</v>
      </c>
      <c r="BU43" s="43">
        <f t="shared" si="51"/>
        <v>1</v>
      </c>
      <c r="BV43" s="239">
        <f t="shared" si="36"/>
        <v>0</v>
      </c>
      <c r="BW43" s="239">
        <f t="shared" si="52"/>
        <v>0</v>
      </c>
      <c r="BX43" s="239">
        <f t="shared" si="53"/>
        <v>0</v>
      </c>
    </row>
    <row r="44" spans="1:76" ht="12.75" customHeight="1" thickBot="1" x14ac:dyDescent="0.3">
      <c r="A44" s="6"/>
      <c r="B44" s="10" t="s">
        <v>13</v>
      </c>
      <c r="C44" s="11">
        <v>8</v>
      </c>
      <c r="D44" s="41">
        <v>0</v>
      </c>
      <c r="E44" s="151"/>
      <c r="F44" s="162">
        <v>0</v>
      </c>
      <c r="G44" s="87">
        <v>28201.54</v>
      </c>
      <c r="H44" s="96"/>
      <c r="I44" s="127"/>
      <c r="J44" s="96"/>
      <c r="K44" s="89">
        <v>40330.749936</v>
      </c>
      <c r="L44" s="97">
        <v>0</v>
      </c>
      <c r="M44" s="153"/>
      <c r="N44" s="98"/>
      <c r="O44" s="92">
        <v>24699.62</v>
      </c>
      <c r="P44" s="99"/>
      <c r="Q44" s="94"/>
      <c r="R44" s="99"/>
      <c r="S44" s="173">
        <v>0</v>
      </c>
      <c r="T44" s="114"/>
      <c r="U44" s="154"/>
      <c r="V44" s="174"/>
      <c r="W44" s="58">
        <v>30771.72</v>
      </c>
      <c r="X44" s="58">
        <v>0</v>
      </c>
      <c r="Y44" s="58"/>
      <c r="Z44" s="64"/>
      <c r="AA44" s="78">
        <v>26890.07</v>
      </c>
      <c r="AB44" s="156">
        <v>0</v>
      </c>
      <c r="AC44" s="157"/>
      <c r="AD44" s="65"/>
      <c r="AE44" s="63">
        <v>24056.720000000001</v>
      </c>
      <c r="AF44" s="63">
        <v>0</v>
      </c>
      <c r="AG44" s="158"/>
      <c r="AH44" s="66"/>
      <c r="AI44" s="173">
        <v>0</v>
      </c>
      <c r="AJ44" s="154">
        <v>0</v>
      </c>
      <c r="AK44" s="154"/>
      <c r="AL44" s="174"/>
      <c r="AM44" s="49">
        <v>0</v>
      </c>
      <c r="AN44" s="49">
        <v>0</v>
      </c>
      <c r="AO44" s="49"/>
      <c r="AP44" s="51"/>
      <c r="AQ44" s="159">
        <v>0</v>
      </c>
      <c r="AR44" s="199">
        <v>0</v>
      </c>
      <c r="AS44" s="199"/>
      <c r="AT44" s="199"/>
      <c r="AU44" s="211">
        <v>0</v>
      </c>
      <c r="AV44" s="211">
        <v>0</v>
      </c>
      <c r="AW44" s="211"/>
      <c r="AX44" s="211"/>
      <c r="AY44" s="130">
        <v>0</v>
      </c>
      <c r="AZ44" s="130">
        <v>0</v>
      </c>
      <c r="BA44" s="130"/>
      <c r="BB44" s="130"/>
      <c r="BC44" s="139"/>
      <c r="BD44" s="137"/>
      <c r="BE44" s="137"/>
      <c r="BF44" s="137"/>
      <c r="BG44" s="26">
        <f t="shared" si="37"/>
        <v>0</v>
      </c>
      <c r="BH44" s="44">
        <f t="shared" si="38"/>
        <v>0</v>
      </c>
      <c r="BI44" s="43">
        <f t="shared" si="39"/>
        <v>0</v>
      </c>
      <c r="BJ44" s="43">
        <f t="shared" si="40"/>
        <v>0</v>
      </c>
      <c r="BK44" s="43">
        <f t="shared" si="41"/>
        <v>0</v>
      </c>
      <c r="BL44" s="43">
        <f t="shared" si="42"/>
        <v>0</v>
      </c>
      <c r="BM44" s="43">
        <f t="shared" si="43"/>
        <v>0</v>
      </c>
      <c r="BN44" s="43">
        <f t="shared" si="44"/>
        <v>0.125</v>
      </c>
      <c r="BO44" s="43">
        <f t="shared" si="45"/>
        <v>0.25</v>
      </c>
      <c r="BP44" s="43">
        <f t="shared" si="46"/>
        <v>0.375</v>
      </c>
      <c r="BQ44" s="43">
        <f t="shared" si="47"/>
        <v>0.5</v>
      </c>
      <c r="BR44" s="43">
        <f t="shared" si="48"/>
        <v>0.625</v>
      </c>
      <c r="BS44" s="43">
        <f t="shared" si="49"/>
        <v>0.75</v>
      </c>
      <c r="BT44" s="43">
        <f t="shared" si="50"/>
        <v>0.875</v>
      </c>
      <c r="BU44" s="43">
        <f t="shared" si="51"/>
        <v>1</v>
      </c>
      <c r="BV44" s="239">
        <f t="shared" si="36"/>
        <v>153091.81329945009</v>
      </c>
      <c r="BW44" s="239">
        <f t="shared" si="52"/>
        <v>109409.23365344772</v>
      </c>
      <c r="BX44" s="239">
        <f t="shared" si="53"/>
        <v>8012.4140806471642</v>
      </c>
    </row>
    <row r="45" spans="1:76" s="1" customFormat="1" ht="12.75" customHeight="1" thickBot="1" x14ac:dyDescent="0.35">
      <c r="A45" s="9"/>
      <c r="B45" s="13" t="s">
        <v>34</v>
      </c>
      <c r="C45" s="18"/>
      <c r="D45" s="38">
        <v>64380215.578287996</v>
      </c>
      <c r="E45" s="38"/>
      <c r="F45" s="38">
        <v>36745444.950886555</v>
      </c>
      <c r="G45" s="67">
        <v>1262365.3598000002</v>
      </c>
      <c r="H45" s="67">
        <v>0</v>
      </c>
      <c r="I45" s="67"/>
      <c r="J45" s="67"/>
      <c r="K45" s="116">
        <v>2422005.5850740555</v>
      </c>
      <c r="L45" s="116">
        <v>315949</v>
      </c>
      <c r="M45" s="116"/>
      <c r="N45" s="116"/>
      <c r="O45" s="68">
        <v>2468106.6800000002</v>
      </c>
      <c r="P45" s="68">
        <v>0</v>
      </c>
      <c r="Q45" s="68"/>
      <c r="R45" s="68"/>
      <c r="S45" s="120">
        <v>2636963</v>
      </c>
      <c r="T45" s="121">
        <v>0</v>
      </c>
      <c r="U45" s="121"/>
      <c r="V45" s="122"/>
      <c r="W45" s="67">
        <v>2901614.0900000003</v>
      </c>
      <c r="X45" s="67">
        <v>0</v>
      </c>
      <c r="Y45" s="67"/>
      <c r="Z45" s="67"/>
      <c r="AA45" s="116">
        <v>4650052.8100000005</v>
      </c>
      <c r="AB45" s="116">
        <v>556386.07000000007</v>
      </c>
      <c r="AC45" s="116"/>
      <c r="AD45" s="116"/>
      <c r="AE45" s="68">
        <v>5437854.6999999993</v>
      </c>
      <c r="AF45" s="68">
        <v>0</v>
      </c>
      <c r="AG45" s="68"/>
      <c r="AH45" s="117"/>
      <c r="AI45" s="120">
        <v>7755169.0999999968</v>
      </c>
      <c r="AJ45" s="121">
        <v>0</v>
      </c>
      <c r="AK45" s="121"/>
      <c r="AL45" s="122"/>
      <c r="AM45" s="52">
        <v>5445007.6719999984</v>
      </c>
      <c r="AN45" s="52">
        <v>0</v>
      </c>
      <c r="AO45" s="52"/>
      <c r="AP45" s="52"/>
      <c r="AQ45" s="208">
        <v>6483412.9600000028</v>
      </c>
      <c r="AR45" s="203">
        <v>0</v>
      </c>
      <c r="AS45" s="203"/>
      <c r="AT45" s="203"/>
      <c r="AU45" s="215">
        <v>4744163.7299999967</v>
      </c>
      <c r="AV45" s="215">
        <v>0</v>
      </c>
      <c r="AW45" s="215"/>
      <c r="AX45" s="215"/>
      <c r="AY45" s="133">
        <v>8655575.7579999957</v>
      </c>
      <c r="AZ45" s="133">
        <v>0</v>
      </c>
      <c r="BA45" s="133"/>
      <c r="BB45" s="133"/>
      <c r="BC45" s="140">
        <f>+SUM(BC14:BC44)</f>
        <v>8595478.4899999984</v>
      </c>
      <c r="BD45" s="140">
        <f>+SUM(BD14:BD44)</f>
        <v>0</v>
      </c>
      <c r="BE45" s="140"/>
      <c r="BF45" s="140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240">
        <f>SUM(BV14:BV44)</f>
        <v>114766427.55900815</v>
      </c>
      <c r="BW45" s="240">
        <f>SUM(BW14:BW44)</f>
        <v>5813348.7765450496</v>
      </c>
      <c r="BX45" s="240">
        <f>SUM(BX14:BX44)</f>
        <v>50951144.562129624</v>
      </c>
    </row>
    <row r="46" spans="1:76" ht="12.75" customHeight="1" thickBot="1" x14ac:dyDescent="0.3">
      <c r="A46" s="478" t="s">
        <v>35</v>
      </c>
      <c r="B46" s="19" t="s">
        <v>36</v>
      </c>
      <c r="C46" s="20">
        <v>22</v>
      </c>
      <c r="D46" s="42">
        <v>2957226.5007306808</v>
      </c>
      <c r="E46" s="151"/>
      <c r="F46" s="175">
        <v>1915114.0768671127</v>
      </c>
      <c r="G46" s="87">
        <v>383603.42</v>
      </c>
      <c r="H46" s="110"/>
      <c r="I46" s="127"/>
      <c r="J46" s="110"/>
      <c r="K46" s="89">
        <v>723366.95</v>
      </c>
      <c r="L46" s="111"/>
      <c r="M46" s="153"/>
      <c r="N46" s="112"/>
      <c r="O46" s="92">
        <v>345218.57</v>
      </c>
      <c r="P46" s="113"/>
      <c r="Q46" s="94"/>
      <c r="R46" s="113"/>
      <c r="S46" s="176">
        <v>343113</v>
      </c>
      <c r="T46" s="177"/>
      <c r="U46" s="154"/>
      <c r="V46" s="178"/>
      <c r="W46" s="58">
        <v>288347.67</v>
      </c>
      <c r="X46" s="58">
        <v>0</v>
      </c>
      <c r="Y46" s="58"/>
      <c r="Z46" s="79"/>
      <c r="AA46" s="76">
        <v>301261.25000000006</v>
      </c>
      <c r="AB46" s="156">
        <v>0</v>
      </c>
      <c r="AC46" s="157"/>
      <c r="AD46" s="80"/>
      <c r="AE46" s="81">
        <v>418664.33</v>
      </c>
      <c r="AF46" s="63">
        <v>0</v>
      </c>
      <c r="AG46" s="158"/>
      <c r="AH46" s="82"/>
      <c r="AI46" s="176">
        <v>191547.63</v>
      </c>
      <c r="AJ46" s="154">
        <v>0</v>
      </c>
      <c r="AK46" s="154"/>
      <c r="AL46" s="178"/>
      <c r="AM46" s="49">
        <v>284788.3</v>
      </c>
      <c r="AN46" s="49">
        <v>0</v>
      </c>
      <c r="AO46" s="49"/>
      <c r="AP46" s="179"/>
      <c r="AQ46" s="159">
        <v>417455.78889137268</v>
      </c>
      <c r="AR46" s="204">
        <v>0</v>
      </c>
      <c r="AS46" s="204"/>
      <c r="AT46" s="204"/>
      <c r="AU46" s="216">
        <v>846640.63000000012</v>
      </c>
      <c r="AV46" s="216">
        <v>0</v>
      </c>
      <c r="AW46" s="216"/>
      <c r="AX46" s="216"/>
      <c r="AY46" s="134">
        <v>696982</v>
      </c>
      <c r="AZ46" s="134">
        <v>0</v>
      </c>
      <c r="BA46" s="134"/>
      <c r="BB46" s="134"/>
      <c r="BC46" s="141">
        <v>611593.03</v>
      </c>
      <c r="BD46" s="141"/>
      <c r="BE46" s="141"/>
      <c r="BF46" s="141"/>
      <c r="BG46" s="26">
        <f>IF(D46=0,0,2001-(D46-F46)*C46/D46)</f>
        <v>1993.2473056022818</v>
      </c>
      <c r="BH46" s="48">
        <f>IF((1-($BV$2-$BG46)/$C46)&gt;0,(1-($BV$2-$BG46)/$C46),0)</f>
        <v>5.6695709194627852E-2</v>
      </c>
      <c r="BI46" s="43">
        <f>IF((1-($BV$2-G$2)/$C46)&gt;0,(1-($BV$2-G$2)/$C46),0)</f>
        <v>0.45454545454545459</v>
      </c>
      <c r="BJ46" s="43">
        <f>IF((1-($BV$2-K$2)/$C46)&gt;0,(1-($BV$2-K$2)/$C46),0)</f>
        <v>0.5</v>
      </c>
      <c r="BK46" s="43">
        <f>IF((1-($BV$2-O$2)/$C46)&gt;0,(1-($BV$2-O$2)/$C46),0)</f>
        <v>0.54545454545454541</v>
      </c>
      <c r="BL46" s="43">
        <f>IF((1-($BV$2-S$2)/$C46)&gt;0,(1-($BV$2-S$2)/$C46),0)</f>
        <v>0.59090909090909083</v>
      </c>
      <c r="BM46" s="43">
        <f>IF((1-($BV$2-W$2)/$C46)&gt;0,(1-($BV$2-W$2)/$C46),0)</f>
        <v>0.63636363636363635</v>
      </c>
      <c r="BN46" s="43">
        <f>IF((1-($BV$2-AA$2)/$C46)&gt;0,(1-($BV$2-AA$2)/$C46),0)</f>
        <v>0.68181818181818188</v>
      </c>
      <c r="BO46" s="43">
        <f>IF((1-($BV$2-AE$2)/$C46)&gt;0,(1-($BV$2-AE$2)/$C46),0)</f>
        <v>0.72727272727272729</v>
      </c>
      <c r="BP46" s="43">
        <f>IF((1-($BV$2-AI$2)/$C46)&gt;0,(1-($BV$2-AI$2)/$C46),0)</f>
        <v>0.77272727272727271</v>
      </c>
      <c r="BQ46" s="43">
        <f>IF((1-($BV$2-AM$2)/$C46)&gt;0,(1-($BV$2-AM$2)/$C46),0)</f>
        <v>0.81818181818181812</v>
      </c>
      <c r="BR46" s="43">
        <f>IF((1-($BV$2-AQ$2)/$C46)&gt;0,(1-($BV$2-AQ$2)/$C46),0)</f>
        <v>0.86363636363636365</v>
      </c>
      <c r="BS46" s="43">
        <f>IF((1-($BV$2-AU$2)/$C46)&gt;0,(1-($BV$2-AU$2)/$C46),0)</f>
        <v>0.90909090909090906</v>
      </c>
      <c r="BT46" s="43">
        <f>IF((1-($BV$2-AY$2)/$C46)&gt;0,(1-($BV$2-AY$2)/$C46),0)</f>
        <v>0.95454545454545459</v>
      </c>
      <c r="BU46" s="43">
        <f>IF((1-($BV$2-BC$2)/$C46)&gt;0,(1-($BV$2-BC$2)/$C46),0)</f>
        <v>1</v>
      </c>
      <c r="BV46" s="239">
        <f>D46-E46+(G46-I46)*G$62+(K46-M46)*K$62+(O46-Q46)*O$62+(S46-U46)*S$62+(W46-Y46)*W$62+(AA46-AC46)*AA$62+(AE46-AG46)*AE$62+(AI46-AK46)*AI$62+(AM46-AO46)*AM$62+(AQ46-AR46)*$AQ$62+(AU46-AV46)*$AU$62+(AY46-AZ46)*$AY$62+(BC46-BD46)*$BC$62</f>
        <v>8652664.0962220542</v>
      </c>
      <c r="BW46" s="239">
        <f>BV46-(IF(BH46=0,0,D46-E46)+IF(BI46=0,0,(G46-I46)*G$62)+IF(BJ46=0,0,(K46-M46)*K$62)+IF(BK46=0,0,(O46-Q46)*O$62)+IF(BL46=0,0,(S46-U46)*S$62)+IF(BM46=0,0,(W46-Y46)*W$62)+IF(BN46=0,0,(AA46-AC46)*AA$62)+IF(BO46=0,0,(AE46-AG46)*AE$62)+IF(BP46=0,0,(AI46-AK46)*AI$62)+IF(BQ46=0,0,(AM46-AO46)*AM$62)+IF(BR46=0,0,(AQ46-AS46)*$AQ$62)+IF(BS46=0,0,(AU46-AW46)*$AU$62)+IF(BT46=0,0,(AY46-BA46)*$AY$62)+IF(BU46=0,0,(BC46-BE46)*$BC$62))</f>
        <v>0</v>
      </c>
      <c r="BX46" s="239">
        <f>(D46-E46)*BH46+((G46-H46-(I46-J46))*G$62)*BI46+((K46-L46-(M46-N46))*K$62)*BJ46+((O46-P46-(Q46-R46))*O$62)*BK46+((S46-T46-(U46-V46))*S$62)*BL46+((W46-X46-(Y46-Z46))*W$62)*BM46+((AA46-AB46-(AC46-AD46))*AA$62)*BN46+((AE46-AF46-(AG46-AH46))*AE$62)*BO46+((AI46-AJ46-(AK46-AL46))*AI$62)*BP46+((AM46-AN46)*BQ46-(AO46-AP46))*$AM$62+((AQ46-AR46)*BR46-(AS46-AT46))*$AQ$62+((AU46-AV46)*BS46-(AW46-AX46))*$AU$62+((AY46-AZ46)*BT46-(BA46-BB46))*$AY$62+((BC46-BD46)*BU46-(BF46-BG46))*$BC$62</f>
        <v>4449585.7755256649</v>
      </c>
    </row>
    <row r="47" spans="1:76" s="1" customFormat="1" ht="12.75" customHeight="1" thickBot="1" x14ac:dyDescent="0.35">
      <c r="A47" s="480"/>
      <c r="B47" s="13" t="s">
        <v>37</v>
      </c>
      <c r="C47" s="18"/>
      <c r="D47" s="38">
        <v>2957226.5007306808</v>
      </c>
      <c r="E47" s="38"/>
      <c r="F47" s="38">
        <v>1915114.0768671127</v>
      </c>
      <c r="G47" s="67">
        <v>383603.42</v>
      </c>
      <c r="H47" s="67">
        <v>0</v>
      </c>
      <c r="I47" s="67"/>
      <c r="J47" s="67"/>
      <c r="K47" s="116">
        <v>723366.95</v>
      </c>
      <c r="L47" s="116">
        <v>0</v>
      </c>
      <c r="M47" s="116"/>
      <c r="N47" s="116"/>
      <c r="O47" s="68">
        <v>345218.57</v>
      </c>
      <c r="P47" s="68">
        <v>0</v>
      </c>
      <c r="Q47" s="68"/>
      <c r="R47" s="68"/>
      <c r="S47" s="120">
        <v>343113</v>
      </c>
      <c r="T47" s="121">
        <v>0</v>
      </c>
      <c r="U47" s="121"/>
      <c r="V47" s="122"/>
      <c r="W47" s="67">
        <v>288347.67</v>
      </c>
      <c r="X47" s="67">
        <v>0</v>
      </c>
      <c r="Y47" s="67"/>
      <c r="Z47" s="67"/>
      <c r="AA47" s="116">
        <v>301261.25000000006</v>
      </c>
      <c r="AB47" s="116">
        <v>0</v>
      </c>
      <c r="AC47" s="116"/>
      <c r="AD47" s="116"/>
      <c r="AE47" s="68">
        <v>418664.33</v>
      </c>
      <c r="AF47" s="68">
        <v>0</v>
      </c>
      <c r="AG47" s="68"/>
      <c r="AH47" s="117"/>
      <c r="AI47" s="120">
        <v>191547.63</v>
      </c>
      <c r="AJ47" s="121">
        <v>0</v>
      </c>
      <c r="AK47" s="121"/>
      <c r="AL47" s="122"/>
      <c r="AM47" s="52">
        <v>284788.3</v>
      </c>
      <c r="AN47" s="52">
        <v>0</v>
      </c>
      <c r="AO47" s="52"/>
      <c r="AP47" s="52"/>
      <c r="AQ47" s="208">
        <v>417455.78889137268</v>
      </c>
      <c r="AR47" s="203">
        <v>0</v>
      </c>
      <c r="AS47" s="203"/>
      <c r="AT47" s="203"/>
      <c r="AU47" s="215">
        <v>846640.63000000012</v>
      </c>
      <c r="AV47" s="215">
        <v>0</v>
      </c>
      <c r="AW47" s="215"/>
      <c r="AX47" s="215"/>
      <c r="AY47" s="133">
        <v>696982</v>
      </c>
      <c r="AZ47" s="133">
        <v>0</v>
      </c>
      <c r="BA47" s="133"/>
      <c r="BB47" s="133"/>
      <c r="BC47" s="140">
        <f>+BC46</f>
        <v>611593.03</v>
      </c>
      <c r="BD47" s="140">
        <f>+BD46</f>
        <v>0</v>
      </c>
      <c r="BE47" s="140"/>
      <c r="BF47" s="140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240">
        <f>BV46</f>
        <v>8652664.0962220542</v>
      </c>
      <c r="BW47" s="240">
        <f>BW46</f>
        <v>0</v>
      </c>
      <c r="BX47" s="240">
        <f>BX46</f>
        <v>4449585.7755256649</v>
      </c>
    </row>
    <row r="48" spans="1:76" ht="12.75" customHeight="1" x14ac:dyDescent="0.25">
      <c r="A48" s="478" t="s">
        <v>38</v>
      </c>
      <c r="B48" s="27" t="s">
        <v>17</v>
      </c>
      <c r="C48" s="12">
        <v>4</v>
      </c>
      <c r="D48" s="39">
        <v>0</v>
      </c>
      <c r="E48" s="151"/>
      <c r="F48" s="180">
        <v>0</v>
      </c>
      <c r="G48" s="87">
        <v>0</v>
      </c>
      <c r="H48" s="100"/>
      <c r="I48" s="127"/>
      <c r="J48" s="100"/>
      <c r="K48" s="89">
        <v>0</v>
      </c>
      <c r="L48" s="101"/>
      <c r="M48" s="153"/>
      <c r="N48" s="102"/>
      <c r="O48" s="92">
        <v>0</v>
      </c>
      <c r="P48" s="103"/>
      <c r="Q48" s="94"/>
      <c r="R48" s="103"/>
      <c r="S48" s="166">
        <v>0</v>
      </c>
      <c r="T48" s="181"/>
      <c r="U48" s="154"/>
      <c r="V48" s="167"/>
      <c r="W48" s="58">
        <v>0</v>
      </c>
      <c r="X48" s="58">
        <v>0</v>
      </c>
      <c r="Y48" s="58"/>
      <c r="Z48" s="69"/>
      <c r="AA48" s="76">
        <v>0</v>
      </c>
      <c r="AB48" s="156">
        <v>0</v>
      </c>
      <c r="AC48" s="157"/>
      <c r="AD48" s="71"/>
      <c r="AE48" s="63">
        <v>0</v>
      </c>
      <c r="AF48" s="63">
        <v>0</v>
      </c>
      <c r="AG48" s="158"/>
      <c r="AH48" s="72"/>
      <c r="AI48" s="166">
        <v>0</v>
      </c>
      <c r="AJ48" s="154">
        <v>0</v>
      </c>
      <c r="AK48" s="154"/>
      <c r="AL48" s="167"/>
      <c r="AM48" s="49">
        <v>0</v>
      </c>
      <c r="AN48" s="49">
        <v>0</v>
      </c>
      <c r="AO48" s="49"/>
      <c r="AP48" s="182"/>
      <c r="AQ48" s="159">
        <v>0</v>
      </c>
      <c r="AR48" s="201">
        <v>0</v>
      </c>
      <c r="AS48" s="201"/>
      <c r="AT48" s="201"/>
      <c r="AU48" s="213">
        <v>0</v>
      </c>
      <c r="AV48" s="213">
        <v>0</v>
      </c>
      <c r="AW48" s="213"/>
      <c r="AX48" s="213"/>
      <c r="AY48" s="132">
        <v>0</v>
      </c>
      <c r="AZ48" s="132">
        <v>0</v>
      </c>
      <c r="BA48" s="132"/>
      <c r="BB48" s="132"/>
      <c r="BC48" s="139"/>
      <c r="BD48" s="139"/>
      <c r="BE48" s="139"/>
      <c r="BF48" s="139"/>
      <c r="BG48" s="26">
        <f t="shared" ref="BG48:BG57" si="54">IF(D48=0,0,2001-(D48-F48)*C48/D48)</f>
        <v>0</v>
      </c>
      <c r="BH48" s="46">
        <f t="shared" ref="BH48:BH57" si="55">IF((1-($BV$2-$BG48)/$C48)&gt;0,(1-($BV$2-$BG48)/$C48),0)</f>
        <v>0</v>
      </c>
      <c r="BI48" s="43">
        <f t="shared" ref="BI48:BI57" si="56">IF((1-($BV$2-G$2)/$C48)&gt;0,(1-($BV$2-G$2)/$C48),0)</f>
        <v>0</v>
      </c>
      <c r="BJ48" s="43">
        <f t="shared" ref="BJ48:BJ57" si="57">IF((1-($BV$2-K$2)/$C48)&gt;0,(1-($BV$2-K$2)/$C48),0)</f>
        <v>0</v>
      </c>
      <c r="BK48" s="43">
        <f t="shared" ref="BK48:BK57" si="58">IF((1-($BV$2-O$2)/$C48)&gt;0,(1-($BV$2-O$2)/$C48),0)</f>
        <v>0</v>
      </c>
      <c r="BL48" s="43">
        <f t="shared" ref="BL48:BL57" si="59">IF((1-($BV$2-S$2)/$C48)&gt;0,(1-($BV$2-S$2)/$C48),0)</f>
        <v>0</v>
      </c>
      <c r="BM48" s="43">
        <f t="shared" ref="BM48:BM57" si="60">IF((1-($BV$2-W$2)/$C48)&gt;0,(1-($BV$2-W$2)/$C48),0)</f>
        <v>0</v>
      </c>
      <c r="BN48" s="43">
        <f t="shared" ref="BN48:BN57" si="61">IF((1-($BV$2-AA$2)/$C48)&gt;0,(1-($BV$2-AA$2)/$C48),0)</f>
        <v>0</v>
      </c>
      <c r="BO48" s="43">
        <f t="shared" ref="BO48:BO57" si="62">IF((1-($BV$2-AE$2)/$C48)&gt;0,(1-($BV$2-AE$2)/$C48),0)</f>
        <v>0</v>
      </c>
      <c r="BP48" s="43">
        <f t="shared" ref="BP48:BP57" si="63">IF((1-($BV$2-AI$2)/$C48)&gt;0,(1-($BV$2-AI$2)/$C48),0)</f>
        <v>0</v>
      </c>
      <c r="BQ48" s="43">
        <f t="shared" ref="BQ48:BQ57" si="64">IF((1-($BV$2-AM$2)/$C48)&gt;0,(1-($BV$2-AM$2)/$C48),0)</f>
        <v>0</v>
      </c>
      <c r="BR48" s="43">
        <f t="shared" ref="BR48:BR57" si="65">IF((1-($BV$2-AQ$2)/$C48)&gt;0,(1-($BV$2-AQ$2)/$C48),0)</f>
        <v>0.25</v>
      </c>
      <c r="BS48" s="43">
        <f t="shared" ref="BS48:BS57" si="66">IF((1-($BV$2-AU$2)/$C48)&gt;0,(1-($BV$2-AU$2)/$C48),0)</f>
        <v>0.5</v>
      </c>
      <c r="BT48" s="43">
        <f t="shared" ref="BT48:BT57" si="67">IF((1-($BV$2-AY$2)/$C48)&gt;0,(1-($BV$2-AY$2)/$C48),0)</f>
        <v>0.75</v>
      </c>
      <c r="BU48" s="43">
        <f t="shared" ref="BU48:BU57" si="68">IF((1-($BV$2-BC$2)/$C48)&gt;0,(1-($BV$2-BC$2)/$C48),0)</f>
        <v>1</v>
      </c>
      <c r="BV48" s="239">
        <f>D48-E48+(G48-I48)*G$63+(K48-M48)*K$63+(O48-Q48)*O$63+(S48-U48)*S$63+(W48-Y48)*W$63+(AA48-AC48)*AA$63+(AE48-AG48)*AE$63+(AI48-AK48)*AI$63+(AM48-AO48)*AM$63+(AQ48-AS48)*$AQ$63+(AU48-AW48)*$AU$63+(AY48-BA48)*$AY$63+(BC48-BE48)*$BC$63</f>
        <v>0</v>
      </c>
      <c r="BW48" s="239">
        <f>BV48-(IF(BH48=0,0,D48-E48)+IF(BI48=0,0,(G48-I48)*G$63)+IF(BJ48=0,0,(K48-M48)*K$63)+IF(BK48=0,0,(O48-Q48)*O$63)+IF(BL48=0,0,(S48-U48)*S$63)+IF(BM48=0,0,(W48-Y48)*W$63)+IF(BN48=0,0,(AA48-AC48)*AA$63)+IF(BO48=0,0,(AE48-AG48)*AE$63)+IF(BP48=0,0,(AI48-AK48)*AI$63)+IF(BQ48=0,0,(AM48-AO48)*AM$63)+IF(BR48=0,0,(AQ48-AS48)*$AQ$63)+IF(BS48=0,0,(AU48-AW48)*$AU$63)+IF(BT48=0,0,(AY48-BA48)*$AY$63)+IF(BU48=0,0,(BC48-BE48)*$BC$63))</f>
        <v>0</v>
      </c>
      <c r="BX48" s="239">
        <f t="shared" ref="BX48:BX57" si="69">(D48-E48)*BH48+((G48-H48-(I48-J48))*G$63)*BI48+((K48-L48-(M48-N48))*K$63)*BJ48+((O48-P48-(Q48-R48))*O$63)*BK48+((S48-T48-(U48-V48))*S$63)*BL48+((W48-X48-(Y48-Z48))*W$63)*BM48+((AA48-AB48-(AC48-AD48))*AA$63)*BN48+((AE48-AF48-(AG48-AH48))*AE$63)*BO48+((AI48-AJ48-(AK48-AL48))*AI$63)*BP48+((AM48-AN48)*BQ48-(AO48-AP48))*$AM$63+((AQ48-AR48)*BR48-(AS48-AT48))*$AQ$63+((AU48-AV48)*BS48-(AW48-AX48))*$AU$63+((AY48-AZ48)*BT48-(BA48-BB48))*$AY$63+((BC48-BD48)*BU48-(BF48-BG48))*$BC$63</f>
        <v>0</v>
      </c>
    </row>
    <row r="49" spans="1:76" ht="12.75" customHeight="1" x14ac:dyDescent="0.25">
      <c r="A49" s="479"/>
      <c r="B49" s="28" t="s">
        <v>39</v>
      </c>
      <c r="C49" s="17">
        <v>1000</v>
      </c>
      <c r="D49" s="37">
        <v>0</v>
      </c>
      <c r="E49" s="151"/>
      <c r="F49" s="160">
        <v>0</v>
      </c>
      <c r="G49" s="87">
        <v>0</v>
      </c>
      <c r="H49" s="88"/>
      <c r="I49" s="127"/>
      <c r="J49" s="88"/>
      <c r="K49" s="89">
        <v>0</v>
      </c>
      <c r="L49" s="90"/>
      <c r="M49" s="153"/>
      <c r="N49" s="91"/>
      <c r="O49" s="95">
        <v>0</v>
      </c>
      <c r="P49" s="93"/>
      <c r="Q49" s="94"/>
      <c r="R49" s="93"/>
      <c r="S49" s="154">
        <v>0</v>
      </c>
      <c r="T49" s="183"/>
      <c r="U49" s="154"/>
      <c r="V49" s="155"/>
      <c r="W49" s="58">
        <v>0</v>
      </c>
      <c r="X49" s="58">
        <v>0</v>
      </c>
      <c r="Y49" s="58"/>
      <c r="Z49" s="59"/>
      <c r="AA49" s="76">
        <v>0</v>
      </c>
      <c r="AB49" s="156">
        <v>0</v>
      </c>
      <c r="AC49" s="157"/>
      <c r="AD49" s="61"/>
      <c r="AE49" s="63">
        <v>0</v>
      </c>
      <c r="AF49" s="63">
        <v>0</v>
      </c>
      <c r="AG49" s="158"/>
      <c r="AH49" s="62"/>
      <c r="AI49" s="154">
        <v>0</v>
      </c>
      <c r="AJ49" s="154">
        <v>0</v>
      </c>
      <c r="AK49" s="154"/>
      <c r="AL49" s="155"/>
      <c r="AM49" s="49">
        <v>0</v>
      </c>
      <c r="AN49" s="49">
        <v>0</v>
      </c>
      <c r="AO49" s="49"/>
      <c r="AP49" s="184"/>
      <c r="AQ49" s="159">
        <v>0</v>
      </c>
      <c r="AR49" s="198">
        <v>0</v>
      </c>
      <c r="AS49" s="198"/>
      <c r="AT49" s="198"/>
      <c r="AU49" s="210">
        <v>0</v>
      </c>
      <c r="AV49" s="210">
        <v>0</v>
      </c>
      <c r="AW49" s="210"/>
      <c r="AX49" s="210"/>
      <c r="AY49" s="129">
        <v>0</v>
      </c>
      <c r="AZ49" s="129">
        <v>0</v>
      </c>
      <c r="BA49" s="129"/>
      <c r="BB49" s="129"/>
      <c r="BC49" s="139"/>
      <c r="BD49" s="136"/>
      <c r="BE49" s="136"/>
      <c r="BF49" s="136"/>
      <c r="BG49" s="26">
        <f t="shared" si="54"/>
        <v>0</v>
      </c>
      <c r="BH49" s="46">
        <f t="shared" si="55"/>
        <v>0</v>
      </c>
      <c r="BI49" s="43">
        <f t="shared" si="56"/>
        <v>0.98799999999999999</v>
      </c>
      <c r="BJ49" s="43">
        <f t="shared" si="57"/>
        <v>0.98899999999999999</v>
      </c>
      <c r="BK49" s="43">
        <f t="shared" si="58"/>
        <v>0.99</v>
      </c>
      <c r="BL49" s="43">
        <f t="shared" si="59"/>
        <v>0.99099999999999999</v>
      </c>
      <c r="BM49" s="43">
        <f t="shared" si="60"/>
        <v>0.99199999999999999</v>
      </c>
      <c r="BN49" s="43">
        <f t="shared" si="61"/>
        <v>0.99299999999999999</v>
      </c>
      <c r="BO49" s="43">
        <f t="shared" si="62"/>
        <v>0.99399999999999999</v>
      </c>
      <c r="BP49" s="43">
        <f t="shared" si="63"/>
        <v>0.995</v>
      </c>
      <c r="BQ49" s="43">
        <f t="shared" si="64"/>
        <v>0.996</v>
      </c>
      <c r="BR49" s="43">
        <f t="shared" si="65"/>
        <v>0.997</v>
      </c>
      <c r="BS49" s="43">
        <f t="shared" si="66"/>
        <v>0.998</v>
      </c>
      <c r="BT49" s="43">
        <f t="shared" si="67"/>
        <v>0.999</v>
      </c>
      <c r="BU49" s="43">
        <f t="shared" si="68"/>
        <v>1</v>
      </c>
      <c r="BV49" s="239">
        <f>D49-E49+(G49-I49)*G$63+(K49-M49)*K$63+(O49-Q49)*O$63+(S49-U49)*S$63+(W49-Y49)*W$63+(AA49-AC49)*AA$63+(AE49-AG49)*AE$63+(AI49-AK49)*AI$63+(AM49-AO49)*AM$63+(AQ49-AS49)*$AQ$63+(AU49-AW49)*$AU$63+(AY49-BA49)*$AY$63+(BC49-BE49)*$BC$63</f>
        <v>0</v>
      </c>
      <c r="BW49" s="239">
        <f t="shared" ref="BW49:BW57" si="70">BV49-(IF(BH49=0,0,D49-E49)+IF(BI49=0,0,(G49-I49)*G$63)+IF(BJ49=0,0,(K49-M49)*K$63)+IF(BK49=0,0,(O49-Q49)*O$63)+IF(BL49=0,0,(S49-U49)*S$63)+IF(BM49=0,0,(W49-Y49)*W$63)+IF(BN49=0,0,(AA49-AC49)*AA$63)+IF(BO49=0,0,(AE49-AG49)*AE$63)+IF(BP49=0,0,(AI49-AK49)*AI$63)+IF(BQ49=0,0,(AM49-AO49)*AM$63)+IF(BR49=0,0,(AQ49-AS49)*$AQ$63)+IF(BS49=0,0,(AU49-AW49)*$AU$63)+IF(BT49=0,0,(AY49-BA49)*$AY$63)+IF(BU49=0,0,(BC49-BE49)*$BC$63))</f>
        <v>0</v>
      </c>
      <c r="BX49" s="239">
        <f t="shared" si="69"/>
        <v>0</v>
      </c>
    </row>
    <row r="50" spans="1:76" ht="12.75" customHeight="1" x14ac:dyDescent="0.25">
      <c r="A50" s="479"/>
      <c r="B50" s="28" t="s">
        <v>9</v>
      </c>
      <c r="C50" s="7">
        <v>40</v>
      </c>
      <c r="D50" s="37">
        <v>1075230.2047875901</v>
      </c>
      <c r="E50" s="151"/>
      <c r="F50" s="152">
        <v>828035.68623603997</v>
      </c>
      <c r="G50" s="87">
        <v>0</v>
      </c>
      <c r="H50" s="88"/>
      <c r="I50" s="127"/>
      <c r="J50" s="88"/>
      <c r="K50" s="89">
        <v>0</v>
      </c>
      <c r="L50" s="90"/>
      <c r="M50" s="153"/>
      <c r="N50" s="91"/>
      <c r="O50" s="95">
        <v>0</v>
      </c>
      <c r="P50" s="93"/>
      <c r="Q50" s="94"/>
      <c r="R50" s="93"/>
      <c r="S50" s="154">
        <v>0</v>
      </c>
      <c r="T50" s="183"/>
      <c r="U50" s="154"/>
      <c r="V50" s="155"/>
      <c r="W50" s="58">
        <v>0</v>
      </c>
      <c r="X50" s="58">
        <v>0</v>
      </c>
      <c r="Y50" s="58"/>
      <c r="Z50" s="59"/>
      <c r="AA50" s="76">
        <v>26826.639999999999</v>
      </c>
      <c r="AB50" s="156">
        <v>0</v>
      </c>
      <c r="AC50" s="157"/>
      <c r="AD50" s="61"/>
      <c r="AE50" s="63">
        <v>0</v>
      </c>
      <c r="AF50" s="63">
        <v>0</v>
      </c>
      <c r="AG50" s="158"/>
      <c r="AH50" s="62"/>
      <c r="AI50" s="154">
        <v>0</v>
      </c>
      <c r="AJ50" s="154">
        <v>0</v>
      </c>
      <c r="AK50" s="154"/>
      <c r="AL50" s="155"/>
      <c r="AM50" s="49">
        <v>0</v>
      </c>
      <c r="AN50" s="49">
        <v>0</v>
      </c>
      <c r="AO50" s="49"/>
      <c r="AP50" s="184"/>
      <c r="AQ50" s="159">
        <v>0</v>
      </c>
      <c r="AR50" s="198">
        <v>0</v>
      </c>
      <c r="AS50" s="198"/>
      <c r="AT50" s="198"/>
      <c r="AU50" s="210">
        <v>0</v>
      </c>
      <c r="AV50" s="210">
        <v>0</v>
      </c>
      <c r="AW50" s="210"/>
      <c r="AX50" s="210"/>
      <c r="AY50" s="129">
        <v>0</v>
      </c>
      <c r="AZ50" s="129">
        <v>0</v>
      </c>
      <c r="BA50" s="129"/>
      <c r="BB50" s="129"/>
      <c r="BC50" s="139"/>
      <c r="BD50" s="136"/>
      <c r="BE50" s="136"/>
      <c r="BF50" s="136"/>
      <c r="BG50" s="26">
        <f t="shared" si="54"/>
        <v>1991.8040336868928</v>
      </c>
      <c r="BH50" s="43">
        <f t="shared" si="55"/>
        <v>0.44510084217232015</v>
      </c>
      <c r="BI50" s="43">
        <f t="shared" si="56"/>
        <v>0.7</v>
      </c>
      <c r="BJ50" s="43">
        <f t="shared" si="57"/>
        <v>0.72499999999999998</v>
      </c>
      <c r="BK50" s="43">
        <f t="shared" si="58"/>
        <v>0.75</v>
      </c>
      <c r="BL50" s="43">
        <f t="shared" si="59"/>
        <v>0.77500000000000002</v>
      </c>
      <c r="BM50" s="43">
        <f t="shared" si="60"/>
        <v>0.8</v>
      </c>
      <c r="BN50" s="43">
        <f t="shared" si="61"/>
        <v>0.82499999999999996</v>
      </c>
      <c r="BO50" s="43">
        <f t="shared" si="62"/>
        <v>0.85</v>
      </c>
      <c r="BP50" s="43">
        <f t="shared" si="63"/>
        <v>0.875</v>
      </c>
      <c r="BQ50" s="43">
        <f t="shared" si="64"/>
        <v>0.9</v>
      </c>
      <c r="BR50" s="43">
        <f t="shared" si="65"/>
        <v>0.92500000000000004</v>
      </c>
      <c r="BS50" s="43">
        <f t="shared" si="66"/>
        <v>0.95</v>
      </c>
      <c r="BT50" s="43">
        <f t="shared" si="67"/>
        <v>0.97499999999999998</v>
      </c>
      <c r="BU50" s="43">
        <f t="shared" si="68"/>
        <v>1</v>
      </c>
      <c r="BV50" s="239">
        <f>D50-E50+(G50-I50)*G$63+(K50-M50)*K$63+(O50-Q50)*O$63+(S50-U50)*S$63+(W50-Y50)*W$63+(AA50-AC50)*AA$63+(AE50-AG50)*AE$63+(AI50-AK50)*AI$63+(AM50-AO50)*AM$63+(AQ50-AS50)*$AQ$63+(AU50-AW50)*$AU$63+(AY50-BA50)*$AY$63+(BC50-BE50)*$BC$63</f>
        <v>1094161.605459783</v>
      </c>
      <c r="BW50" s="239">
        <f t="shared" si="70"/>
        <v>0</v>
      </c>
      <c r="BX50" s="239">
        <f t="shared" si="69"/>
        <v>495996.89886495005</v>
      </c>
    </row>
    <row r="51" spans="1:76" ht="12.75" customHeight="1" x14ac:dyDescent="0.25">
      <c r="A51" s="479"/>
      <c r="B51" s="28" t="s">
        <v>40</v>
      </c>
      <c r="C51" s="7">
        <v>22</v>
      </c>
      <c r="D51" s="37">
        <v>4570414.9220673665</v>
      </c>
      <c r="E51" s="151"/>
      <c r="F51" s="152">
        <v>3249798.252767378</v>
      </c>
      <c r="G51" s="87">
        <v>385845.48</v>
      </c>
      <c r="H51" s="88"/>
      <c r="I51" s="127"/>
      <c r="J51" s="88"/>
      <c r="K51" s="89">
        <v>452747.86</v>
      </c>
      <c r="L51" s="90"/>
      <c r="M51" s="153"/>
      <c r="N51" s="91"/>
      <c r="O51" s="95">
        <v>370817.32</v>
      </c>
      <c r="P51" s="93"/>
      <c r="Q51" s="94"/>
      <c r="R51" s="93"/>
      <c r="S51" s="154">
        <v>396757.73</v>
      </c>
      <c r="T51" s="183"/>
      <c r="U51" s="154"/>
      <c r="V51" s="155"/>
      <c r="W51" s="58">
        <v>291785.66999999993</v>
      </c>
      <c r="X51" s="58">
        <v>0</v>
      </c>
      <c r="Y51" s="58"/>
      <c r="Z51" s="59"/>
      <c r="AA51" s="76">
        <v>444306.60000000003</v>
      </c>
      <c r="AB51" s="156">
        <v>0</v>
      </c>
      <c r="AC51" s="157"/>
      <c r="AD51" s="61"/>
      <c r="AE51" s="63">
        <v>641039</v>
      </c>
      <c r="AF51" s="63">
        <v>0</v>
      </c>
      <c r="AG51" s="158"/>
      <c r="AH51" s="62"/>
      <c r="AI51" s="154">
        <v>528906.63000000012</v>
      </c>
      <c r="AJ51" s="154">
        <v>0</v>
      </c>
      <c r="AK51" s="154"/>
      <c r="AL51" s="155"/>
      <c r="AM51" s="49">
        <v>421950.02999999991</v>
      </c>
      <c r="AN51" s="49">
        <v>0</v>
      </c>
      <c r="AO51" s="49"/>
      <c r="AP51" s="223"/>
      <c r="AQ51" s="159">
        <v>401723.83</v>
      </c>
      <c r="AR51" s="198">
        <v>0</v>
      </c>
      <c r="AS51" s="198"/>
      <c r="AT51" s="198"/>
      <c r="AU51" s="210">
        <v>401731.13</v>
      </c>
      <c r="AV51" s="210">
        <v>0</v>
      </c>
      <c r="AW51" s="210"/>
      <c r="AX51" s="210"/>
      <c r="AY51" s="129">
        <v>555885.05319699994</v>
      </c>
      <c r="AZ51" s="129">
        <v>0</v>
      </c>
      <c r="BA51" s="129"/>
      <c r="BB51" s="129"/>
      <c r="BC51" s="139">
        <v>660890.24999999988</v>
      </c>
      <c r="BD51" s="136"/>
      <c r="BE51" s="136"/>
      <c r="BF51" s="136"/>
      <c r="BG51" s="26">
        <f t="shared" si="54"/>
        <v>1994.6431227317414</v>
      </c>
      <c r="BH51" s="43">
        <f t="shared" si="55"/>
        <v>0.12014194235188247</v>
      </c>
      <c r="BI51" s="43">
        <f t="shared" si="56"/>
        <v>0.45454545454545459</v>
      </c>
      <c r="BJ51" s="43">
        <f t="shared" si="57"/>
        <v>0.5</v>
      </c>
      <c r="BK51" s="43">
        <f t="shared" si="58"/>
        <v>0.54545454545454541</v>
      </c>
      <c r="BL51" s="43">
        <f t="shared" si="59"/>
        <v>0.59090909090909083</v>
      </c>
      <c r="BM51" s="43">
        <f t="shared" si="60"/>
        <v>0.63636363636363635</v>
      </c>
      <c r="BN51" s="43">
        <f t="shared" si="61"/>
        <v>0.68181818181818188</v>
      </c>
      <c r="BO51" s="43">
        <f t="shared" si="62"/>
        <v>0.72727272727272729</v>
      </c>
      <c r="BP51" s="43">
        <f t="shared" si="63"/>
        <v>0.77272727272727271</v>
      </c>
      <c r="BQ51" s="43">
        <f t="shared" si="64"/>
        <v>0.81818181818181812</v>
      </c>
      <c r="BR51" s="43">
        <f t="shared" si="65"/>
        <v>0.86363636363636365</v>
      </c>
      <c r="BS51" s="43">
        <f t="shared" si="66"/>
        <v>0.90909090909090906</v>
      </c>
      <c r="BT51" s="43">
        <f t="shared" si="67"/>
        <v>0.95454545454545459</v>
      </c>
      <c r="BU51" s="43">
        <f t="shared" si="68"/>
        <v>1</v>
      </c>
      <c r="BV51" s="239">
        <f>D51-E51+(G51-I51)*G$63+(K51-M51)*K$63+(O51-Q51)*O$63+(S51-U51)*S$63+(W51-Y51)*W$63+(AA51-AC51)*AA$63+(AE51-AG51)*AE$63+(AI51-AK51)*AI$63+(AM51-AO51)*AM$63+(AQ51-AS51)*$AQ$63+(AU51-AW51)*$AU$63+(AY51-BA51)*$AY$63+(BC51-BE51)*$BC$63</f>
        <v>9214636.3058110084</v>
      </c>
      <c r="BW51" s="239">
        <f t="shared" si="70"/>
        <v>0</v>
      </c>
      <c r="BX51" s="239">
        <f t="shared" si="69"/>
        <v>3992737.4091006247</v>
      </c>
    </row>
    <row r="52" spans="1:76" ht="12.75" customHeight="1" x14ac:dyDescent="0.25">
      <c r="A52" s="479"/>
      <c r="B52" s="28" t="s">
        <v>54</v>
      </c>
      <c r="C52" s="7">
        <v>22</v>
      </c>
      <c r="D52" s="37">
        <v>0</v>
      </c>
      <c r="E52" s="151"/>
      <c r="F52" s="152">
        <v>0</v>
      </c>
      <c r="G52" s="87">
        <v>0</v>
      </c>
      <c r="H52" s="88"/>
      <c r="I52" s="127"/>
      <c r="J52" s="88"/>
      <c r="K52" s="89">
        <v>0</v>
      </c>
      <c r="L52" s="90"/>
      <c r="M52" s="153"/>
      <c r="N52" s="91"/>
      <c r="O52" s="95">
        <v>0</v>
      </c>
      <c r="P52" s="93"/>
      <c r="Q52" s="94"/>
      <c r="R52" s="93"/>
      <c r="S52" s="154">
        <v>0</v>
      </c>
      <c r="T52" s="183"/>
      <c r="U52" s="154"/>
      <c r="V52" s="155"/>
      <c r="W52" s="58">
        <v>0</v>
      </c>
      <c r="X52" s="58">
        <v>0</v>
      </c>
      <c r="Y52" s="58"/>
      <c r="Z52" s="59"/>
      <c r="AA52" s="76">
        <v>0</v>
      </c>
      <c r="AB52" s="156">
        <v>0</v>
      </c>
      <c r="AC52" s="157"/>
      <c r="AD52" s="61"/>
      <c r="AE52" s="63">
        <v>0</v>
      </c>
      <c r="AF52" s="63">
        <v>0</v>
      </c>
      <c r="AG52" s="158"/>
      <c r="AH52" s="62"/>
      <c r="AI52" s="154">
        <v>0</v>
      </c>
      <c r="AJ52" s="154">
        <v>0</v>
      </c>
      <c r="AK52" s="154"/>
      <c r="AL52" s="155"/>
      <c r="AM52" s="49">
        <v>0</v>
      </c>
      <c r="AN52" s="49">
        <v>0</v>
      </c>
      <c r="AO52" s="49"/>
      <c r="AP52" s="184"/>
      <c r="AQ52" s="159">
        <v>0</v>
      </c>
      <c r="AR52" s="198">
        <v>0</v>
      </c>
      <c r="AS52" s="198"/>
      <c r="AT52" s="198"/>
      <c r="AU52" s="210">
        <v>0</v>
      </c>
      <c r="AV52" s="210">
        <v>0</v>
      </c>
      <c r="AW52" s="210"/>
      <c r="AX52" s="210"/>
      <c r="AY52" s="129">
        <v>0</v>
      </c>
      <c r="AZ52" s="129">
        <v>0</v>
      </c>
      <c r="BA52" s="129"/>
      <c r="BB52" s="129"/>
      <c r="BC52" s="139">
        <v>0</v>
      </c>
      <c r="BD52" s="136"/>
      <c r="BE52" s="136"/>
      <c r="BF52" s="136"/>
      <c r="BG52" s="26">
        <f t="shared" si="54"/>
        <v>0</v>
      </c>
      <c r="BH52" s="43">
        <f t="shared" si="55"/>
        <v>0</v>
      </c>
      <c r="BI52" s="43">
        <f t="shared" si="56"/>
        <v>0.45454545454545459</v>
      </c>
      <c r="BJ52" s="43">
        <f t="shared" si="57"/>
        <v>0.5</v>
      </c>
      <c r="BK52" s="43">
        <f t="shared" si="58"/>
        <v>0.54545454545454541</v>
      </c>
      <c r="BL52" s="43">
        <f t="shared" si="59"/>
        <v>0.59090909090909083</v>
      </c>
      <c r="BM52" s="43">
        <f t="shared" si="60"/>
        <v>0.63636363636363635</v>
      </c>
      <c r="BN52" s="43">
        <f t="shared" si="61"/>
        <v>0.68181818181818188</v>
      </c>
      <c r="BO52" s="43">
        <f t="shared" si="62"/>
        <v>0.72727272727272729</v>
      </c>
      <c r="BP52" s="43">
        <f t="shared" si="63"/>
        <v>0.77272727272727271</v>
      </c>
      <c r="BQ52" s="43">
        <f t="shared" si="64"/>
        <v>0.81818181818181812</v>
      </c>
      <c r="BR52" s="43">
        <f t="shared" si="65"/>
        <v>0.86363636363636365</v>
      </c>
      <c r="BS52" s="43">
        <f t="shared" si="66"/>
        <v>0.90909090909090906</v>
      </c>
      <c r="BT52" s="43">
        <f t="shared" si="67"/>
        <v>0.95454545454545459</v>
      </c>
      <c r="BU52" s="43">
        <f t="shared" si="68"/>
        <v>1</v>
      </c>
      <c r="BV52" s="239">
        <f t="shared" ref="BV52:BV57" si="71">D52-E52+(G52-I52)*G$63+(K52-M52)*K$63+(O52-Q52)*O$63+(S52-U52)*S$63+(W52-Y52)*W$63+(AA52-AC52)*AA$63+(AE52-AG52)*AE$63+(AI52-AK52)*AI$63+(AM52-AO52)*AM$63+(AQ52-AS52)*$AQ$63+(AU52-AW52)*$AU$63+(AY52-BA52)*$AY$63+(BC52-BE52)*$BC$63</f>
        <v>0</v>
      </c>
      <c r="BW52" s="239">
        <f t="shared" si="70"/>
        <v>0</v>
      </c>
      <c r="BX52" s="239">
        <f t="shared" si="69"/>
        <v>0</v>
      </c>
    </row>
    <row r="53" spans="1:76" ht="12.75" customHeight="1" x14ac:dyDescent="0.25">
      <c r="A53" s="479"/>
      <c r="B53" s="28" t="s">
        <v>10</v>
      </c>
      <c r="C53" s="7">
        <v>7</v>
      </c>
      <c r="D53" s="37">
        <v>14383.151123919413</v>
      </c>
      <c r="E53" s="151"/>
      <c r="F53" s="152">
        <v>14250.373412526502</v>
      </c>
      <c r="G53" s="87">
        <v>0</v>
      </c>
      <c r="H53" s="88"/>
      <c r="I53" s="127"/>
      <c r="J53" s="88"/>
      <c r="K53" s="89">
        <v>0</v>
      </c>
      <c r="L53" s="90"/>
      <c r="M53" s="153"/>
      <c r="N53" s="91"/>
      <c r="O53" s="95">
        <v>0</v>
      </c>
      <c r="P53" s="93"/>
      <c r="Q53" s="94"/>
      <c r="R53" s="93"/>
      <c r="S53" s="154">
        <v>0</v>
      </c>
      <c r="T53" s="183"/>
      <c r="U53" s="154"/>
      <c r="V53" s="155"/>
      <c r="W53" s="58">
        <v>0</v>
      </c>
      <c r="X53" s="58">
        <v>0</v>
      </c>
      <c r="Y53" s="58"/>
      <c r="Z53" s="59"/>
      <c r="AA53" s="76">
        <v>0</v>
      </c>
      <c r="AB53" s="156">
        <v>0</v>
      </c>
      <c r="AC53" s="157"/>
      <c r="AD53" s="61"/>
      <c r="AE53" s="63">
        <v>0</v>
      </c>
      <c r="AF53" s="63">
        <v>0</v>
      </c>
      <c r="AG53" s="158"/>
      <c r="AH53" s="62"/>
      <c r="AI53" s="154">
        <v>0</v>
      </c>
      <c r="AJ53" s="154">
        <v>0</v>
      </c>
      <c r="AK53" s="154"/>
      <c r="AL53" s="155"/>
      <c r="AM53" s="49">
        <v>0</v>
      </c>
      <c r="AN53" s="49">
        <v>0</v>
      </c>
      <c r="AO53" s="49"/>
      <c r="AP53" s="184"/>
      <c r="AQ53" s="159">
        <v>0</v>
      </c>
      <c r="AR53" s="198">
        <v>0</v>
      </c>
      <c r="AS53" s="198"/>
      <c r="AT53" s="198"/>
      <c r="AU53" s="210">
        <v>0</v>
      </c>
      <c r="AV53" s="210">
        <v>0</v>
      </c>
      <c r="AW53" s="210"/>
      <c r="AX53" s="210"/>
      <c r="AY53" s="129">
        <v>0</v>
      </c>
      <c r="AZ53" s="129">
        <v>0</v>
      </c>
      <c r="BA53" s="129"/>
      <c r="BB53" s="129"/>
      <c r="BC53" s="139"/>
      <c r="BD53" s="136"/>
      <c r="BE53" s="136"/>
      <c r="BF53" s="136"/>
      <c r="BG53" s="26">
        <f t="shared" si="54"/>
        <v>2000.9353796694659</v>
      </c>
      <c r="BH53" s="43">
        <f t="shared" si="55"/>
        <v>0</v>
      </c>
      <c r="BI53" s="43">
        <f t="shared" si="56"/>
        <v>0</v>
      </c>
      <c r="BJ53" s="43">
        <f t="shared" si="57"/>
        <v>0</v>
      </c>
      <c r="BK53" s="43">
        <f t="shared" si="58"/>
        <v>0</v>
      </c>
      <c r="BL53" s="43">
        <f t="shared" si="59"/>
        <v>0</v>
      </c>
      <c r="BM53" s="43">
        <f t="shared" si="60"/>
        <v>0</v>
      </c>
      <c r="BN53" s="43">
        <f t="shared" si="61"/>
        <v>0</v>
      </c>
      <c r="BO53" s="43">
        <f t="shared" si="62"/>
        <v>0.1428571428571429</v>
      </c>
      <c r="BP53" s="43">
        <f t="shared" si="63"/>
        <v>0.2857142857142857</v>
      </c>
      <c r="BQ53" s="43">
        <f t="shared" si="64"/>
        <v>0.4285714285714286</v>
      </c>
      <c r="BR53" s="43">
        <f t="shared" si="65"/>
        <v>0.5714285714285714</v>
      </c>
      <c r="BS53" s="43">
        <f t="shared" si="66"/>
        <v>0.7142857142857143</v>
      </c>
      <c r="BT53" s="43">
        <f t="shared" si="67"/>
        <v>0.85714285714285721</v>
      </c>
      <c r="BU53" s="43">
        <f t="shared" si="68"/>
        <v>1</v>
      </c>
      <c r="BV53" s="239">
        <f t="shared" si="71"/>
        <v>14383.151123919413</v>
      </c>
      <c r="BW53" s="239">
        <f t="shared" si="70"/>
        <v>14383.151123919413</v>
      </c>
      <c r="BX53" s="239">
        <f t="shared" si="69"/>
        <v>1800.8418417025196</v>
      </c>
    </row>
    <row r="54" spans="1:76" ht="12.75" customHeight="1" x14ac:dyDescent="0.25">
      <c r="A54" s="479"/>
      <c r="B54" s="28" t="s">
        <v>11</v>
      </c>
      <c r="C54" s="7">
        <v>4</v>
      </c>
      <c r="D54" s="37">
        <v>0</v>
      </c>
      <c r="E54" s="151"/>
      <c r="F54" s="152">
        <v>0</v>
      </c>
      <c r="G54" s="87">
        <v>0</v>
      </c>
      <c r="H54" s="88"/>
      <c r="I54" s="127"/>
      <c r="J54" s="88"/>
      <c r="K54" s="89">
        <v>0</v>
      </c>
      <c r="L54" s="90"/>
      <c r="M54" s="153"/>
      <c r="N54" s="91"/>
      <c r="O54" s="95">
        <v>0</v>
      </c>
      <c r="P54" s="93"/>
      <c r="Q54" s="94"/>
      <c r="R54" s="93"/>
      <c r="S54" s="154">
        <v>0</v>
      </c>
      <c r="T54" s="183"/>
      <c r="U54" s="154"/>
      <c r="V54" s="155"/>
      <c r="W54" s="58">
        <v>0</v>
      </c>
      <c r="X54" s="58">
        <v>0</v>
      </c>
      <c r="Y54" s="58"/>
      <c r="Z54" s="59"/>
      <c r="AA54" s="76">
        <v>0</v>
      </c>
      <c r="AB54" s="156">
        <v>0</v>
      </c>
      <c r="AC54" s="157"/>
      <c r="AD54" s="61"/>
      <c r="AE54" s="63">
        <v>0</v>
      </c>
      <c r="AF54" s="63">
        <v>0</v>
      </c>
      <c r="AG54" s="158"/>
      <c r="AH54" s="62"/>
      <c r="AI54" s="154">
        <v>0</v>
      </c>
      <c r="AJ54" s="154">
        <v>0</v>
      </c>
      <c r="AK54" s="154"/>
      <c r="AL54" s="155"/>
      <c r="AM54" s="49">
        <v>0</v>
      </c>
      <c r="AN54" s="49">
        <v>0</v>
      </c>
      <c r="AO54" s="49"/>
      <c r="AP54" s="184"/>
      <c r="AQ54" s="159">
        <v>0</v>
      </c>
      <c r="AR54" s="198">
        <v>0</v>
      </c>
      <c r="AS54" s="198"/>
      <c r="AT54" s="198"/>
      <c r="AU54" s="210">
        <v>0</v>
      </c>
      <c r="AV54" s="210">
        <v>0</v>
      </c>
      <c r="AW54" s="210"/>
      <c r="AX54" s="210"/>
      <c r="AY54" s="129">
        <v>0</v>
      </c>
      <c r="AZ54" s="129">
        <v>0</v>
      </c>
      <c r="BA54" s="129"/>
      <c r="BB54" s="129"/>
      <c r="BC54" s="139"/>
      <c r="BD54" s="136"/>
      <c r="BE54" s="136"/>
      <c r="BF54" s="136"/>
      <c r="BG54" s="26">
        <f t="shared" si="54"/>
        <v>0</v>
      </c>
      <c r="BH54" s="43">
        <f t="shared" si="55"/>
        <v>0</v>
      </c>
      <c r="BI54" s="43">
        <f t="shared" si="56"/>
        <v>0</v>
      </c>
      <c r="BJ54" s="43">
        <f t="shared" si="57"/>
        <v>0</v>
      </c>
      <c r="BK54" s="43">
        <f t="shared" si="58"/>
        <v>0</v>
      </c>
      <c r="BL54" s="43">
        <f t="shared" si="59"/>
        <v>0</v>
      </c>
      <c r="BM54" s="43">
        <f t="shared" si="60"/>
        <v>0</v>
      </c>
      <c r="BN54" s="43">
        <f t="shared" si="61"/>
        <v>0</v>
      </c>
      <c r="BO54" s="43">
        <f t="shared" si="62"/>
        <v>0</v>
      </c>
      <c r="BP54" s="43">
        <f t="shared" si="63"/>
        <v>0</v>
      </c>
      <c r="BQ54" s="43">
        <f t="shared" si="64"/>
        <v>0</v>
      </c>
      <c r="BR54" s="43">
        <f t="shared" si="65"/>
        <v>0.25</v>
      </c>
      <c r="BS54" s="43">
        <f t="shared" si="66"/>
        <v>0.5</v>
      </c>
      <c r="BT54" s="43">
        <f t="shared" si="67"/>
        <v>0.75</v>
      </c>
      <c r="BU54" s="43">
        <f t="shared" si="68"/>
        <v>1</v>
      </c>
      <c r="BV54" s="239">
        <f t="shared" si="71"/>
        <v>0</v>
      </c>
      <c r="BW54" s="239">
        <f t="shared" si="70"/>
        <v>0</v>
      </c>
      <c r="BX54" s="239">
        <f t="shared" si="69"/>
        <v>0</v>
      </c>
    </row>
    <row r="55" spans="1:76" ht="12.75" customHeight="1" x14ac:dyDescent="0.25">
      <c r="A55" s="479"/>
      <c r="B55" s="28" t="s">
        <v>12</v>
      </c>
      <c r="C55" s="7">
        <v>5</v>
      </c>
      <c r="D55" s="37">
        <v>0</v>
      </c>
      <c r="E55" s="151"/>
      <c r="F55" s="152">
        <v>0</v>
      </c>
      <c r="G55" s="87">
        <v>0</v>
      </c>
      <c r="H55" s="88"/>
      <c r="I55" s="127"/>
      <c r="J55" s="88"/>
      <c r="K55" s="89">
        <v>0</v>
      </c>
      <c r="L55" s="90"/>
      <c r="M55" s="153"/>
      <c r="N55" s="91"/>
      <c r="O55" s="95">
        <v>0</v>
      </c>
      <c r="P55" s="93"/>
      <c r="Q55" s="94"/>
      <c r="R55" s="93"/>
      <c r="S55" s="154">
        <v>0</v>
      </c>
      <c r="T55" s="183"/>
      <c r="U55" s="154"/>
      <c r="V55" s="155"/>
      <c r="W55" s="58">
        <v>0</v>
      </c>
      <c r="X55" s="58">
        <v>0</v>
      </c>
      <c r="Y55" s="58"/>
      <c r="Z55" s="59"/>
      <c r="AA55" s="76">
        <v>0</v>
      </c>
      <c r="AB55" s="156">
        <v>0</v>
      </c>
      <c r="AC55" s="157"/>
      <c r="AD55" s="61"/>
      <c r="AE55" s="63">
        <v>0</v>
      </c>
      <c r="AF55" s="63">
        <v>0</v>
      </c>
      <c r="AG55" s="158"/>
      <c r="AH55" s="62"/>
      <c r="AI55" s="154">
        <v>0</v>
      </c>
      <c r="AJ55" s="154">
        <v>0</v>
      </c>
      <c r="AK55" s="154"/>
      <c r="AL55" s="155"/>
      <c r="AM55" s="49">
        <v>0</v>
      </c>
      <c r="AN55" s="49">
        <v>0</v>
      </c>
      <c r="AO55" s="49"/>
      <c r="AP55" s="184"/>
      <c r="AQ55" s="159">
        <v>0</v>
      </c>
      <c r="AR55" s="198">
        <v>0</v>
      </c>
      <c r="AS55" s="198"/>
      <c r="AT55" s="198"/>
      <c r="AU55" s="210">
        <v>0</v>
      </c>
      <c r="AV55" s="210">
        <v>0</v>
      </c>
      <c r="AW55" s="210"/>
      <c r="AX55" s="210"/>
      <c r="AY55" s="129">
        <v>0</v>
      </c>
      <c r="AZ55" s="129">
        <v>0</v>
      </c>
      <c r="BA55" s="129"/>
      <c r="BB55" s="129"/>
      <c r="BC55" s="139"/>
      <c r="BD55" s="136"/>
      <c r="BE55" s="136"/>
      <c r="BF55" s="136"/>
      <c r="BG55" s="26">
        <f t="shared" si="54"/>
        <v>0</v>
      </c>
      <c r="BH55" s="43">
        <f t="shared" si="55"/>
        <v>0</v>
      </c>
      <c r="BI55" s="43">
        <f t="shared" si="56"/>
        <v>0</v>
      </c>
      <c r="BJ55" s="43">
        <f t="shared" si="57"/>
        <v>0</v>
      </c>
      <c r="BK55" s="43">
        <f t="shared" si="58"/>
        <v>0</v>
      </c>
      <c r="BL55" s="43">
        <f t="shared" si="59"/>
        <v>0</v>
      </c>
      <c r="BM55" s="43">
        <f t="shared" si="60"/>
        <v>0</v>
      </c>
      <c r="BN55" s="43">
        <f t="shared" si="61"/>
        <v>0</v>
      </c>
      <c r="BO55" s="43">
        <f t="shared" si="62"/>
        <v>0</v>
      </c>
      <c r="BP55" s="43">
        <f t="shared" si="63"/>
        <v>0</v>
      </c>
      <c r="BQ55" s="43">
        <f t="shared" si="64"/>
        <v>0.19999999999999996</v>
      </c>
      <c r="BR55" s="43">
        <f t="shared" si="65"/>
        <v>0.4</v>
      </c>
      <c r="BS55" s="43">
        <f t="shared" si="66"/>
        <v>0.6</v>
      </c>
      <c r="BT55" s="43">
        <f t="shared" si="67"/>
        <v>0.8</v>
      </c>
      <c r="BU55" s="43">
        <f t="shared" si="68"/>
        <v>1</v>
      </c>
      <c r="BV55" s="239">
        <f t="shared" si="71"/>
        <v>0</v>
      </c>
      <c r="BW55" s="239">
        <f t="shared" si="70"/>
        <v>0</v>
      </c>
      <c r="BX55" s="239">
        <f t="shared" si="69"/>
        <v>0</v>
      </c>
    </row>
    <row r="56" spans="1:76" ht="12.75" customHeight="1" x14ac:dyDescent="0.25">
      <c r="A56" s="479"/>
      <c r="B56" s="28" t="s">
        <v>13</v>
      </c>
      <c r="C56" s="7">
        <v>8</v>
      </c>
      <c r="D56" s="37">
        <v>0</v>
      </c>
      <c r="E56" s="151"/>
      <c r="F56" s="152">
        <v>0</v>
      </c>
      <c r="G56" s="87">
        <v>0</v>
      </c>
      <c r="H56" s="88"/>
      <c r="I56" s="127"/>
      <c r="J56" s="88"/>
      <c r="K56" s="89">
        <v>0</v>
      </c>
      <c r="L56" s="90"/>
      <c r="M56" s="153"/>
      <c r="N56" s="91"/>
      <c r="O56" s="95">
        <v>0</v>
      </c>
      <c r="P56" s="93"/>
      <c r="Q56" s="94"/>
      <c r="R56" s="93"/>
      <c r="S56" s="154">
        <v>0</v>
      </c>
      <c r="T56" s="183"/>
      <c r="U56" s="154"/>
      <c r="V56" s="155"/>
      <c r="W56" s="58">
        <v>0</v>
      </c>
      <c r="X56" s="58">
        <v>0</v>
      </c>
      <c r="Y56" s="58"/>
      <c r="Z56" s="59"/>
      <c r="AA56" s="76">
        <v>0</v>
      </c>
      <c r="AB56" s="156">
        <v>0</v>
      </c>
      <c r="AC56" s="157"/>
      <c r="AD56" s="61"/>
      <c r="AE56" s="63">
        <v>0</v>
      </c>
      <c r="AF56" s="63">
        <v>0</v>
      </c>
      <c r="AG56" s="158"/>
      <c r="AH56" s="62"/>
      <c r="AI56" s="154">
        <v>0</v>
      </c>
      <c r="AJ56" s="154">
        <v>0</v>
      </c>
      <c r="AK56" s="154"/>
      <c r="AL56" s="155"/>
      <c r="AM56" s="49">
        <v>0</v>
      </c>
      <c r="AN56" s="49">
        <v>0</v>
      </c>
      <c r="AO56" s="49"/>
      <c r="AP56" s="184"/>
      <c r="AQ56" s="159">
        <v>0</v>
      </c>
      <c r="AR56" s="198">
        <v>0</v>
      </c>
      <c r="AS56" s="198"/>
      <c r="AT56" s="198"/>
      <c r="AU56" s="210">
        <v>0</v>
      </c>
      <c r="AV56" s="210">
        <v>0</v>
      </c>
      <c r="AW56" s="210"/>
      <c r="AX56" s="210"/>
      <c r="AY56" s="129">
        <v>0</v>
      </c>
      <c r="AZ56" s="129">
        <v>0</v>
      </c>
      <c r="BA56" s="129"/>
      <c r="BB56" s="129"/>
      <c r="BC56" s="139"/>
      <c r="BD56" s="136"/>
      <c r="BE56" s="136"/>
      <c r="BF56" s="136"/>
      <c r="BG56" s="26">
        <f t="shared" si="54"/>
        <v>0</v>
      </c>
      <c r="BH56" s="43">
        <f t="shared" si="55"/>
        <v>0</v>
      </c>
      <c r="BI56" s="43">
        <f t="shared" si="56"/>
        <v>0</v>
      </c>
      <c r="BJ56" s="43">
        <f t="shared" si="57"/>
        <v>0</v>
      </c>
      <c r="BK56" s="43">
        <f t="shared" si="58"/>
        <v>0</v>
      </c>
      <c r="BL56" s="43">
        <f t="shared" si="59"/>
        <v>0</v>
      </c>
      <c r="BM56" s="43">
        <f t="shared" si="60"/>
        <v>0</v>
      </c>
      <c r="BN56" s="43">
        <f t="shared" si="61"/>
        <v>0.125</v>
      </c>
      <c r="BO56" s="43">
        <f t="shared" si="62"/>
        <v>0.25</v>
      </c>
      <c r="BP56" s="43">
        <f t="shared" si="63"/>
        <v>0.375</v>
      </c>
      <c r="BQ56" s="43">
        <f t="shared" si="64"/>
        <v>0.5</v>
      </c>
      <c r="BR56" s="43">
        <f t="shared" si="65"/>
        <v>0.625</v>
      </c>
      <c r="BS56" s="43">
        <f t="shared" si="66"/>
        <v>0.75</v>
      </c>
      <c r="BT56" s="43">
        <f t="shared" si="67"/>
        <v>0.875</v>
      </c>
      <c r="BU56" s="43">
        <f t="shared" si="68"/>
        <v>1</v>
      </c>
      <c r="BV56" s="239">
        <f t="shared" si="71"/>
        <v>0</v>
      </c>
      <c r="BW56" s="239">
        <f t="shared" si="70"/>
        <v>0</v>
      </c>
      <c r="BX56" s="239">
        <f t="shared" si="69"/>
        <v>0</v>
      </c>
    </row>
    <row r="57" spans="1:76" ht="12.75" customHeight="1" thickBot="1" x14ac:dyDescent="0.3">
      <c r="A57" s="479"/>
      <c r="B57" s="29" t="s">
        <v>41</v>
      </c>
      <c r="C57" s="11">
        <v>17</v>
      </c>
      <c r="D57" s="41">
        <v>0</v>
      </c>
      <c r="E57" s="151"/>
      <c r="F57" s="162">
        <v>0</v>
      </c>
      <c r="G57" s="87">
        <v>0</v>
      </c>
      <c r="H57" s="96"/>
      <c r="I57" s="127"/>
      <c r="J57" s="96"/>
      <c r="K57" s="89">
        <v>0</v>
      </c>
      <c r="L57" s="97"/>
      <c r="M57" s="153"/>
      <c r="N57" s="98"/>
      <c r="O57" s="92">
        <v>0</v>
      </c>
      <c r="P57" s="99"/>
      <c r="Q57" s="94"/>
      <c r="R57" s="99"/>
      <c r="S57" s="173">
        <v>0</v>
      </c>
      <c r="T57" s="185"/>
      <c r="U57" s="154"/>
      <c r="V57" s="174"/>
      <c r="W57" s="58">
        <v>0</v>
      </c>
      <c r="X57" s="58">
        <v>0</v>
      </c>
      <c r="Y57" s="58"/>
      <c r="Z57" s="64"/>
      <c r="AA57" s="76">
        <v>0</v>
      </c>
      <c r="AB57" s="156">
        <v>0</v>
      </c>
      <c r="AC57" s="157"/>
      <c r="AD57" s="65"/>
      <c r="AE57" s="63">
        <v>0</v>
      </c>
      <c r="AF57" s="63">
        <v>0</v>
      </c>
      <c r="AG57" s="158"/>
      <c r="AH57" s="66"/>
      <c r="AI57" s="173">
        <v>0</v>
      </c>
      <c r="AJ57" s="154">
        <v>0</v>
      </c>
      <c r="AK57" s="154"/>
      <c r="AL57" s="174"/>
      <c r="AM57" s="49">
        <v>0</v>
      </c>
      <c r="AN57" s="49">
        <v>0</v>
      </c>
      <c r="AO57" s="49"/>
      <c r="AP57" s="186"/>
      <c r="AQ57" s="159">
        <v>0</v>
      </c>
      <c r="AR57" s="199">
        <v>0</v>
      </c>
      <c r="AS57" s="199"/>
      <c r="AT57" s="199"/>
      <c r="AU57" s="211">
        <v>0</v>
      </c>
      <c r="AV57" s="211">
        <v>0</v>
      </c>
      <c r="AW57" s="211"/>
      <c r="AX57" s="211"/>
      <c r="AY57" s="130">
        <v>0</v>
      </c>
      <c r="AZ57" s="130">
        <v>0</v>
      </c>
      <c r="BA57" s="130"/>
      <c r="BB57" s="130"/>
      <c r="BC57" s="139">
        <v>0</v>
      </c>
      <c r="BD57" s="137"/>
      <c r="BE57" s="137"/>
      <c r="BF57" s="137"/>
      <c r="BG57" s="26">
        <f t="shared" si="54"/>
        <v>0</v>
      </c>
      <c r="BH57" s="44">
        <f t="shared" si="55"/>
        <v>0</v>
      </c>
      <c r="BI57" s="43">
        <f t="shared" si="56"/>
        <v>0.29411764705882348</v>
      </c>
      <c r="BJ57" s="43">
        <f t="shared" si="57"/>
        <v>0.3529411764705882</v>
      </c>
      <c r="BK57" s="43">
        <f t="shared" si="58"/>
        <v>0.41176470588235292</v>
      </c>
      <c r="BL57" s="43">
        <f t="shared" si="59"/>
        <v>0.47058823529411764</v>
      </c>
      <c r="BM57" s="43">
        <f t="shared" si="60"/>
        <v>0.52941176470588236</v>
      </c>
      <c r="BN57" s="43">
        <f t="shared" si="61"/>
        <v>0.58823529411764708</v>
      </c>
      <c r="BO57" s="43">
        <f t="shared" si="62"/>
        <v>0.64705882352941169</v>
      </c>
      <c r="BP57" s="43">
        <f t="shared" si="63"/>
        <v>0.70588235294117641</v>
      </c>
      <c r="BQ57" s="43">
        <f t="shared" si="64"/>
        <v>0.76470588235294112</v>
      </c>
      <c r="BR57" s="43">
        <f t="shared" si="65"/>
        <v>0.82352941176470584</v>
      </c>
      <c r="BS57" s="43">
        <f t="shared" si="66"/>
        <v>0.88235294117647056</v>
      </c>
      <c r="BT57" s="43">
        <f t="shared" si="67"/>
        <v>0.94117647058823528</v>
      </c>
      <c r="BU57" s="43">
        <f t="shared" si="68"/>
        <v>1</v>
      </c>
      <c r="BV57" s="239">
        <f t="shared" si="71"/>
        <v>0</v>
      </c>
      <c r="BW57" s="239">
        <f t="shared" si="70"/>
        <v>0</v>
      </c>
      <c r="BX57" s="239">
        <f t="shared" si="69"/>
        <v>0</v>
      </c>
    </row>
    <row r="58" spans="1:76" s="1" customFormat="1" ht="12.75" customHeight="1" thickBot="1" x14ac:dyDescent="0.35">
      <c r="A58" s="481"/>
      <c r="B58" s="30" t="s">
        <v>42</v>
      </c>
      <c r="C58" s="31"/>
      <c r="D58" s="38">
        <v>5660028.2779788757</v>
      </c>
      <c r="E58" s="38"/>
      <c r="F58" s="38">
        <v>4092084.3124159449</v>
      </c>
      <c r="G58" s="67">
        <v>385845.48</v>
      </c>
      <c r="H58" s="67">
        <v>0</v>
      </c>
      <c r="I58" s="67"/>
      <c r="J58" s="67"/>
      <c r="K58" s="116">
        <v>452747.86</v>
      </c>
      <c r="L58" s="116">
        <v>0</v>
      </c>
      <c r="M58" s="116"/>
      <c r="N58" s="116"/>
      <c r="O58" s="68">
        <v>370817.32</v>
      </c>
      <c r="P58" s="68">
        <v>0</v>
      </c>
      <c r="Q58" s="68"/>
      <c r="R58" s="68"/>
      <c r="S58" s="123">
        <v>396757.73</v>
      </c>
      <c r="T58" s="124">
        <v>0</v>
      </c>
      <c r="U58" s="124"/>
      <c r="V58" s="125"/>
      <c r="W58" s="67">
        <v>291785.66999999993</v>
      </c>
      <c r="X58" s="67">
        <v>0</v>
      </c>
      <c r="Y58" s="67"/>
      <c r="Z58" s="67"/>
      <c r="AA58" s="116">
        <v>471133.24000000005</v>
      </c>
      <c r="AB58" s="116">
        <v>0</v>
      </c>
      <c r="AC58" s="126"/>
      <c r="AD58" s="116"/>
      <c r="AE58" s="68">
        <v>641039</v>
      </c>
      <c r="AF58" s="68">
        <v>0</v>
      </c>
      <c r="AG58" s="68"/>
      <c r="AH58" s="117"/>
      <c r="AI58" s="123">
        <v>528906.63000000012</v>
      </c>
      <c r="AJ58" s="124">
        <v>0</v>
      </c>
      <c r="AK58" s="124"/>
      <c r="AL58" s="125"/>
      <c r="AM58" s="52">
        <v>421950.02999999991</v>
      </c>
      <c r="AN58" s="52">
        <v>0</v>
      </c>
      <c r="AO58" s="52"/>
      <c r="AP58" s="52"/>
      <c r="AQ58" s="208">
        <v>401723.83</v>
      </c>
      <c r="AR58" s="203">
        <v>0</v>
      </c>
      <c r="AS58" s="203"/>
      <c r="AT58" s="203"/>
      <c r="AU58" s="215">
        <v>401723.83</v>
      </c>
      <c r="AV58" s="215">
        <v>0</v>
      </c>
      <c r="AW58" s="215"/>
      <c r="AX58" s="215"/>
      <c r="AY58" s="133">
        <v>555885.05319699994</v>
      </c>
      <c r="AZ58" s="133">
        <v>0</v>
      </c>
      <c r="BA58" s="133"/>
      <c r="BB58" s="133"/>
      <c r="BC58" s="140">
        <f>+SUM(BC48:BC57)</f>
        <v>660890.24999999988</v>
      </c>
      <c r="BD58" s="140">
        <f>+SUM(BD48:BD57)</f>
        <v>0</v>
      </c>
      <c r="BE58" s="140"/>
      <c r="BF58" s="140"/>
      <c r="BG58" s="54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240">
        <f>SUM(BV48:BV57)</f>
        <v>10323181.06239471</v>
      </c>
      <c r="BW58" s="240">
        <f>SUM(BW48:BW57)</f>
        <v>14383.151123919413</v>
      </c>
      <c r="BX58" s="240">
        <f>SUM(BX48:BX57)</f>
        <v>4490535.1498072771</v>
      </c>
    </row>
    <row r="59" spans="1:76" s="23" customFormat="1" ht="30" customHeight="1" x14ac:dyDescent="0.25">
      <c r="A59" s="2"/>
      <c r="B59" s="21" t="s">
        <v>43</v>
      </c>
      <c r="C59" s="22"/>
      <c r="D59" s="32">
        <v>80363913.342109516</v>
      </c>
      <c r="E59" s="32"/>
      <c r="F59" s="32">
        <v>45909466.481640987</v>
      </c>
      <c r="G59" s="25">
        <v>2297920.7887920002</v>
      </c>
      <c r="H59" s="25">
        <v>0</v>
      </c>
      <c r="I59" s="25"/>
      <c r="J59" s="25"/>
      <c r="K59" s="33">
        <v>3705380.7350740549</v>
      </c>
      <c r="L59" s="33">
        <v>315949</v>
      </c>
      <c r="M59" s="33"/>
      <c r="N59" s="33"/>
      <c r="O59" s="34">
        <v>3354159.6110609998</v>
      </c>
      <c r="P59" s="34">
        <v>0</v>
      </c>
      <c r="Q59" s="34"/>
      <c r="R59" s="34"/>
      <c r="S59" s="196">
        <v>3518386.36</v>
      </c>
      <c r="T59" s="196">
        <v>0</v>
      </c>
      <c r="U59" s="196"/>
      <c r="V59" s="196"/>
      <c r="W59" s="25">
        <v>3815993.5700000003</v>
      </c>
      <c r="X59" s="25">
        <v>0</v>
      </c>
      <c r="Y59" s="25"/>
      <c r="Z59" s="25"/>
      <c r="AA59" s="33">
        <v>5590315.4300000006</v>
      </c>
      <c r="AB59" s="33">
        <v>556386.07000000007</v>
      </c>
      <c r="AC59" s="33"/>
      <c r="AD59" s="33"/>
      <c r="AE59" s="36">
        <v>6630069.3099999996</v>
      </c>
      <c r="AF59" s="34">
        <v>0</v>
      </c>
      <c r="AG59" s="34"/>
      <c r="AH59" s="34"/>
      <c r="AI59" s="196">
        <v>8798937.4638769962</v>
      </c>
      <c r="AJ59" s="196">
        <v>0</v>
      </c>
      <c r="AK59" s="196"/>
      <c r="AL59" s="196"/>
      <c r="AM59" s="197">
        <v>6243081.9319999982</v>
      </c>
      <c r="AN59" s="197">
        <v>0</v>
      </c>
      <c r="AO59" s="194"/>
      <c r="AP59" s="197"/>
      <c r="AQ59" s="209">
        <v>7546107.3088913755</v>
      </c>
      <c r="AR59" s="205">
        <v>0</v>
      </c>
      <c r="AS59" s="205"/>
      <c r="AT59" s="205"/>
      <c r="AU59" s="217">
        <v>5992528.1899999967</v>
      </c>
      <c r="AV59" s="217">
        <v>0</v>
      </c>
      <c r="AW59" s="217"/>
      <c r="AX59" s="217"/>
      <c r="AY59" s="135">
        <v>9964863.5911969952</v>
      </c>
      <c r="AZ59" s="135">
        <v>0</v>
      </c>
      <c r="BA59" s="135"/>
      <c r="BB59" s="135"/>
      <c r="BC59" s="142">
        <f>+BC58+BC47+BC45+BC13</f>
        <v>11143773.309999999</v>
      </c>
      <c r="BD59" s="142">
        <f>+BD58+BD47+BD45+BD13</f>
        <v>0</v>
      </c>
      <c r="BE59" s="142"/>
      <c r="BF59" s="142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242">
        <f>BV13+BV45+BV47+BV58</f>
        <v>143963221.04508534</v>
      </c>
      <c r="BW59" s="242">
        <f>BW13+BW45+BW47+BW58</f>
        <v>13071159.300895371</v>
      </c>
      <c r="BX59" s="242">
        <f>BX13+BX45+BX47+BX58</f>
        <v>61799531.815540284</v>
      </c>
    </row>
    <row r="60" spans="1:76" ht="12.75" customHeight="1" x14ac:dyDescent="0.25">
      <c r="A60" s="482" t="s">
        <v>46</v>
      </c>
      <c r="B60" s="483" t="s">
        <v>6</v>
      </c>
      <c r="C60" s="483"/>
      <c r="D60" s="473">
        <v>1</v>
      </c>
      <c r="E60" s="474"/>
      <c r="F60" s="475"/>
      <c r="G60" s="458">
        <v>0.73425935745407456</v>
      </c>
      <c r="H60" s="459"/>
      <c r="I60" s="459"/>
      <c r="J60" s="460"/>
      <c r="K60" s="461">
        <v>0.7223278986436179</v>
      </c>
      <c r="L60" s="462"/>
      <c r="M60" s="462"/>
      <c r="N60" s="463"/>
      <c r="O60" s="464">
        <v>0.80446415375460911</v>
      </c>
      <c r="P60" s="465"/>
      <c r="Q60" s="465"/>
      <c r="R60" s="466"/>
      <c r="S60" s="467">
        <v>0.6</v>
      </c>
      <c r="T60" s="468"/>
      <c r="U60" s="468"/>
      <c r="V60" s="469"/>
      <c r="W60" s="458">
        <v>0.88619671568982039</v>
      </c>
      <c r="X60" s="459"/>
      <c r="Y60" s="459"/>
      <c r="Z60" s="460"/>
      <c r="AA60" s="458">
        <v>0.83739907628684485</v>
      </c>
      <c r="AB60" s="459"/>
      <c r="AC60" s="459"/>
      <c r="AD60" s="460"/>
      <c r="AE60" s="458">
        <v>0.85489205145403468</v>
      </c>
      <c r="AF60" s="459"/>
      <c r="AG60" s="459"/>
      <c r="AH60" s="460"/>
      <c r="AI60" s="458">
        <v>0.860049343536328</v>
      </c>
      <c r="AJ60" s="459"/>
      <c r="AK60" s="459"/>
      <c r="AL60" s="460"/>
      <c r="AM60" s="470">
        <v>1</v>
      </c>
      <c r="AN60" s="471">
        <v>0</v>
      </c>
      <c r="AO60" s="471">
        <v>0</v>
      </c>
      <c r="AP60" s="472">
        <v>0</v>
      </c>
      <c r="AQ60" s="438">
        <v>0.96450748585106127</v>
      </c>
      <c r="AR60" s="439">
        <v>0</v>
      </c>
      <c r="AS60" s="439">
        <v>0</v>
      </c>
      <c r="AT60" s="440">
        <v>0</v>
      </c>
      <c r="AU60" s="441">
        <v>0</v>
      </c>
      <c r="AV60" s="442">
        <v>0</v>
      </c>
      <c r="AW60" s="442">
        <v>0</v>
      </c>
      <c r="AX60" s="443">
        <v>0</v>
      </c>
      <c r="AY60" s="455">
        <v>1</v>
      </c>
      <c r="AZ60" s="456">
        <v>0</v>
      </c>
      <c r="BA60" s="456">
        <v>0</v>
      </c>
      <c r="BB60" s="457">
        <v>0</v>
      </c>
      <c r="BC60" s="444">
        <v>0.90074035778042882</v>
      </c>
      <c r="BD60" s="445"/>
      <c r="BE60" s="445"/>
      <c r="BF60" s="44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</row>
    <row r="61" spans="1:76" x14ac:dyDescent="0.25">
      <c r="A61" s="482"/>
      <c r="B61" s="483" t="s">
        <v>16</v>
      </c>
      <c r="C61" s="483"/>
      <c r="D61" s="473">
        <v>1</v>
      </c>
      <c r="E61" s="474"/>
      <c r="F61" s="475"/>
      <c r="G61" s="458">
        <v>0.9125435465430991</v>
      </c>
      <c r="H61" s="459"/>
      <c r="I61" s="459"/>
      <c r="J61" s="460"/>
      <c r="K61" s="461">
        <v>0.92116040031093294</v>
      </c>
      <c r="L61" s="462"/>
      <c r="M61" s="462"/>
      <c r="N61" s="463"/>
      <c r="O61" s="464">
        <v>0.84394587985421521</v>
      </c>
      <c r="P61" s="465"/>
      <c r="Q61" s="465"/>
      <c r="R61" s="466"/>
      <c r="S61" s="467">
        <v>0.82853155879468665</v>
      </c>
      <c r="T61" s="468"/>
      <c r="U61" s="468"/>
      <c r="V61" s="469"/>
      <c r="W61" s="458">
        <v>0.8344632030650222</v>
      </c>
      <c r="X61" s="459"/>
      <c r="Y61" s="459"/>
      <c r="Z61" s="460"/>
      <c r="AA61" s="458">
        <v>0.86522075423483169</v>
      </c>
      <c r="AB61" s="459"/>
      <c r="AC61" s="459"/>
      <c r="AD61" s="460"/>
      <c r="AE61" s="458">
        <v>0.84869146746418234</v>
      </c>
      <c r="AF61" s="459"/>
      <c r="AG61" s="459"/>
      <c r="AH61" s="460"/>
      <c r="AI61" s="458">
        <v>0.85053297503209813</v>
      </c>
      <c r="AJ61" s="459"/>
      <c r="AK61" s="459"/>
      <c r="AL61" s="460"/>
      <c r="AM61" s="470">
        <v>0.70549685882258439</v>
      </c>
      <c r="AN61" s="471">
        <v>0</v>
      </c>
      <c r="AO61" s="471">
        <v>0</v>
      </c>
      <c r="AP61" s="472">
        <v>0</v>
      </c>
      <c r="AQ61" s="438">
        <v>0.81213323157668005</v>
      </c>
      <c r="AR61" s="439">
        <v>0</v>
      </c>
      <c r="AS61" s="439">
        <v>0</v>
      </c>
      <c r="AT61" s="440">
        <v>0</v>
      </c>
      <c r="AU61" s="441">
        <v>0.81704104295630753</v>
      </c>
      <c r="AV61" s="442">
        <v>0</v>
      </c>
      <c r="AW61" s="442">
        <v>0</v>
      </c>
      <c r="AX61" s="443">
        <v>0</v>
      </c>
      <c r="AY61" s="455">
        <v>0.57641338517467222</v>
      </c>
      <c r="AZ61" s="456">
        <v>0</v>
      </c>
      <c r="BA61" s="456">
        <v>0</v>
      </c>
      <c r="BB61" s="457">
        <v>0</v>
      </c>
      <c r="BC61" s="444">
        <v>0.82689288467073041</v>
      </c>
      <c r="BD61" s="445"/>
      <c r="BE61" s="445"/>
      <c r="BF61" s="44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</row>
    <row r="62" spans="1:76" x14ac:dyDescent="0.25">
      <c r="A62" s="482"/>
      <c r="B62" s="483" t="s">
        <v>35</v>
      </c>
      <c r="C62" s="483"/>
      <c r="D62" s="473">
        <v>1</v>
      </c>
      <c r="E62" s="474"/>
      <c r="F62" s="475"/>
      <c r="G62" s="458">
        <v>1</v>
      </c>
      <c r="H62" s="459"/>
      <c r="I62" s="459"/>
      <c r="J62" s="460"/>
      <c r="K62" s="461">
        <v>1</v>
      </c>
      <c r="L62" s="462"/>
      <c r="M62" s="462"/>
      <c r="N62" s="463"/>
      <c r="O62" s="464">
        <v>1</v>
      </c>
      <c r="P62" s="465"/>
      <c r="Q62" s="465"/>
      <c r="R62" s="466"/>
      <c r="S62" s="467">
        <v>1</v>
      </c>
      <c r="T62" s="468"/>
      <c r="U62" s="468"/>
      <c r="V62" s="469"/>
      <c r="W62" s="458">
        <v>0.92</v>
      </c>
      <c r="X62" s="459"/>
      <c r="Y62" s="459"/>
      <c r="Z62" s="460"/>
      <c r="AA62" s="458">
        <v>0.92000000000000015</v>
      </c>
      <c r="AB62" s="459"/>
      <c r="AC62" s="459"/>
      <c r="AD62" s="460"/>
      <c r="AE62" s="458">
        <v>0.91999999999999993</v>
      </c>
      <c r="AF62" s="459"/>
      <c r="AG62" s="459"/>
      <c r="AH62" s="460"/>
      <c r="AI62" s="458">
        <v>0.92</v>
      </c>
      <c r="AJ62" s="459"/>
      <c r="AK62" s="459"/>
      <c r="AL62" s="460"/>
      <c r="AM62" s="470">
        <v>1</v>
      </c>
      <c r="AN62" s="471">
        <v>0</v>
      </c>
      <c r="AO62" s="471">
        <v>0</v>
      </c>
      <c r="AP62" s="472">
        <v>0</v>
      </c>
      <c r="AQ62" s="438">
        <v>1</v>
      </c>
      <c r="AR62" s="439">
        <v>0</v>
      </c>
      <c r="AS62" s="439">
        <v>0</v>
      </c>
      <c r="AT62" s="440">
        <v>0</v>
      </c>
      <c r="AU62" s="441">
        <v>1</v>
      </c>
      <c r="AV62" s="442">
        <v>0</v>
      </c>
      <c r="AW62" s="442">
        <v>0</v>
      </c>
      <c r="AX62" s="443">
        <v>0</v>
      </c>
      <c r="AY62" s="455">
        <v>1</v>
      </c>
      <c r="AZ62" s="456">
        <v>0</v>
      </c>
      <c r="BA62" s="456">
        <v>0</v>
      </c>
      <c r="BB62" s="457">
        <v>0</v>
      </c>
      <c r="BC62" s="444">
        <v>0.89999999999999991</v>
      </c>
      <c r="BD62" s="445"/>
      <c r="BE62" s="445"/>
      <c r="BF62" s="44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</row>
    <row r="63" spans="1:76" x14ac:dyDescent="0.25">
      <c r="A63" s="482"/>
      <c r="B63" s="483" t="s">
        <v>44</v>
      </c>
      <c r="C63" s="483"/>
      <c r="D63" s="473">
        <v>1</v>
      </c>
      <c r="E63" s="474"/>
      <c r="F63" s="475"/>
      <c r="G63" s="458">
        <v>0.97071835077606705</v>
      </c>
      <c r="H63" s="459"/>
      <c r="I63" s="459"/>
      <c r="J63" s="460"/>
      <c r="K63" s="461">
        <v>0.94188477445260588</v>
      </c>
      <c r="L63" s="462"/>
      <c r="M63" s="462"/>
      <c r="N63" s="463"/>
      <c r="O63" s="464">
        <v>0.94459016099895221</v>
      </c>
      <c r="P63" s="465"/>
      <c r="Q63" s="465"/>
      <c r="R63" s="466"/>
      <c r="S63" s="467">
        <v>0.6</v>
      </c>
      <c r="T63" s="468"/>
      <c r="U63" s="468"/>
      <c r="V63" s="469"/>
      <c r="W63" s="458">
        <v>0.7</v>
      </c>
      <c r="X63" s="459"/>
      <c r="Y63" s="459"/>
      <c r="Z63" s="460"/>
      <c r="AA63" s="458">
        <v>0.70569406650229127</v>
      </c>
      <c r="AB63" s="459"/>
      <c r="AC63" s="459"/>
      <c r="AD63" s="460"/>
      <c r="AE63" s="458">
        <v>0.7</v>
      </c>
      <c r="AF63" s="459"/>
      <c r="AG63" s="459"/>
      <c r="AH63" s="460"/>
      <c r="AI63" s="458">
        <v>0.69999999999999984</v>
      </c>
      <c r="AJ63" s="459"/>
      <c r="AK63" s="459"/>
      <c r="AL63" s="460"/>
      <c r="AM63" s="470">
        <v>0.7296268273387243</v>
      </c>
      <c r="AN63" s="471">
        <v>0</v>
      </c>
      <c r="AO63" s="471">
        <v>0</v>
      </c>
      <c r="AP63" s="472">
        <v>0</v>
      </c>
      <c r="AQ63" s="438">
        <v>0.82679737994064006</v>
      </c>
      <c r="AR63" s="439">
        <v>0</v>
      </c>
      <c r="AS63" s="439">
        <v>0</v>
      </c>
      <c r="AT63" s="440">
        <v>0</v>
      </c>
      <c r="AU63" s="441">
        <v>0.84174754147591813</v>
      </c>
      <c r="AV63" s="442">
        <v>0</v>
      </c>
      <c r="AW63" s="442">
        <v>0</v>
      </c>
      <c r="AX63" s="443">
        <v>0</v>
      </c>
      <c r="AY63" s="455">
        <v>0.62097122171328334</v>
      </c>
      <c r="AZ63" s="456">
        <v>0</v>
      </c>
      <c r="BA63" s="456">
        <v>0</v>
      </c>
      <c r="BB63" s="457">
        <v>0</v>
      </c>
      <c r="BC63" s="444">
        <v>0.90000000000000013</v>
      </c>
      <c r="BD63" s="445"/>
      <c r="BE63" s="445"/>
      <c r="BF63" s="44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</row>
    <row r="64" spans="1:76" ht="12.75" customHeight="1" x14ac:dyDescent="0.25">
      <c r="BC64" s="225"/>
      <c r="BD64" s="225"/>
      <c r="BE64" s="225"/>
      <c r="BF64" s="225"/>
    </row>
    <row r="65" spans="4:58" x14ac:dyDescent="0.25">
      <c r="BC65" s="225"/>
      <c r="BD65" s="225"/>
      <c r="BE65" s="225"/>
      <c r="BF65" s="225"/>
    </row>
    <row r="66" spans="4:58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BC66" s="225"/>
      <c r="BD66" s="225"/>
      <c r="BE66" s="225"/>
      <c r="BF66" s="225"/>
    </row>
    <row r="67" spans="4:58" x14ac:dyDescent="0.25">
      <c r="BC67" s="225"/>
      <c r="BD67" s="225"/>
      <c r="BE67" s="225"/>
      <c r="BF67" s="225"/>
    </row>
    <row r="68" spans="4:58" ht="13.25" customHeight="1" x14ac:dyDescent="0.25">
      <c r="BC68" s="225"/>
      <c r="BD68" s="225"/>
      <c r="BE68" s="225"/>
      <c r="BF68" s="225"/>
    </row>
    <row r="69" spans="4:58" x14ac:dyDescent="0.25">
      <c r="BC69" s="225"/>
      <c r="BD69" s="225"/>
      <c r="BE69" s="225"/>
      <c r="BF69" s="225"/>
    </row>
    <row r="70" spans="4:58" ht="13.25" customHeight="1" x14ac:dyDescent="0.25">
      <c r="BC70" s="225"/>
      <c r="BD70" s="225"/>
      <c r="BE70" s="225"/>
      <c r="BF70" s="225"/>
    </row>
    <row r="71" spans="4:58" x14ac:dyDescent="0.25">
      <c r="BC71" s="225"/>
      <c r="BD71" s="225"/>
      <c r="BE71" s="225"/>
      <c r="BF71" s="225"/>
    </row>
    <row r="72" spans="4:58" x14ac:dyDescent="0.25">
      <c r="BC72" s="225"/>
      <c r="BD72" s="225"/>
      <c r="BE72" s="225"/>
      <c r="BF72" s="225"/>
    </row>
    <row r="73" spans="4:58" x14ac:dyDescent="0.25">
      <c r="BC73" s="225"/>
      <c r="BD73" s="225"/>
      <c r="BE73" s="225"/>
      <c r="BF73" s="225"/>
    </row>
    <row r="74" spans="4:58" x14ac:dyDescent="0.25">
      <c r="AU74" s="220"/>
      <c r="AV74" s="220"/>
      <c r="AW74" s="221"/>
      <c r="AX74" s="221"/>
      <c r="AY74" s="221"/>
      <c r="AZ74" s="221"/>
      <c r="BA74" s="221"/>
      <c r="BB74" s="221"/>
      <c r="BC74" s="225"/>
      <c r="BD74" s="225"/>
      <c r="BE74" s="225"/>
      <c r="BF74" s="225"/>
    </row>
    <row r="75" spans="4:58" x14ac:dyDescent="0.25">
      <c r="AU75" s="221"/>
      <c r="AV75" s="221"/>
      <c r="AW75" s="221"/>
      <c r="AX75" s="221"/>
      <c r="AY75" s="221"/>
      <c r="AZ75" s="221"/>
      <c r="BA75" s="221"/>
      <c r="BB75" s="221"/>
      <c r="BC75" s="225"/>
      <c r="BD75" s="225"/>
      <c r="BE75" s="225"/>
      <c r="BF75" s="225"/>
    </row>
    <row r="76" spans="4:58" x14ac:dyDescent="0.25">
      <c r="BC76" s="225"/>
      <c r="BD76" s="225"/>
      <c r="BE76" s="225"/>
      <c r="BF76" s="225"/>
    </row>
    <row r="77" spans="4:58" x14ac:dyDescent="0.25">
      <c r="BC77" s="225"/>
      <c r="BD77" s="225"/>
      <c r="BE77" s="225"/>
      <c r="BF77" s="225"/>
    </row>
    <row r="78" spans="4:58" x14ac:dyDescent="0.25">
      <c r="BC78" s="225"/>
      <c r="BD78" s="225"/>
      <c r="BE78" s="225"/>
      <c r="BF78" s="225"/>
    </row>
    <row r="79" spans="4:58" x14ac:dyDescent="0.25">
      <c r="BC79" s="225"/>
      <c r="BD79" s="225"/>
      <c r="BE79" s="225"/>
      <c r="BF79" s="225"/>
    </row>
    <row r="80" spans="4:58" x14ac:dyDescent="0.25">
      <c r="BC80" s="225"/>
      <c r="BD80" s="225"/>
      <c r="BE80" s="225"/>
      <c r="BF80" s="225"/>
    </row>
    <row r="81" spans="41:58" ht="13.25" customHeight="1" x14ac:dyDescent="0.25">
      <c r="AO81"/>
      <c r="AS81"/>
      <c r="BC81" s="225"/>
      <c r="BD81" s="225"/>
      <c r="BE81" s="225"/>
      <c r="BF81" s="225"/>
    </row>
    <row r="82" spans="41:58" x14ac:dyDescent="0.25">
      <c r="AO82"/>
      <c r="AS82"/>
      <c r="BC82" s="225"/>
      <c r="BD82" s="225"/>
      <c r="BE82" s="225"/>
      <c r="BF82" s="225"/>
    </row>
    <row r="83" spans="41:58" x14ac:dyDescent="0.25">
      <c r="AO83"/>
      <c r="AS83"/>
      <c r="BC83" s="225"/>
      <c r="BD83" s="225"/>
      <c r="BE83" s="225"/>
      <c r="BF83" s="225"/>
    </row>
    <row r="84" spans="41:58" x14ac:dyDescent="0.25">
      <c r="AO84"/>
      <c r="AS84"/>
      <c r="BC84" s="225"/>
      <c r="BD84" s="225"/>
      <c r="BE84" s="225"/>
      <c r="BF84" s="225"/>
    </row>
    <row r="85" spans="41:58" x14ac:dyDescent="0.25">
      <c r="AO85"/>
      <c r="AS85"/>
      <c r="BC85" s="225"/>
      <c r="BD85" s="225"/>
      <c r="BE85" s="225"/>
      <c r="BF85" s="225"/>
    </row>
    <row r="86" spans="41:58" x14ac:dyDescent="0.25">
      <c r="AO86"/>
      <c r="AS86"/>
      <c r="BC86" s="225"/>
      <c r="BD86" s="225"/>
      <c r="BE86" s="225"/>
      <c r="BF86" s="225"/>
    </row>
    <row r="87" spans="41:58" x14ac:dyDescent="0.25">
      <c r="AO87"/>
      <c r="AS87"/>
      <c r="BC87" s="225"/>
      <c r="BD87" s="225"/>
      <c r="BE87" s="225"/>
      <c r="BF87" s="225"/>
    </row>
    <row r="88" spans="41:58" x14ac:dyDescent="0.25">
      <c r="AO88"/>
      <c r="AS88"/>
      <c r="BC88" s="225"/>
      <c r="BD88" s="225"/>
      <c r="BE88" s="225"/>
      <c r="BF88" s="225"/>
    </row>
    <row r="89" spans="41:58" x14ac:dyDescent="0.25">
      <c r="AO89"/>
      <c r="AS89"/>
      <c r="BC89" s="225"/>
      <c r="BD89" s="225"/>
      <c r="BE89" s="225"/>
      <c r="BF89" s="225"/>
    </row>
    <row r="90" spans="41:58" x14ac:dyDescent="0.25">
      <c r="AO90"/>
      <c r="AS90"/>
      <c r="BC90" s="225"/>
      <c r="BD90" s="225"/>
      <c r="BE90" s="225"/>
      <c r="BF90" s="225"/>
    </row>
    <row r="91" spans="41:58" x14ac:dyDescent="0.25">
      <c r="AO91"/>
      <c r="AS91"/>
      <c r="BC91" s="225"/>
      <c r="BD91" s="225"/>
      <c r="BE91" s="225"/>
      <c r="BF91" s="225"/>
    </row>
    <row r="92" spans="41:58" x14ac:dyDescent="0.25">
      <c r="AO92"/>
      <c r="AS92"/>
      <c r="BC92" s="225"/>
      <c r="BD92" s="225"/>
      <c r="BE92" s="225"/>
      <c r="BF92" s="225"/>
    </row>
    <row r="93" spans="41:58" x14ac:dyDescent="0.25">
      <c r="AO93"/>
      <c r="AS93"/>
      <c r="BC93" s="225"/>
      <c r="BD93" s="225"/>
      <c r="BE93" s="225"/>
      <c r="BF93" s="225"/>
    </row>
    <row r="94" spans="41:58" x14ac:dyDescent="0.25">
      <c r="AO94"/>
      <c r="AS94"/>
      <c r="BC94" s="225"/>
      <c r="BD94" s="225"/>
      <c r="BE94" s="225"/>
      <c r="BF94" s="225"/>
    </row>
    <row r="95" spans="41:58" x14ac:dyDescent="0.25">
      <c r="AO95"/>
      <c r="AS95"/>
      <c r="BC95" s="225"/>
      <c r="BD95" s="225"/>
      <c r="BE95" s="225"/>
      <c r="BF95" s="225"/>
    </row>
    <row r="96" spans="41:58" x14ac:dyDescent="0.25">
      <c r="AO96"/>
      <c r="AS96"/>
      <c r="BC96" s="225"/>
      <c r="BD96" s="225"/>
      <c r="BE96" s="225"/>
      <c r="BF96" s="225"/>
    </row>
    <row r="97" spans="41:58" x14ac:dyDescent="0.25">
      <c r="AO97"/>
      <c r="AS97"/>
      <c r="BC97" s="225"/>
      <c r="BD97" s="225"/>
      <c r="BE97" s="225"/>
      <c r="BF97" s="225"/>
    </row>
    <row r="98" spans="41:58" x14ac:dyDescent="0.25">
      <c r="AO98"/>
      <c r="AS98"/>
      <c r="BC98" s="225"/>
      <c r="BD98" s="225"/>
      <c r="BE98" s="225"/>
      <c r="BF98" s="225"/>
    </row>
    <row r="99" spans="41:58" x14ac:dyDescent="0.25">
      <c r="AO99"/>
      <c r="AS99"/>
      <c r="BC99" s="225"/>
      <c r="BD99" s="225"/>
      <c r="BE99" s="225"/>
      <c r="BF99" s="225"/>
    </row>
    <row r="100" spans="41:58" x14ac:dyDescent="0.25">
      <c r="AO100"/>
      <c r="AS100"/>
      <c r="BC100" s="225"/>
      <c r="BD100" s="225"/>
      <c r="BE100" s="225"/>
      <c r="BF100" s="225"/>
    </row>
    <row r="101" spans="41:58" x14ac:dyDescent="0.25">
      <c r="AO101"/>
      <c r="AS101"/>
      <c r="BC101" s="225"/>
      <c r="BD101" s="225"/>
      <c r="BE101" s="225"/>
      <c r="BF101" s="225"/>
    </row>
    <row r="102" spans="41:58" x14ac:dyDescent="0.25">
      <c r="AO102"/>
      <c r="AS102"/>
      <c r="BC102" s="225"/>
      <c r="BD102" s="225"/>
      <c r="BE102" s="225"/>
      <c r="BF102" s="225"/>
    </row>
    <row r="103" spans="41:58" x14ac:dyDescent="0.25">
      <c r="AO103"/>
      <c r="AS103"/>
      <c r="BC103" s="225"/>
      <c r="BD103" s="225"/>
      <c r="BE103" s="225"/>
      <c r="BF103" s="225"/>
    </row>
    <row r="104" spans="41:58" x14ac:dyDescent="0.25">
      <c r="AO104"/>
      <c r="AS104"/>
      <c r="BC104" s="225"/>
      <c r="BD104" s="225"/>
      <c r="BE104" s="225"/>
      <c r="BF104" s="225"/>
    </row>
    <row r="105" spans="41:58" x14ac:dyDescent="0.25">
      <c r="AO105"/>
      <c r="AS105"/>
      <c r="BC105" s="225"/>
      <c r="BD105" s="225"/>
      <c r="BE105" s="225"/>
      <c r="BF105" s="225"/>
    </row>
    <row r="106" spans="41:58" x14ac:dyDescent="0.25">
      <c r="AO106"/>
      <c r="AS106"/>
      <c r="BC106" s="225"/>
      <c r="BD106" s="225"/>
      <c r="BE106" s="225"/>
      <c r="BF106" s="225"/>
    </row>
    <row r="107" spans="41:58" x14ac:dyDescent="0.25">
      <c r="AO107"/>
      <c r="AS107"/>
      <c r="BC107" s="225"/>
      <c r="BD107" s="225"/>
      <c r="BE107" s="225"/>
      <c r="BF107" s="225"/>
    </row>
    <row r="108" spans="41:58" x14ac:dyDescent="0.25">
      <c r="AO108"/>
      <c r="AS108"/>
      <c r="BC108" s="225"/>
      <c r="BD108" s="225"/>
      <c r="BE108" s="225"/>
      <c r="BF108" s="225"/>
    </row>
    <row r="109" spans="41:58" x14ac:dyDescent="0.25">
      <c r="AO109"/>
      <c r="AS109"/>
      <c r="BC109" s="225"/>
      <c r="BD109" s="225"/>
      <c r="BE109" s="225"/>
      <c r="BF109" s="225"/>
    </row>
    <row r="110" spans="41:58" x14ac:dyDescent="0.25">
      <c r="AO110"/>
      <c r="AS110"/>
      <c r="BC110" s="225"/>
      <c r="BD110" s="225"/>
      <c r="BE110" s="225"/>
      <c r="BF110" s="225"/>
    </row>
    <row r="111" spans="41:58" x14ac:dyDescent="0.25">
      <c r="AO111"/>
      <c r="AS111"/>
      <c r="BC111" s="225"/>
      <c r="BD111" s="225"/>
      <c r="BE111" s="225"/>
      <c r="BF111" s="225"/>
    </row>
    <row r="112" spans="41:58" x14ac:dyDescent="0.25">
      <c r="AO112"/>
      <c r="AS112"/>
      <c r="BC112" s="225"/>
      <c r="BD112" s="225"/>
      <c r="BE112" s="225"/>
      <c r="BF112" s="225"/>
    </row>
    <row r="113" spans="41:58" x14ac:dyDescent="0.25">
      <c r="AO113"/>
      <c r="AS113"/>
      <c r="BC113" s="225"/>
      <c r="BD113" s="225"/>
      <c r="BE113" s="225"/>
      <c r="BF113" s="225"/>
    </row>
    <row r="114" spans="41:58" x14ac:dyDescent="0.25">
      <c r="AO114"/>
      <c r="AS114"/>
      <c r="BC114" s="225"/>
      <c r="BD114" s="225"/>
      <c r="BE114" s="225"/>
      <c r="BF114" s="225"/>
    </row>
    <row r="115" spans="41:58" x14ac:dyDescent="0.25">
      <c r="AO115"/>
      <c r="AS115"/>
      <c r="BC115" s="225"/>
      <c r="BD115" s="225"/>
      <c r="BE115" s="225"/>
      <c r="BF115" s="225"/>
    </row>
    <row r="116" spans="41:58" x14ac:dyDescent="0.25">
      <c r="AO116"/>
      <c r="AS116"/>
      <c r="BC116" s="225"/>
      <c r="BD116" s="225"/>
      <c r="BE116" s="225"/>
      <c r="BF116" s="225"/>
    </row>
    <row r="117" spans="41:58" x14ac:dyDescent="0.25">
      <c r="AO117"/>
      <c r="AS117"/>
      <c r="BC117" s="225"/>
      <c r="BD117" s="225"/>
      <c r="BE117" s="225"/>
      <c r="BF117" s="225"/>
    </row>
    <row r="118" spans="41:58" x14ac:dyDescent="0.25">
      <c r="AO118"/>
      <c r="AS118"/>
      <c r="BC118" s="225"/>
      <c r="BD118" s="225"/>
      <c r="BE118" s="225"/>
      <c r="BF118" s="225"/>
    </row>
    <row r="119" spans="41:58" x14ac:dyDescent="0.25">
      <c r="AO119"/>
      <c r="AS119"/>
      <c r="BC119" s="225"/>
      <c r="BD119" s="225"/>
      <c r="BE119" s="225"/>
      <c r="BF119" s="225"/>
    </row>
    <row r="120" spans="41:58" x14ac:dyDescent="0.25">
      <c r="AO120"/>
      <c r="AS120"/>
      <c r="BC120" s="225"/>
      <c r="BD120" s="225"/>
      <c r="BE120" s="225"/>
      <c r="BF120" s="225"/>
    </row>
    <row r="121" spans="41:58" x14ac:dyDescent="0.25">
      <c r="AO121"/>
      <c r="AS121"/>
      <c r="BC121" s="225"/>
      <c r="BD121" s="225"/>
      <c r="BE121" s="225"/>
      <c r="BF121" s="225"/>
    </row>
    <row r="122" spans="41:58" x14ac:dyDescent="0.25">
      <c r="AO122"/>
      <c r="AS122"/>
      <c r="BC122" s="225"/>
      <c r="BD122" s="225"/>
      <c r="BE122" s="225"/>
      <c r="BF122" s="225"/>
    </row>
    <row r="123" spans="41:58" x14ac:dyDescent="0.25">
      <c r="AO123"/>
      <c r="AS123"/>
      <c r="BC123" s="225"/>
      <c r="BD123" s="225"/>
      <c r="BE123" s="225"/>
      <c r="BF123" s="225"/>
    </row>
    <row r="124" spans="41:58" x14ac:dyDescent="0.25">
      <c r="AO124"/>
      <c r="AS124"/>
      <c r="BC124" s="225"/>
      <c r="BD124" s="225"/>
      <c r="BE124" s="225"/>
      <c r="BF124" s="225"/>
    </row>
    <row r="125" spans="41:58" x14ac:dyDescent="0.25">
      <c r="AO125"/>
      <c r="AS125"/>
      <c r="BC125" s="225"/>
      <c r="BD125" s="225"/>
      <c r="BE125" s="225"/>
      <c r="BF125" s="225"/>
    </row>
    <row r="126" spans="41:58" x14ac:dyDescent="0.25">
      <c r="AO126"/>
      <c r="AS126"/>
      <c r="BC126" s="225"/>
      <c r="BD126" s="225"/>
      <c r="BE126" s="225"/>
      <c r="BF126" s="225"/>
    </row>
    <row r="127" spans="41:58" x14ac:dyDescent="0.25">
      <c r="AO127"/>
      <c r="AS127"/>
      <c r="BC127" s="225"/>
      <c r="BD127" s="225"/>
      <c r="BE127" s="225"/>
      <c r="BF127" s="225"/>
    </row>
    <row r="128" spans="41:58" x14ac:dyDescent="0.25">
      <c r="AO128"/>
      <c r="AS128"/>
      <c r="BC128" s="225"/>
      <c r="BD128" s="225"/>
      <c r="BE128" s="225"/>
      <c r="BF128" s="225"/>
    </row>
    <row r="129" spans="41:58" x14ac:dyDescent="0.25">
      <c r="AO129"/>
      <c r="AS129"/>
      <c r="BC129" s="225"/>
      <c r="BD129" s="225"/>
      <c r="BE129" s="225"/>
      <c r="BF129" s="225"/>
    </row>
    <row r="130" spans="41:58" x14ac:dyDescent="0.25">
      <c r="AO130"/>
      <c r="AS130"/>
      <c r="BC130" s="225"/>
      <c r="BD130" s="225"/>
      <c r="BE130" s="225"/>
      <c r="BF130" s="225"/>
    </row>
    <row r="131" spans="41:58" x14ac:dyDescent="0.25">
      <c r="AO131"/>
      <c r="AS131"/>
      <c r="BC131" s="225"/>
      <c r="BD131" s="225"/>
      <c r="BE131" s="225"/>
      <c r="BF131" s="225"/>
    </row>
    <row r="132" spans="41:58" x14ac:dyDescent="0.25">
      <c r="AO132"/>
      <c r="AS132"/>
      <c r="BC132" s="225"/>
      <c r="BD132" s="225"/>
      <c r="BE132" s="225"/>
      <c r="BF132" s="225"/>
    </row>
    <row r="133" spans="41:58" x14ac:dyDescent="0.25">
      <c r="AO133"/>
      <c r="AS133"/>
      <c r="BC133" s="225"/>
      <c r="BD133" s="225"/>
      <c r="BE133" s="225"/>
      <c r="BF133" s="225"/>
    </row>
    <row r="134" spans="41:58" x14ac:dyDescent="0.25">
      <c r="AO134"/>
      <c r="AS134"/>
      <c r="BC134" s="225"/>
      <c r="BD134" s="225"/>
      <c r="BE134" s="225"/>
      <c r="BF134" s="225"/>
    </row>
    <row r="135" spans="41:58" x14ac:dyDescent="0.25">
      <c r="AO135"/>
      <c r="AS135"/>
      <c r="BC135" s="225"/>
      <c r="BD135" s="225"/>
      <c r="BE135" s="225"/>
      <c r="BF135" s="225"/>
    </row>
    <row r="136" spans="41:58" x14ac:dyDescent="0.25">
      <c r="AO136"/>
      <c r="AS136"/>
      <c r="BC136" s="225"/>
      <c r="BD136" s="225"/>
      <c r="BE136" s="225"/>
      <c r="BF136" s="225"/>
    </row>
    <row r="137" spans="41:58" x14ac:dyDescent="0.25">
      <c r="AO137"/>
      <c r="AS137"/>
      <c r="BC137" s="225"/>
      <c r="BD137" s="225"/>
      <c r="BE137" s="225"/>
      <c r="BF137" s="225"/>
    </row>
    <row r="138" spans="41:58" x14ac:dyDescent="0.25">
      <c r="AO138"/>
      <c r="AS138"/>
      <c r="BC138" s="225"/>
      <c r="BD138" s="225"/>
      <c r="BE138" s="225"/>
      <c r="BF138" s="225"/>
    </row>
    <row r="139" spans="41:58" x14ac:dyDescent="0.25">
      <c r="AO139"/>
      <c r="AS139"/>
      <c r="BC139" s="225"/>
      <c r="BD139" s="225"/>
      <c r="BE139" s="225"/>
      <c r="BF139" s="225"/>
    </row>
    <row r="140" spans="41:58" x14ac:dyDescent="0.25">
      <c r="AO140"/>
      <c r="AS140"/>
      <c r="BC140" s="225"/>
      <c r="BD140" s="225"/>
      <c r="BE140" s="225"/>
      <c r="BF140" s="225"/>
    </row>
    <row r="141" spans="41:58" x14ac:dyDescent="0.25">
      <c r="AO141"/>
      <c r="AS141"/>
      <c r="BC141" s="225"/>
      <c r="BD141" s="225"/>
      <c r="BE141" s="225"/>
      <c r="BF141" s="225"/>
    </row>
    <row r="142" spans="41:58" x14ac:dyDescent="0.25">
      <c r="AO142"/>
      <c r="AS142"/>
      <c r="BC142" s="225"/>
      <c r="BD142" s="225"/>
      <c r="BE142" s="225"/>
      <c r="BF142" s="225"/>
    </row>
    <row r="143" spans="41:58" x14ac:dyDescent="0.25">
      <c r="AO143"/>
      <c r="AS143"/>
      <c r="BC143" s="225"/>
      <c r="BD143" s="225"/>
      <c r="BE143" s="225"/>
      <c r="BF143" s="225"/>
    </row>
    <row r="144" spans="41:58" x14ac:dyDescent="0.25">
      <c r="AO144"/>
      <c r="AS144"/>
      <c r="BC144" s="225"/>
      <c r="BD144" s="225"/>
      <c r="BE144" s="225"/>
      <c r="BF144" s="225"/>
    </row>
    <row r="145" spans="41:58" x14ac:dyDescent="0.25">
      <c r="AO145"/>
      <c r="AS145"/>
      <c r="BC145" s="225"/>
      <c r="BD145" s="225"/>
      <c r="BE145" s="225"/>
      <c r="BF145" s="225"/>
    </row>
    <row r="146" spans="41:58" x14ac:dyDescent="0.25">
      <c r="AO146"/>
      <c r="AS146"/>
      <c r="BC146" s="225"/>
      <c r="BD146" s="225"/>
      <c r="BE146" s="225"/>
      <c r="BF146" s="225"/>
    </row>
    <row r="147" spans="41:58" x14ac:dyDescent="0.25">
      <c r="AO147"/>
      <c r="AS147"/>
      <c r="BC147" s="225"/>
      <c r="BD147" s="225"/>
      <c r="BE147" s="225"/>
      <c r="BF147" s="225"/>
    </row>
    <row r="148" spans="41:58" x14ac:dyDescent="0.25">
      <c r="AO148"/>
      <c r="AS148"/>
      <c r="BC148" s="225"/>
      <c r="BD148" s="225"/>
      <c r="BE148" s="225"/>
      <c r="BF148" s="225"/>
    </row>
    <row r="149" spans="41:58" x14ac:dyDescent="0.25">
      <c r="AO149"/>
      <c r="AS149"/>
      <c r="BC149" s="225"/>
      <c r="BD149" s="225"/>
      <c r="BE149" s="225"/>
      <c r="BF149" s="225"/>
    </row>
    <row r="150" spans="41:58" x14ac:dyDescent="0.25">
      <c r="AO150"/>
      <c r="AS150"/>
      <c r="BC150" s="225"/>
      <c r="BD150" s="225"/>
      <c r="BE150" s="225"/>
      <c r="BF150" s="225"/>
    </row>
    <row r="151" spans="41:58" x14ac:dyDescent="0.25">
      <c r="AO151"/>
      <c r="AS151"/>
      <c r="BC151" s="225"/>
      <c r="BD151" s="225"/>
      <c r="BE151" s="225"/>
      <c r="BF151" s="225"/>
    </row>
    <row r="152" spans="41:58" x14ac:dyDescent="0.25">
      <c r="AO152"/>
      <c r="AS152"/>
      <c r="BC152" s="225"/>
      <c r="BD152" s="225"/>
      <c r="BE152" s="225"/>
      <c r="BF152" s="225"/>
    </row>
    <row r="153" spans="41:58" x14ac:dyDescent="0.25">
      <c r="AO153"/>
      <c r="AS153"/>
      <c r="BC153" s="225"/>
      <c r="BD153" s="225"/>
      <c r="BE153" s="225"/>
      <c r="BF153" s="225"/>
    </row>
    <row r="154" spans="41:58" x14ac:dyDescent="0.25">
      <c r="AO154"/>
      <c r="AS154"/>
      <c r="BC154" s="225"/>
      <c r="BD154" s="225"/>
      <c r="BE154" s="225"/>
      <c r="BF154" s="225"/>
    </row>
    <row r="155" spans="41:58" x14ac:dyDescent="0.25">
      <c r="AO155"/>
      <c r="AS155"/>
      <c r="BC155" s="225"/>
      <c r="BD155" s="225"/>
      <c r="BE155" s="225"/>
      <c r="BF155" s="225"/>
    </row>
    <row r="156" spans="41:58" x14ac:dyDescent="0.25">
      <c r="AO156"/>
      <c r="AS156"/>
      <c r="BC156" s="225"/>
      <c r="BD156" s="225"/>
      <c r="BE156" s="225"/>
      <c r="BF156" s="225"/>
    </row>
    <row r="157" spans="41:58" x14ac:dyDescent="0.25">
      <c r="AO157"/>
      <c r="AS157"/>
      <c r="BC157" s="225"/>
      <c r="BD157" s="225"/>
      <c r="BE157" s="225"/>
      <c r="BF157" s="225"/>
    </row>
    <row r="158" spans="41:58" x14ac:dyDescent="0.25">
      <c r="AO158"/>
      <c r="AS158"/>
      <c r="BC158" s="225"/>
      <c r="BD158" s="225"/>
      <c r="BE158" s="225"/>
      <c r="BF158" s="225"/>
    </row>
    <row r="159" spans="41:58" x14ac:dyDescent="0.25">
      <c r="AO159"/>
      <c r="AS159"/>
      <c r="BC159" s="225"/>
      <c r="BD159" s="225"/>
      <c r="BE159" s="225"/>
      <c r="BF159" s="225"/>
    </row>
    <row r="160" spans="41:58" x14ac:dyDescent="0.25">
      <c r="AO160"/>
      <c r="AS160"/>
      <c r="BC160" s="225"/>
      <c r="BD160" s="225"/>
      <c r="BE160" s="225"/>
      <c r="BF160" s="225"/>
    </row>
    <row r="161" spans="41:58" x14ac:dyDescent="0.25">
      <c r="AO161"/>
      <c r="AS161"/>
      <c r="BC161" s="225"/>
      <c r="BD161" s="225"/>
      <c r="BE161" s="225"/>
      <c r="BF161" s="225"/>
    </row>
    <row r="162" spans="41:58" x14ac:dyDescent="0.25">
      <c r="AO162"/>
      <c r="AS162"/>
      <c r="BC162" s="225"/>
      <c r="BD162" s="225"/>
      <c r="BE162" s="225"/>
      <c r="BF162" s="225"/>
    </row>
    <row r="163" spans="41:58" x14ac:dyDescent="0.25">
      <c r="AO163"/>
      <c r="AS163"/>
      <c r="BC163" s="225"/>
      <c r="BD163" s="225"/>
      <c r="BE163" s="225"/>
      <c r="BF163" s="225"/>
    </row>
    <row r="164" spans="41:58" x14ac:dyDescent="0.25">
      <c r="AO164"/>
      <c r="AS164"/>
      <c r="BC164" s="225"/>
      <c r="BD164" s="225"/>
      <c r="BE164" s="225"/>
      <c r="BF164" s="225"/>
    </row>
    <row r="165" spans="41:58" x14ac:dyDescent="0.25">
      <c r="AO165"/>
      <c r="AS165"/>
      <c r="BC165" s="225"/>
      <c r="BD165" s="225"/>
      <c r="BE165" s="225"/>
      <c r="BF165" s="225"/>
    </row>
    <row r="166" spans="41:58" x14ac:dyDescent="0.25">
      <c r="AO166"/>
      <c r="AS166"/>
      <c r="BC166" s="225"/>
      <c r="BD166" s="225"/>
      <c r="BE166" s="225"/>
      <c r="BF166" s="225"/>
    </row>
    <row r="167" spans="41:58" x14ac:dyDescent="0.25">
      <c r="AO167"/>
      <c r="AS167"/>
      <c r="BC167" s="225"/>
      <c r="BD167" s="225"/>
      <c r="BE167" s="225"/>
      <c r="BF167" s="225"/>
    </row>
    <row r="168" spans="41:58" x14ac:dyDescent="0.25">
      <c r="AO168"/>
      <c r="AS168"/>
      <c r="BC168" s="225"/>
      <c r="BD168" s="225"/>
      <c r="BE168" s="225"/>
      <c r="BF168" s="225"/>
    </row>
    <row r="169" spans="41:58" x14ac:dyDescent="0.25">
      <c r="AO169"/>
      <c r="AS169"/>
      <c r="BC169" s="225"/>
      <c r="BD169" s="225"/>
      <c r="BE169" s="225"/>
      <c r="BF169" s="225"/>
    </row>
    <row r="170" spans="41:58" x14ac:dyDescent="0.25">
      <c r="AO170"/>
      <c r="AS170"/>
      <c r="BC170" s="225"/>
      <c r="BD170" s="225"/>
      <c r="BE170" s="225"/>
      <c r="BF170" s="225"/>
    </row>
    <row r="171" spans="41:58" x14ac:dyDescent="0.25">
      <c r="AO171"/>
      <c r="AS171"/>
      <c r="BC171" s="225"/>
      <c r="BD171" s="225"/>
      <c r="BE171" s="225"/>
      <c r="BF171" s="225"/>
    </row>
    <row r="172" spans="41:58" x14ac:dyDescent="0.25">
      <c r="AO172"/>
      <c r="AS172"/>
      <c r="BC172" s="225"/>
      <c r="BD172" s="225"/>
      <c r="BE172" s="225"/>
      <c r="BF172" s="225"/>
    </row>
    <row r="173" spans="41:58" x14ac:dyDescent="0.25">
      <c r="AO173"/>
      <c r="AS173"/>
      <c r="BC173" s="225"/>
      <c r="BD173" s="225"/>
      <c r="BE173" s="225"/>
      <c r="BF173" s="225"/>
    </row>
    <row r="174" spans="41:58" x14ac:dyDescent="0.25">
      <c r="AO174"/>
      <c r="AS174"/>
      <c r="BC174" s="225"/>
      <c r="BD174" s="225"/>
      <c r="BE174" s="225"/>
      <c r="BF174" s="225"/>
    </row>
    <row r="175" spans="41:58" x14ac:dyDescent="0.25">
      <c r="AO175"/>
      <c r="AS175"/>
      <c r="BC175" s="225"/>
      <c r="BD175" s="225"/>
      <c r="BE175" s="225"/>
      <c r="BF175" s="225"/>
    </row>
    <row r="176" spans="41:58" x14ac:dyDescent="0.25">
      <c r="AO176"/>
      <c r="AS176"/>
      <c r="BC176" s="225"/>
      <c r="BD176" s="225"/>
      <c r="BE176" s="225"/>
      <c r="BF176" s="225"/>
    </row>
    <row r="177" spans="41:58" x14ac:dyDescent="0.25">
      <c r="AO177"/>
      <c r="AS177"/>
      <c r="BC177" s="225"/>
      <c r="BD177" s="225"/>
      <c r="BE177" s="225"/>
      <c r="BF177" s="225"/>
    </row>
    <row r="178" spans="41:58" x14ac:dyDescent="0.25">
      <c r="AO178"/>
      <c r="AS178"/>
      <c r="BC178" s="225"/>
      <c r="BD178" s="225"/>
      <c r="BE178" s="225"/>
      <c r="BF178" s="225"/>
    </row>
    <row r="179" spans="41:58" x14ac:dyDescent="0.25">
      <c r="AO179"/>
      <c r="AS179"/>
      <c r="BC179" s="225"/>
      <c r="BD179" s="225"/>
      <c r="BE179" s="225"/>
      <c r="BF179" s="225"/>
    </row>
    <row r="180" spans="41:58" x14ac:dyDescent="0.25">
      <c r="AO180"/>
      <c r="AS180"/>
      <c r="BC180" s="225"/>
      <c r="BD180" s="225"/>
      <c r="BE180" s="225"/>
      <c r="BF180" s="225"/>
    </row>
    <row r="181" spans="41:58" x14ac:dyDescent="0.25">
      <c r="AO181"/>
      <c r="AS181"/>
      <c r="BC181" s="225"/>
      <c r="BD181" s="225"/>
      <c r="BE181" s="225"/>
      <c r="BF181" s="225"/>
    </row>
    <row r="182" spans="41:58" x14ac:dyDescent="0.25">
      <c r="AO182"/>
      <c r="AS182"/>
      <c r="BC182" s="225"/>
      <c r="BD182" s="225"/>
      <c r="BE182" s="225"/>
      <c r="BF182" s="225"/>
    </row>
    <row r="183" spans="41:58" x14ac:dyDescent="0.25">
      <c r="AO183"/>
      <c r="AS183"/>
      <c r="BC183" s="225"/>
      <c r="BD183" s="225"/>
      <c r="BE183" s="225"/>
      <c r="BF183" s="225"/>
    </row>
    <row r="184" spans="41:58" x14ac:dyDescent="0.25">
      <c r="AO184"/>
      <c r="AS184"/>
      <c r="BC184" s="225"/>
      <c r="BD184" s="225"/>
      <c r="BE184" s="225"/>
      <c r="BF184" s="225"/>
    </row>
    <row r="185" spans="41:58" x14ac:dyDescent="0.25">
      <c r="AO185"/>
      <c r="AS185"/>
      <c r="BC185" s="225"/>
      <c r="BD185" s="225"/>
      <c r="BE185" s="225"/>
      <c r="BF185" s="225"/>
    </row>
    <row r="186" spans="41:58" x14ac:dyDescent="0.25">
      <c r="AO186"/>
      <c r="AS186"/>
      <c r="BC186" s="225"/>
      <c r="BD186" s="225"/>
      <c r="BE186" s="225"/>
      <c r="BF186" s="225"/>
    </row>
    <row r="187" spans="41:58" x14ac:dyDescent="0.25">
      <c r="AO187"/>
      <c r="AS187"/>
      <c r="BC187" s="225"/>
      <c r="BD187" s="225"/>
      <c r="BE187" s="225"/>
      <c r="BF187" s="225"/>
    </row>
    <row r="188" spans="41:58" x14ac:dyDescent="0.25">
      <c r="AO188"/>
      <c r="AS188"/>
      <c r="BC188" s="225"/>
      <c r="BD188" s="225"/>
      <c r="BE188" s="225"/>
      <c r="BF188" s="225"/>
    </row>
    <row r="189" spans="41:58" x14ac:dyDescent="0.25">
      <c r="AO189"/>
      <c r="AS189"/>
      <c r="BC189" s="225"/>
      <c r="BD189" s="225"/>
      <c r="BE189" s="225"/>
      <c r="BF189" s="225"/>
    </row>
    <row r="190" spans="41:58" x14ac:dyDescent="0.25">
      <c r="AO190"/>
      <c r="AS190"/>
      <c r="BC190" s="225"/>
      <c r="BD190" s="225"/>
      <c r="BE190" s="225"/>
      <c r="BF190" s="225"/>
    </row>
    <row r="191" spans="41:58" x14ac:dyDescent="0.25">
      <c r="AO191"/>
      <c r="AS191"/>
      <c r="BC191" s="225"/>
      <c r="BD191" s="225"/>
      <c r="BE191" s="225"/>
      <c r="BF191" s="225"/>
    </row>
    <row r="192" spans="41:58" x14ac:dyDescent="0.25">
      <c r="AO192"/>
      <c r="AS192"/>
      <c r="BC192" s="225"/>
      <c r="BD192" s="225"/>
      <c r="BE192" s="225"/>
      <c r="BF192" s="225"/>
    </row>
    <row r="193" spans="41:58" x14ac:dyDescent="0.25">
      <c r="AO193"/>
      <c r="AS193"/>
      <c r="BC193" s="225"/>
      <c r="BD193" s="225"/>
      <c r="BE193" s="225"/>
      <c r="BF193" s="225"/>
    </row>
    <row r="194" spans="41:58" x14ac:dyDescent="0.25">
      <c r="AO194"/>
      <c r="AS194"/>
      <c r="BC194" s="225"/>
      <c r="BD194" s="225"/>
      <c r="BE194" s="225"/>
      <c r="BF194" s="225"/>
    </row>
    <row r="195" spans="41:58" x14ac:dyDescent="0.25">
      <c r="AO195"/>
      <c r="AS195"/>
      <c r="BC195" s="225"/>
      <c r="BD195" s="225"/>
      <c r="BE195" s="225"/>
      <c r="BF195" s="225"/>
    </row>
    <row r="196" spans="41:58" x14ac:dyDescent="0.25">
      <c r="AO196"/>
      <c r="AS196"/>
      <c r="BC196" s="225"/>
      <c r="BD196" s="225"/>
      <c r="BE196" s="225"/>
      <c r="BF196" s="225"/>
    </row>
    <row r="197" spans="41:58" x14ac:dyDescent="0.25">
      <c r="AO197"/>
      <c r="AS197"/>
      <c r="BC197" s="225"/>
      <c r="BD197" s="225"/>
      <c r="BE197" s="225"/>
      <c r="BF197" s="225"/>
    </row>
    <row r="198" spans="41:58" x14ac:dyDescent="0.25">
      <c r="AO198"/>
      <c r="AS198"/>
      <c r="BC198" s="225"/>
      <c r="BD198" s="225"/>
      <c r="BE198" s="225"/>
      <c r="BF198" s="225"/>
    </row>
    <row r="199" spans="41:58" x14ac:dyDescent="0.25">
      <c r="AO199"/>
      <c r="AS199"/>
      <c r="BC199" s="225"/>
      <c r="BD199" s="225"/>
      <c r="BE199" s="225"/>
      <c r="BF199" s="225"/>
    </row>
    <row r="200" spans="41:58" x14ac:dyDescent="0.25">
      <c r="AO200"/>
      <c r="AS200"/>
      <c r="BC200" s="225"/>
      <c r="BD200" s="225"/>
      <c r="BE200" s="225"/>
      <c r="BF200" s="225"/>
    </row>
    <row r="201" spans="41:58" x14ac:dyDescent="0.25">
      <c r="AO201"/>
      <c r="AS201"/>
      <c r="BC201" s="225"/>
      <c r="BD201" s="225"/>
      <c r="BE201" s="225"/>
      <c r="BF201" s="225"/>
    </row>
    <row r="202" spans="41:58" x14ac:dyDescent="0.25">
      <c r="AO202"/>
      <c r="AS202"/>
      <c r="BC202" s="225"/>
      <c r="BD202" s="225"/>
      <c r="BE202" s="225"/>
      <c r="BF202" s="225"/>
    </row>
    <row r="203" spans="41:58" x14ac:dyDescent="0.25">
      <c r="AO203"/>
      <c r="AS203"/>
      <c r="BC203" s="225"/>
      <c r="BD203" s="225"/>
      <c r="BE203" s="225"/>
      <c r="BF203" s="225"/>
    </row>
    <row r="204" spans="41:58" x14ac:dyDescent="0.25">
      <c r="AO204"/>
      <c r="AS204"/>
      <c r="BC204" s="225"/>
      <c r="BD204" s="225"/>
      <c r="BE204" s="225"/>
      <c r="BF204" s="225"/>
    </row>
    <row r="205" spans="41:58" x14ac:dyDescent="0.25">
      <c r="AO205"/>
      <c r="AS205"/>
      <c r="BC205" s="225"/>
      <c r="BD205" s="225"/>
      <c r="BE205" s="225"/>
      <c r="BF205" s="225"/>
    </row>
    <row r="206" spans="41:58" x14ac:dyDescent="0.25">
      <c r="AO206"/>
      <c r="AS206"/>
      <c r="BC206" s="225"/>
      <c r="BD206" s="225"/>
      <c r="BE206" s="225"/>
      <c r="BF206" s="225"/>
    </row>
    <row r="207" spans="41:58" x14ac:dyDescent="0.25">
      <c r="AO207"/>
      <c r="AS207"/>
      <c r="BC207" s="225"/>
      <c r="BD207" s="225"/>
      <c r="BE207" s="225"/>
      <c r="BF207" s="225"/>
    </row>
    <row r="208" spans="41:58" x14ac:dyDescent="0.25">
      <c r="AO208"/>
      <c r="AS208"/>
      <c r="BC208" s="225"/>
      <c r="BD208" s="225"/>
      <c r="BE208" s="225"/>
      <c r="BF208" s="225"/>
    </row>
    <row r="209" spans="41:58" x14ac:dyDescent="0.25">
      <c r="AO209"/>
      <c r="AS209"/>
      <c r="BC209" s="225"/>
      <c r="BD209" s="225"/>
      <c r="BE209" s="225"/>
      <c r="BF209" s="225"/>
    </row>
    <row r="210" spans="41:58" x14ac:dyDescent="0.25">
      <c r="AO210"/>
      <c r="AS210"/>
      <c r="BC210" s="225"/>
      <c r="BD210" s="225"/>
      <c r="BE210" s="225"/>
      <c r="BF210" s="225"/>
    </row>
    <row r="211" spans="41:58" x14ac:dyDescent="0.25">
      <c r="AO211"/>
      <c r="AS211"/>
      <c r="BC211" s="225"/>
      <c r="BD211" s="225"/>
      <c r="BE211" s="225"/>
      <c r="BF211" s="225"/>
    </row>
    <row r="212" spans="41:58" x14ac:dyDescent="0.25">
      <c r="AO212"/>
      <c r="AS212"/>
      <c r="BC212" s="225"/>
      <c r="BD212" s="225"/>
      <c r="BE212" s="225"/>
      <c r="BF212" s="225"/>
    </row>
    <row r="213" spans="41:58" x14ac:dyDescent="0.25">
      <c r="AO213"/>
      <c r="AS213"/>
      <c r="BC213" s="225"/>
      <c r="BD213" s="225"/>
      <c r="BE213" s="225"/>
      <c r="BF213" s="225"/>
    </row>
    <row r="214" spans="41:58" x14ac:dyDescent="0.25">
      <c r="AO214"/>
      <c r="AS214"/>
      <c r="BC214" s="225"/>
      <c r="BD214" s="225"/>
      <c r="BE214" s="225"/>
      <c r="BF214" s="225"/>
    </row>
    <row r="215" spans="41:58" x14ac:dyDescent="0.25">
      <c r="AO215"/>
      <c r="AS215"/>
      <c r="BC215" s="225"/>
      <c r="BD215" s="225"/>
      <c r="BE215" s="225"/>
      <c r="BF215" s="225"/>
    </row>
    <row r="216" spans="41:58" x14ac:dyDescent="0.25">
      <c r="AO216"/>
      <c r="AS216"/>
      <c r="BC216" s="225"/>
      <c r="BD216" s="225"/>
      <c r="BE216" s="225"/>
      <c r="BF216" s="225"/>
    </row>
    <row r="217" spans="41:58" x14ac:dyDescent="0.25">
      <c r="AO217"/>
      <c r="AS217"/>
      <c r="BC217" s="225"/>
      <c r="BD217" s="225"/>
      <c r="BE217" s="225"/>
      <c r="BF217" s="225"/>
    </row>
    <row r="218" spans="41:58" x14ac:dyDescent="0.25">
      <c r="AO218"/>
      <c r="AS218"/>
      <c r="BC218" s="225"/>
      <c r="BD218" s="225"/>
      <c r="BE218" s="225"/>
      <c r="BF218" s="225"/>
    </row>
    <row r="219" spans="41:58" x14ac:dyDescent="0.25">
      <c r="AO219"/>
      <c r="AS219"/>
      <c r="BC219" s="225"/>
      <c r="BD219" s="225"/>
      <c r="BE219" s="225"/>
      <c r="BF219" s="225"/>
    </row>
    <row r="220" spans="41:58" x14ac:dyDescent="0.25">
      <c r="AO220"/>
      <c r="AS220"/>
      <c r="BC220" s="225"/>
      <c r="BD220" s="225"/>
      <c r="BE220" s="225"/>
      <c r="BF220" s="225"/>
    </row>
    <row r="221" spans="41:58" x14ac:dyDescent="0.25">
      <c r="AO221"/>
      <c r="AS221"/>
      <c r="BC221" s="225"/>
      <c r="BD221" s="225"/>
      <c r="BE221" s="225"/>
      <c r="BF221" s="225"/>
    </row>
    <row r="222" spans="41:58" x14ac:dyDescent="0.25">
      <c r="AO222"/>
      <c r="AS222"/>
      <c r="BC222" s="225"/>
      <c r="BD222" s="225"/>
      <c r="BE222" s="225"/>
      <c r="BF222" s="225"/>
    </row>
    <row r="223" spans="41:58" x14ac:dyDescent="0.25">
      <c r="AO223"/>
      <c r="AS223"/>
      <c r="BC223" s="225"/>
      <c r="BD223" s="225"/>
      <c r="BE223" s="225"/>
      <c r="BF223" s="225"/>
    </row>
    <row r="224" spans="41:58" x14ac:dyDescent="0.25">
      <c r="AO224"/>
      <c r="AS224"/>
      <c r="BC224" s="225"/>
      <c r="BD224" s="225"/>
      <c r="BE224" s="225"/>
      <c r="BF224" s="225"/>
    </row>
    <row r="225" spans="41:58" x14ac:dyDescent="0.25">
      <c r="AO225"/>
      <c r="AS225"/>
      <c r="BC225" s="225"/>
      <c r="BD225" s="225"/>
      <c r="BE225" s="225"/>
      <c r="BF225" s="225"/>
    </row>
    <row r="226" spans="41:58" x14ac:dyDescent="0.25">
      <c r="AO226"/>
      <c r="AS226"/>
      <c r="BC226" s="225"/>
      <c r="BD226" s="225"/>
      <c r="BE226" s="225"/>
      <c r="BF226" s="225"/>
    </row>
    <row r="227" spans="41:58" x14ac:dyDescent="0.25">
      <c r="AO227"/>
      <c r="AS227"/>
      <c r="BC227" s="225"/>
      <c r="BD227" s="225"/>
      <c r="BE227" s="225"/>
      <c r="BF227" s="225"/>
    </row>
    <row r="228" spans="41:58" x14ac:dyDescent="0.25">
      <c r="AO228"/>
      <c r="AS228"/>
      <c r="BC228" s="225"/>
      <c r="BD228" s="225"/>
      <c r="BE228" s="225"/>
      <c r="BF228" s="225"/>
    </row>
    <row r="229" spans="41:58" x14ac:dyDescent="0.25">
      <c r="AO229"/>
      <c r="AS229"/>
      <c r="BC229" s="225"/>
      <c r="BD229" s="225"/>
      <c r="BE229" s="225"/>
      <c r="BF229" s="225"/>
    </row>
    <row r="230" spans="41:58" x14ac:dyDescent="0.25">
      <c r="AO230"/>
      <c r="AS230"/>
      <c r="BC230" s="225"/>
      <c r="BD230" s="225"/>
      <c r="BE230" s="225"/>
      <c r="BF230" s="225"/>
    </row>
    <row r="231" spans="41:58" x14ac:dyDescent="0.25">
      <c r="AO231"/>
      <c r="AS231"/>
      <c r="BC231" s="225"/>
      <c r="BD231" s="225"/>
      <c r="BE231" s="225"/>
      <c r="BF231" s="225"/>
    </row>
    <row r="232" spans="41:58" x14ac:dyDescent="0.25">
      <c r="AO232"/>
      <c r="AS232"/>
      <c r="BC232" s="225"/>
      <c r="BD232" s="225"/>
      <c r="BE232" s="225"/>
      <c r="BF232" s="225"/>
    </row>
    <row r="233" spans="41:58" x14ac:dyDescent="0.25">
      <c r="AO233"/>
      <c r="AS233"/>
      <c r="BC233" s="225"/>
      <c r="BD233" s="225"/>
      <c r="BE233" s="225"/>
      <c r="BF233" s="225"/>
    </row>
    <row r="234" spans="41:58" x14ac:dyDescent="0.25">
      <c r="AO234"/>
      <c r="AS234"/>
      <c r="BC234" s="225"/>
      <c r="BD234" s="225"/>
      <c r="BE234" s="225"/>
      <c r="BF234" s="225"/>
    </row>
    <row r="235" spans="41:58" x14ac:dyDescent="0.25">
      <c r="AO235"/>
      <c r="AS235"/>
      <c r="BC235" s="225"/>
      <c r="BD235" s="225"/>
      <c r="BE235" s="225"/>
      <c r="BF235" s="225"/>
    </row>
    <row r="236" spans="41:58" x14ac:dyDescent="0.25">
      <c r="AO236"/>
      <c r="AS236"/>
      <c r="BC236" s="225"/>
      <c r="BD236" s="225"/>
      <c r="BE236" s="225"/>
      <c r="BF236" s="225"/>
    </row>
    <row r="237" spans="41:58" x14ac:dyDescent="0.25">
      <c r="AO237"/>
      <c r="AS237"/>
      <c r="BC237" s="225"/>
      <c r="BD237" s="225"/>
      <c r="BE237" s="225"/>
      <c r="BF237" s="225"/>
    </row>
    <row r="238" spans="41:58" x14ac:dyDescent="0.25">
      <c r="AO238"/>
      <c r="AS238"/>
      <c r="BC238" s="225"/>
      <c r="BD238" s="225"/>
      <c r="BE238" s="225"/>
      <c r="BF238" s="225"/>
    </row>
    <row r="239" spans="41:58" x14ac:dyDescent="0.25">
      <c r="AO239"/>
      <c r="AS239"/>
      <c r="BC239" s="225"/>
      <c r="BD239" s="225"/>
      <c r="BE239" s="225"/>
      <c r="BF239" s="225"/>
    </row>
    <row r="240" spans="41:58" x14ac:dyDescent="0.25">
      <c r="AO240"/>
      <c r="AS240"/>
      <c r="BC240" s="225"/>
      <c r="BD240" s="225"/>
      <c r="BE240" s="225"/>
      <c r="BF240" s="225"/>
    </row>
    <row r="241" spans="41:58" x14ac:dyDescent="0.25">
      <c r="AO241"/>
      <c r="AS241"/>
      <c r="BC241" s="225"/>
      <c r="BD241" s="225"/>
      <c r="BE241" s="225"/>
      <c r="BF241" s="225"/>
    </row>
    <row r="242" spans="41:58" x14ac:dyDescent="0.25">
      <c r="AO242"/>
      <c r="AS242"/>
      <c r="BC242" s="225"/>
      <c r="BD242" s="225"/>
      <c r="BE242" s="225"/>
      <c r="BF242" s="225"/>
    </row>
    <row r="243" spans="41:58" x14ac:dyDescent="0.25">
      <c r="AO243"/>
      <c r="AS243"/>
      <c r="BC243" s="225"/>
      <c r="BD243" s="225"/>
      <c r="BE243" s="225"/>
      <c r="BF243" s="225"/>
    </row>
    <row r="244" spans="41:58" x14ac:dyDescent="0.25">
      <c r="AO244"/>
      <c r="AS244"/>
      <c r="BC244" s="225"/>
      <c r="BD244" s="225"/>
      <c r="BE244" s="225"/>
      <c r="BF244" s="225"/>
    </row>
    <row r="245" spans="41:58" x14ac:dyDescent="0.25">
      <c r="AO245"/>
      <c r="AS245"/>
      <c r="BC245" s="225"/>
      <c r="BD245" s="225"/>
      <c r="BE245" s="225"/>
      <c r="BF245" s="225"/>
    </row>
    <row r="246" spans="41:58" x14ac:dyDescent="0.25">
      <c r="AO246"/>
      <c r="AS246"/>
      <c r="BC246" s="225"/>
      <c r="BD246" s="225"/>
      <c r="BE246" s="225"/>
      <c r="BF246" s="225"/>
    </row>
    <row r="247" spans="41:58" x14ac:dyDescent="0.25">
      <c r="AO247"/>
      <c r="AS247"/>
      <c r="BC247" s="225"/>
      <c r="BD247" s="225"/>
      <c r="BE247" s="225"/>
      <c r="BF247" s="225"/>
    </row>
    <row r="248" spans="41:58" x14ac:dyDescent="0.25">
      <c r="AO248"/>
      <c r="AS248"/>
      <c r="BC248" s="225"/>
      <c r="BD248" s="225"/>
      <c r="BE248" s="225"/>
      <c r="BF248" s="225"/>
    </row>
    <row r="249" spans="41:58" x14ac:dyDescent="0.25">
      <c r="AO249"/>
      <c r="AS249"/>
      <c r="BC249" s="225"/>
      <c r="BD249" s="225"/>
      <c r="BE249" s="225"/>
      <c r="BF249" s="225"/>
    </row>
    <row r="250" spans="41:58" x14ac:dyDescent="0.25">
      <c r="AO250"/>
      <c r="AS250"/>
      <c r="BC250" s="225"/>
      <c r="BD250" s="225"/>
      <c r="BE250" s="225"/>
      <c r="BF250" s="225"/>
    </row>
    <row r="251" spans="41:58" x14ac:dyDescent="0.25">
      <c r="AO251"/>
      <c r="AS251"/>
      <c r="BC251" s="225"/>
      <c r="BD251" s="225"/>
      <c r="BE251" s="225"/>
      <c r="BF251" s="225"/>
    </row>
    <row r="252" spans="41:58" x14ac:dyDescent="0.25">
      <c r="AO252"/>
      <c r="AS252"/>
      <c r="BC252" s="225"/>
      <c r="BD252" s="225"/>
      <c r="BE252" s="225"/>
      <c r="BF252" s="225"/>
    </row>
    <row r="253" spans="41:58" x14ac:dyDescent="0.25">
      <c r="AO253"/>
      <c r="AS253"/>
      <c r="BC253" s="225"/>
      <c r="BD253" s="225"/>
      <c r="BE253" s="225"/>
      <c r="BF253" s="225"/>
    </row>
    <row r="254" spans="41:58" x14ac:dyDescent="0.25">
      <c r="AO254"/>
      <c r="AS254"/>
      <c r="BC254" s="225"/>
      <c r="BD254" s="225"/>
      <c r="BE254" s="225"/>
      <c r="BF254" s="225"/>
    </row>
    <row r="255" spans="41:58" x14ac:dyDescent="0.25">
      <c r="AO255"/>
      <c r="AS255"/>
      <c r="BC255" s="225"/>
      <c r="BD255" s="225"/>
      <c r="BE255" s="225"/>
      <c r="BF255" s="225"/>
    </row>
    <row r="256" spans="41:58" x14ac:dyDescent="0.25">
      <c r="AO256"/>
      <c r="AS256"/>
      <c r="BC256" s="225"/>
      <c r="BD256" s="225"/>
      <c r="BE256" s="225"/>
      <c r="BF256" s="225"/>
    </row>
    <row r="257" spans="41:58" x14ac:dyDescent="0.25">
      <c r="AO257"/>
      <c r="AS257"/>
      <c r="BC257" s="225"/>
      <c r="BD257" s="225"/>
      <c r="BE257" s="225"/>
      <c r="BF257" s="225"/>
    </row>
    <row r="258" spans="41:58" x14ac:dyDescent="0.25">
      <c r="AO258"/>
      <c r="AS258"/>
      <c r="BC258" s="225"/>
      <c r="BD258" s="225"/>
      <c r="BE258" s="225"/>
      <c r="BF258" s="225"/>
    </row>
    <row r="259" spans="41:58" x14ac:dyDescent="0.25">
      <c r="AO259"/>
      <c r="AS259"/>
      <c r="BC259" s="225"/>
      <c r="BD259" s="225"/>
      <c r="BE259" s="225"/>
      <c r="BF259" s="225"/>
    </row>
    <row r="260" spans="41:58" x14ac:dyDescent="0.25">
      <c r="AO260"/>
      <c r="AS260"/>
      <c r="BC260" s="225"/>
      <c r="BD260" s="225"/>
      <c r="BE260" s="225"/>
      <c r="BF260" s="225"/>
    </row>
    <row r="261" spans="41:58" x14ac:dyDescent="0.25">
      <c r="AO261"/>
      <c r="AS261"/>
      <c r="BC261" s="225"/>
      <c r="BD261" s="225"/>
      <c r="BE261" s="225"/>
      <c r="BF261" s="225"/>
    </row>
    <row r="262" spans="41:58" x14ac:dyDescent="0.25">
      <c r="AO262"/>
      <c r="AS262"/>
      <c r="BC262" s="225"/>
      <c r="BD262" s="225"/>
      <c r="BE262" s="225"/>
      <c r="BF262" s="225"/>
    </row>
    <row r="263" spans="41:58" x14ac:dyDescent="0.25">
      <c r="AO263"/>
      <c r="AS263"/>
      <c r="BC263" s="225"/>
      <c r="BD263" s="225"/>
      <c r="BE263" s="225"/>
      <c r="BF263" s="225"/>
    </row>
    <row r="264" spans="41:58" x14ac:dyDescent="0.25">
      <c r="AO264"/>
      <c r="AS264"/>
      <c r="BC264" s="225"/>
      <c r="BD264" s="225"/>
      <c r="BE264" s="225"/>
      <c r="BF264" s="225"/>
    </row>
    <row r="265" spans="41:58" x14ac:dyDescent="0.25">
      <c r="AO265"/>
      <c r="AS265"/>
      <c r="BC265" s="225"/>
      <c r="BD265" s="225"/>
      <c r="BE265" s="225"/>
      <c r="BF265" s="225"/>
    </row>
    <row r="266" spans="41:58" x14ac:dyDescent="0.25">
      <c r="AO266"/>
      <c r="AS266"/>
      <c r="BC266" s="225"/>
      <c r="BD266" s="225"/>
      <c r="BE266" s="225"/>
      <c r="BF266" s="225"/>
    </row>
    <row r="267" spans="41:58" x14ac:dyDescent="0.25">
      <c r="AO267"/>
      <c r="AS267"/>
      <c r="BC267" s="225"/>
      <c r="BD267" s="225"/>
      <c r="BE267" s="225"/>
      <c r="BF267" s="225"/>
    </row>
    <row r="268" spans="41:58" x14ac:dyDescent="0.25">
      <c r="AO268"/>
      <c r="AS268"/>
      <c r="BC268" s="225"/>
      <c r="BD268" s="225"/>
      <c r="BE268" s="225"/>
      <c r="BF268" s="225"/>
    </row>
    <row r="269" spans="41:58" x14ac:dyDescent="0.25">
      <c r="AO269"/>
      <c r="AS269"/>
      <c r="BC269" s="225"/>
      <c r="BD269" s="225"/>
      <c r="BE269" s="225"/>
      <c r="BF269" s="225"/>
    </row>
    <row r="270" spans="41:58" x14ac:dyDescent="0.25">
      <c r="AO270"/>
      <c r="AS270"/>
      <c r="BC270" s="225"/>
      <c r="BD270" s="225"/>
      <c r="BE270" s="225"/>
      <c r="BF270" s="225"/>
    </row>
    <row r="271" spans="41:58" x14ac:dyDescent="0.25">
      <c r="AO271"/>
      <c r="AS271"/>
      <c r="BC271" s="225"/>
      <c r="BD271" s="225"/>
      <c r="BE271" s="225"/>
      <c r="BF271" s="225"/>
    </row>
    <row r="272" spans="41:58" x14ac:dyDescent="0.25">
      <c r="AO272"/>
      <c r="AS272"/>
      <c r="BC272" s="225"/>
      <c r="BD272" s="225"/>
      <c r="BE272" s="225"/>
      <c r="BF272" s="225"/>
    </row>
    <row r="273" spans="41:58" x14ac:dyDescent="0.25">
      <c r="AO273"/>
      <c r="AS273"/>
      <c r="BC273" s="225"/>
      <c r="BD273" s="225"/>
      <c r="BE273" s="225"/>
      <c r="BF273" s="225"/>
    </row>
    <row r="274" spans="41:58" x14ac:dyDescent="0.25">
      <c r="AO274"/>
      <c r="AS274"/>
      <c r="BC274" s="225"/>
      <c r="BD274" s="225"/>
      <c r="BE274" s="225"/>
      <c r="BF274" s="225"/>
    </row>
    <row r="275" spans="41:58" x14ac:dyDescent="0.25">
      <c r="AO275"/>
      <c r="AS275"/>
      <c r="BC275" s="225"/>
      <c r="BD275" s="225"/>
      <c r="BE275" s="225"/>
      <c r="BF275" s="225"/>
    </row>
    <row r="276" spans="41:58" x14ac:dyDescent="0.25">
      <c r="AO276"/>
      <c r="AS276"/>
      <c r="BC276" s="225"/>
      <c r="BD276" s="225"/>
      <c r="BE276" s="225"/>
      <c r="BF276" s="225"/>
    </row>
    <row r="277" spans="41:58" x14ac:dyDescent="0.25">
      <c r="AO277"/>
      <c r="AS277"/>
      <c r="BC277" s="225"/>
      <c r="BD277" s="225"/>
      <c r="BE277" s="225"/>
      <c r="BF277" s="225"/>
    </row>
    <row r="278" spans="41:58" x14ac:dyDescent="0.25">
      <c r="AO278"/>
      <c r="AS278"/>
      <c r="BC278" s="225"/>
      <c r="BD278" s="225"/>
      <c r="BE278" s="225"/>
      <c r="BF278" s="225"/>
    </row>
    <row r="279" spans="41:58" x14ac:dyDescent="0.25">
      <c r="AO279"/>
      <c r="AS279"/>
      <c r="BC279" s="225"/>
      <c r="BD279" s="225"/>
      <c r="BE279" s="225"/>
      <c r="BF279" s="225"/>
    </row>
    <row r="280" spans="41:58" x14ac:dyDescent="0.25">
      <c r="AO280"/>
      <c r="AS280"/>
      <c r="BC280" s="225"/>
      <c r="BD280" s="225"/>
      <c r="BE280" s="225"/>
      <c r="BF280" s="225"/>
    </row>
    <row r="281" spans="41:58" x14ac:dyDescent="0.25">
      <c r="AO281"/>
      <c r="AS281"/>
      <c r="BC281" s="225"/>
      <c r="BD281" s="225"/>
      <c r="BE281" s="225"/>
      <c r="BF281" s="225"/>
    </row>
    <row r="282" spans="41:58" x14ac:dyDescent="0.25">
      <c r="AO282"/>
      <c r="AS282"/>
      <c r="BC282" s="225"/>
      <c r="BD282" s="225"/>
      <c r="BE282" s="225"/>
      <c r="BF282" s="225"/>
    </row>
    <row r="283" spans="41:58" x14ac:dyDescent="0.25">
      <c r="AO283"/>
      <c r="AS283"/>
      <c r="BC283" s="225"/>
      <c r="BD283" s="225"/>
      <c r="BE283" s="225"/>
      <c r="BF283" s="225"/>
    </row>
    <row r="284" spans="41:58" x14ac:dyDescent="0.25">
      <c r="AO284"/>
      <c r="AS284"/>
      <c r="BC284" s="225"/>
      <c r="BD284" s="225"/>
      <c r="BE284" s="225"/>
      <c r="BF284" s="225"/>
    </row>
    <row r="285" spans="41:58" x14ac:dyDescent="0.25">
      <c r="AO285"/>
      <c r="AS285"/>
      <c r="BC285" s="225"/>
      <c r="BD285" s="225"/>
      <c r="BE285" s="225"/>
      <c r="BF285" s="225"/>
    </row>
    <row r="286" spans="41:58" x14ac:dyDescent="0.25">
      <c r="AO286"/>
      <c r="AS286"/>
      <c r="BC286" s="225"/>
      <c r="BD286" s="225"/>
      <c r="BE286" s="225"/>
      <c r="BF286" s="225"/>
    </row>
    <row r="287" spans="41:58" x14ac:dyDescent="0.25">
      <c r="AO287"/>
      <c r="AS287"/>
      <c r="BC287" s="225"/>
      <c r="BD287" s="225"/>
      <c r="BE287" s="225"/>
      <c r="BF287" s="225"/>
    </row>
    <row r="288" spans="41:58" x14ac:dyDescent="0.25">
      <c r="AO288"/>
      <c r="AS288"/>
      <c r="BC288" s="225"/>
      <c r="BD288" s="225"/>
      <c r="BE288" s="225"/>
      <c r="BF288" s="225"/>
    </row>
    <row r="289" spans="41:58" x14ac:dyDescent="0.25">
      <c r="AO289"/>
      <c r="AS289"/>
      <c r="BC289" s="225"/>
      <c r="BD289" s="225"/>
      <c r="BE289" s="225"/>
      <c r="BF289" s="225"/>
    </row>
    <row r="290" spans="41:58" x14ac:dyDescent="0.25">
      <c r="AO290"/>
      <c r="AS290"/>
      <c r="BC290" s="225"/>
      <c r="BD290" s="225"/>
      <c r="BE290" s="225"/>
      <c r="BF290" s="225"/>
    </row>
    <row r="291" spans="41:58" x14ac:dyDescent="0.25">
      <c r="AO291"/>
      <c r="AS291"/>
      <c r="BC291" s="225"/>
      <c r="BD291" s="225"/>
      <c r="BE291" s="225"/>
      <c r="BF291" s="225"/>
    </row>
    <row r="292" spans="41:58" x14ac:dyDescent="0.25">
      <c r="AO292"/>
      <c r="AS292"/>
      <c r="BC292" s="225"/>
      <c r="BD292" s="225"/>
      <c r="BE292" s="225"/>
      <c r="BF292" s="225"/>
    </row>
    <row r="293" spans="41:58" x14ac:dyDescent="0.25">
      <c r="AO293"/>
      <c r="AS293"/>
      <c r="BC293" s="225"/>
      <c r="BD293" s="225"/>
      <c r="BE293" s="225"/>
      <c r="BF293" s="225"/>
    </row>
    <row r="294" spans="41:58" x14ac:dyDescent="0.25">
      <c r="AO294"/>
      <c r="AS294"/>
      <c r="BC294" s="225"/>
      <c r="BD294" s="225"/>
      <c r="BE294" s="225"/>
      <c r="BF294" s="225"/>
    </row>
    <row r="295" spans="41:58" x14ac:dyDescent="0.25">
      <c r="AO295"/>
      <c r="AS295"/>
      <c r="BC295" s="225"/>
      <c r="BD295" s="225"/>
      <c r="BE295" s="225"/>
      <c r="BF295" s="225"/>
    </row>
    <row r="296" spans="41:58" x14ac:dyDescent="0.25">
      <c r="AO296"/>
      <c r="AS296"/>
      <c r="BC296" s="225"/>
      <c r="BD296" s="225"/>
      <c r="BE296" s="225"/>
      <c r="BF296" s="225"/>
    </row>
    <row r="297" spans="41:58" x14ac:dyDescent="0.25">
      <c r="AO297"/>
      <c r="AS297"/>
      <c r="BC297" s="225"/>
      <c r="BD297" s="225"/>
      <c r="BE297" s="225"/>
      <c r="BF297" s="225"/>
    </row>
    <row r="298" spans="41:58" x14ac:dyDescent="0.25">
      <c r="AO298"/>
      <c r="AS298"/>
      <c r="BC298" s="225"/>
      <c r="BD298" s="225"/>
      <c r="BE298" s="225"/>
      <c r="BF298" s="225"/>
    </row>
    <row r="299" spans="41:58" x14ac:dyDescent="0.25">
      <c r="AO299"/>
      <c r="AS299"/>
      <c r="BC299" s="225"/>
      <c r="BD299" s="225"/>
      <c r="BE299" s="225"/>
      <c r="BF299" s="225"/>
    </row>
    <row r="300" spans="41:58" x14ac:dyDescent="0.25">
      <c r="AO300"/>
      <c r="AS300"/>
      <c r="BC300" s="225"/>
      <c r="BD300" s="225"/>
      <c r="BE300" s="225"/>
      <c r="BF300" s="225"/>
    </row>
    <row r="301" spans="41:58" x14ac:dyDescent="0.25">
      <c r="AO301"/>
      <c r="AS301"/>
      <c r="BC301" s="225"/>
      <c r="BD301" s="225"/>
      <c r="BE301" s="225"/>
      <c r="BF301" s="225"/>
    </row>
    <row r="302" spans="41:58" x14ac:dyDescent="0.25">
      <c r="AO302"/>
      <c r="AS302"/>
      <c r="BC302" s="225"/>
      <c r="BD302" s="225"/>
      <c r="BE302" s="225"/>
      <c r="BF302" s="225"/>
    </row>
    <row r="303" spans="41:58" x14ac:dyDescent="0.25">
      <c r="AO303"/>
      <c r="AS303"/>
      <c r="BC303" s="225"/>
      <c r="BD303" s="225"/>
      <c r="BE303" s="225"/>
      <c r="BF303" s="225"/>
    </row>
    <row r="304" spans="41:58" x14ac:dyDescent="0.25">
      <c r="AO304"/>
      <c r="AS304"/>
      <c r="BC304" s="225"/>
      <c r="BD304" s="225"/>
      <c r="BE304" s="225"/>
      <c r="BF304" s="225"/>
    </row>
    <row r="305" spans="41:58" x14ac:dyDescent="0.25">
      <c r="AO305"/>
      <c r="AS305"/>
      <c r="BC305" s="225"/>
      <c r="BD305" s="225"/>
      <c r="BE305" s="225"/>
      <c r="BF305" s="225"/>
    </row>
    <row r="306" spans="41:58" x14ac:dyDescent="0.25">
      <c r="AO306"/>
      <c r="AS306"/>
      <c r="BC306" s="225"/>
      <c r="BD306" s="225"/>
      <c r="BE306" s="225"/>
      <c r="BF306" s="225"/>
    </row>
    <row r="307" spans="41:58" x14ac:dyDescent="0.25">
      <c r="AO307"/>
      <c r="AS307"/>
      <c r="BC307" s="225"/>
      <c r="BD307" s="225"/>
      <c r="BE307" s="225"/>
      <c r="BF307" s="225"/>
    </row>
    <row r="308" spans="41:58" x14ac:dyDescent="0.25">
      <c r="AO308"/>
      <c r="AS308"/>
      <c r="BC308" s="225"/>
      <c r="BD308" s="225"/>
      <c r="BE308" s="225"/>
      <c r="BF308" s="225"/>
    </row>
    <row r="309" spans="41:58" x14ac:dyDescent="0.25">
      <c r="AO309"/>
      <c r="AS309"/>
      <c r="BC309" s="225"/>
      <c r="BD309" s="225"/>
      <c r="BE309" s="225"/>
      <c r="BF309" s="225"/>
    </row>
    <row r="310" spans="41:58" x14ac:dyDescent="0.25">
      <c r="AO310"/>
      <c r="AS310"/>
      <c r="BC310" s="225"/>
      <c r="BD310" s="225"/>
      <c r="BE310" s="225"/>
      <c r="BF310" s="225"/>
    </row>
    <row r="311" spans="41:58" x14ac:dyDescent="0.25">
      <c r="AO311"/>
      <c r="AS311"/>
      <c r="BC311" s="225"/>
      <c r="BD311" s="225"/>
      <c r="BE311" s="225"/>
      <c r="BF311" s="225"/>
    </row>
    <row r="312" spans="41:58" x14ac:dyDescent="0.25">
      <c r="AO312"/>
      <c r="AS312"/>
      <c r="BC312" s="225"/>
      <c r="BD312" s="225"/>
      <c r="BE312" s="225"/>
      <c r="BF312" s="225"/>
    </row>
    <row r="313" spans="41:58" x14ac:dyDescent="0.25">
      <c r="AO313"/>
      <c r="AS313"/>
      <c r="BC313" s="225"/>
      <c r="BD313" s="225"/>
      <c r="BE313" s="225"/>
      <c r="BF313" s="225"/>
    </row>
    <row r="314" spans="41:58" x14ac:dyDescent="0.25">
      <c r="AO314"/>
      <c r="AS314"/>
      <c r="BC314" s="225"/>
      <c r="BD314" s="225"/>
      <c r="BE314" s="225"/>
      <c r="BF314" s="225"/>
    </row>
    <row r="315" spans="41:58" x14ac:dyDescent="0.25">
      <c r="AO315"/>
      <c r="AS315"/>
      <c r="BC315" s="225"/>
      <c r="BD315" s="225"/>
      <c r="BE315" s="225"/>
      <c r="BF315" s="225"/>
    </row>
    <row r="316" spans="41:58" x14ac:dyDescent="0.25">
      <c r="AO316"/>
      <c r="AS316"/>
      <c r="BC316" s="225"/>
      <c r="BD316" s="225"/>
      <c r="BE316" s="225"/>
      <c r="BF316" s="225"/>
    </row>
    <row r="317" spans="41:58" x14ac:dyDescent="0.25">
      <c r="AO317"/>
      <c r="AS317"/>
      <c r="BC317" s="225"/>
      <c r="BD317" s="225"/>
      <c r="BE317" s="225"/>
      <c r="BF317" s="225"/>
    </row>
    <row r="318" spans="41:58" x14ac:dyDescent="0.25">
      <c r="AO318"/>
      <c r="AS318"/>
      <c r="BC318" s="225"/>
      <c r="BD318" s="225"/>
      <c r="BE318" s="225"/>
      <c r="BF318" s="225"/>
    </row>
    <row r="319" spans="41:58" x14ac:dyDescent="0.25">
      <c r="AO319"/>
      <c r="AS319"/>
      <c r="BC319" s="225"/>
      <c r="BD319" s="225"/>
      <c r="BE319" s="225"/>
      <c r="BF319" s="225"/>
    </row>
    <row r="320" spans="41:58" x14ac:dyDescent="0.25">
      <c r="AO320"/>
      <c r="AS320"/>
      <c r="BC320" s="225"/>
      <c r="BD320" s="225"/>
      <c r="BE320" s="225"/>
      <c r="BF320" s="225"/>
    </row>
    <row r="321" spans="41:58" x14ac:dyDescent="0.25">
      <c r="AO321"/>
      <c r="AS321"/>
      <c r="BC321" s="225"/>
      <c r="BD321" s="225"/>
      <c r="BE321" s="225"/>
      <c r="BF321" s="225"/>
    </row>
    <row r="322" spans="41:58" x14ac:dyDescent="0.25">
      <c r="AO322"/>
      <c r="AS322"/>
      <c r="BC322" s="225"/>
      <c r="BD322" s="225"/>
      <c r="BE322" s="225"/>
      <c r="BF322" s="225"/>
    </row>
    <row r="323" spans="41:58" x14ac:dyDescent="0.25">
      <c r="AO323"/>
      <c r="AS323"/>
      <c r="BC323" s="225"/>
      <c r="BD323" s="225"/>
      <c r="BE323" s="225"/>
      <c r="BF323" s="225"/>
    </row>
    <row r="324" spans="41:58" x14ac:dyDescent="0.25">
      <c r="AO324"/>
      <c r="AS324"/>
      <c r="BC324" s="225"/>
      <c r="BD324" s="225"/>
      <c r="BE324" s="225"/>
      <c r="BF324" s="225"/>
    </row>
    <row r="325" spans="41:58" x14ac:dyDescent="0.25">
      <c r="AO325"/>
      <c r="AS325"/>
      <c r="BC325" s="225"/>
      <c r="BD325" s="225"/>
      <c r="BE325" s="225"/>
      <c r="BF325" s="225"/>
    </row>
    <row r="326" spans="41:58" x14ac:dyDescent="0.25">
      <c r="AO326"/>
      <c r="AS326"/>
      <c r="BC326" s="225"/>
      <c r="BD326" s="225"/>
      <c r="BE326" s="225"/>
      <c r="BF326" s="225"/>
    </row>
    <row r="327" spans="41:58" x14ac:dyDescent="0.25">
      <c r="AO327"/>
      <c r="AS327"/>
      <c r="BC327" s="225"/>
      <c r="BD327" s="225"/>
      <c r="BE327" s="225"/>
      <c r="BF327" s="225"/>
    </row>
    <row r="328" spans="41:58" x14ac:dyDescent="0.25">
      <c r="AO328"/>
      <c r="AS328"/>
      <c r="BC328" s="225"/>
      <c r="BD328" s="225"/>
      <c r="BE328" s="225"/>
      <c r="BF328" s="225"/>
    </row>
    <row r="329" spans="41:58" x14ac:dyDescent="0.25">
      <c r="AO329"/>
      <c r="AS329"/>
      <c r="BC329" s="225"/>
      <c r="BD329" s="225"/>
      <c r="BE329" s="225"/>
      <c r="BF329" s="225"/>
    </row>
    <row r="330" spans="41:58" x14ac:dyDescent="0.25">
      <c r="AO330"/>
      <c r="AS330"/>
      <c r="BC330" s="225"/>
      <c r="BD330" s="225"/>
      <c r="BE330" s="225"/>
      <c r="BF330" s="225"/>
    </row>
    <row r="331" spans="41:58" x14ac:dyDescent="0.25">
      <c r="AO331"/>
      <c r="AS331"/>
      <c r="BC331" s="225"/>
      <c r="BD331" s="225"/>
      <c r="BE331" s="225"/>
      <c r="BF331" s="225"/>
    </row>
    <row r="332" spans="41:58" x14ac:dyDescent="0.25">
      <c r="AO332"/>
      <c r="AS332"/>
      <c r="BC332" s="225"/>
      <c r="BD332" s="225"/>
      <c r="BE332" s="225"/>
      <c r="BF332" s="225"/>
    </row>
    <row r="333" spans="41:58" x14ac:dyDescent="0.25">
      <c r="AO333"/>
      <c r="AS333"/>
      <c r="BC333" s="225"/>
      <c r="BD333" s="225"/>
      <c r="BE333" s="225"/>
      <c r="BF333" s="225"/>
    </row>
    <row r="334" spans="41:58" x14ac:dyDescent="0.25">
      <c r="AO334"/>
      <c r="AS334"/>
      <c r="BC334" s="225"/>
      <c r="BD334" s="225"/>
      <c r="BE334" s="225"/>
      <c r="BF334" s="225"/>
    </row>
    <row r="335" spans="41:58" x14ac:dyDescent="0.25">
      <c r="AO335"/>
      <c r="AS335"/>
      <c r="BC335" s="225"/>
      <c r="BD335" s="225"/>
      <c r="BE335" s="225"/>
      <c r="BF335" s="225"/>
    </row>
    <row r="336" spans="41:58" x14ac:dyDescent="0.25">
      <c r="AO336"/>
      <c r="AS336"/>
      <c r="BC336" s="225"/>
      <c r="BD336" s="225"/>
      <c r="BE336" s="225"/>
      <c r="BF336" s="225"/>
    </row>
    <row r="337" spans="41:58" x14ac:dyDescent="0.25">
      <c r="AO337"/>
      <c r="AS337"/>
      <c r="BC337" s="225"/>
      <c r="BD337" s="225"/>
      <c r="BE337" s="225"/>
      <c r="BF337" s="225"/>
    </row>
    <row r="338" spans="41:58" x14ac:dyDescent="0.25">
      <c r="AO338"/>
      <c r="AS338"/>
      <c r="BC338" s="225"/>
      <c r="BD338" s="225"/>
      <c r="BE338" s="225"/>
      <c r="BF338" s="225"/>
    </row>
    <row r="339" spans="41:58" x14ac:dyDescent="0.25">
      <c r="AO339"/>
      <c r="AS339"/>
      <c r="BC339" s="225"/>
      <c r="BD339" s="225"/>
      <c r="BE339" s="225"/>
      <c r="BF339" s="225"/>
    </row>
    <row r="340" spans="41:58" x14ac:dyDescent="0.25">
      <c r="AO340"/>
      <c r="AS340"/>
      <c r="BC340" s="225"/>
      <c r="BD340" s="225"/>
      <c r="BE340" s="225"/>
      <c r="BF340" s="225"/>
    </row>
    <row r="341" spans="41:58" x14ac:dyDescent="0.25">
      <c r="AO341"/>
      <c r="AS341"/>
      <c r="BC341" s="225"/>
      <c r="BD341" s="225"/>
      <c r="BE341" s="225"/>
      <c r="BF341" s="225"/>
    </row>
    <row r="342" spans="41:58" x14ac:dyDescent="0.25">
      <c r="AO342"/>
      <c r="AS342"/>
      <c r="BC342" s="225"/>
      <c r="BD342" s="225"/>
      <c r="BE342" s="225"/>
      <c r="BF342" s="225"/>
    </row>
    <row r="343" spans="41:58" x14ac:dyDescent="0.25">
      <c r="AO343"/>
      <c r="AS343"/>
      <c r="BC343" s="225"/>
      <c r="BD343" s="225"/>
      <c r="BE343" s="225"/>
      <c r="BF343" s="225"/>
    </row>
    <row r="344" spans="41:58" x14ac:dyDescent="0.25">
      <c r="AO344"/>
      <c r="AS344"/>
      <c r="BC344" s="225"/>
      <c r="BD344" s="225"/>
      <c r="BE344" s="225"/>
      <c r="BF344" s="225"/>
    </row>
    <row r="345" spans="41:58" x14ac:dyDescent="0.25">
      <c r="AO345"/>
      <c r="AS345"/>
      <c r="BC345" s="225"/>
      <c r="BD345" s="225"/>
      <c r="BE345" s="225"/>
      <c r="BF345" s="225"/>
    </row>
    <row r="346" spans="41:58" x14ac:dyDescent="0.25">
      <c r="AO346"/>
      <c r="AS346"/>
      <c r="BC346" s="225"/>
      <c r="BD346" s="225"/>
      <c r="BE346" s="225"/>
      <c r="BF346" s="225"/>
    </row>
    <row r="347" spans="41:58" x14ac:dyDescent="0.25">
      <c r="AO347"/>
      <c r="AS347"/>
      <c r="BC347" s="225"/>
      <c r="BD347" s="225"/>
      <c r="BE347" s="225"/>
      <c r="BF347" s="225"/>
    </row>
    <row r="348" spans="41:58" x14ac:dyDescent="0.25">
      <c r="AO348"/>
      <c r="AS348"/>
      <c r="BC348" s="225"/>
      <c r="BD348" s="225"/>
      <c r="BE348" s="225"/>
      <c r="BF348" s="225"/>
    </row>
    <row r="349" spans="41:58" x14ac:dyDescent="0.25">
      <c r="AO349"/>
      <c r="AS349"/>
      <c r="BC349" s="225"/>
      <c r="BD349" s="225"/>
      <c r="BE349" s="225"/>
      <c r="BF349" s="225"/>
    </row>
    <row r="350" spans="41:58" x14ac:dyDescent="0.25">
      <c r="AO350"/>
      <c r="AS350"/>
      <c r="BC350" s="225"/>
      <c r="BD350" s="225"/>
      <c r="BE350" s="225"/>
      <c r="BF350" s="225"/>
    </row>
    <row r="351" spans="41:58" x14ac:dyDescent="0.25">
      <c r="AO351"/>
      <c r="AS351"/>
      <c r="BC351" s="225"/>
      <c r="BD351" s="225"/>
      <c r="BE351" s="225"/>
      <c r="BF351" s="225"/>
    </row>
    <row r="352" spans="41:58" x14ac:dyDescent="0.25">
      <c r="AO352"/>
      <c r="AS352"/>
      <c r="BC352" s="225"/>
      <c r="BD352" s="225"/>
      <c r="BE352" s="225"/>
      <c r="BF352" s="225"/>
    </row>
    <row r="353" spans="41:58" x14ac:dyDescent="0.25">
      <c r="AO353"/>
      <c r="AS353"/>
      <c r="BC353" s="225"/>
      <c r="BD353" s="225"/>
      <c r="BE353" s="225"/>
      <c r="BF353" s="225"/>
    </row>
    <row r="354" spans="41:58" x14ac:dyDescent="0.25">
      <c r="AO354"/>
      <c r="AS354"/>
      <c r="BC354" s="225"/>
      <c r="BD354" s="225"/>
      <c r="BE354" s="225"/>
      <c r="BF354" s="225"/>
    </row>
    <row r="355" spans="41:58" x14ac:dyDescent="0.25">
      <c r="AO355"/>
      <c r="AS355"/>
      <c r="BC355" s="225"/>
      <c r="BD355" s="225"/>
      <c r="BE355" s="225"/>
      <c r="BF355" s="225"/>
    </row>
    <row r="356" spans="41:58" x14ac:dyDescent="0.25">
      <c r="AO356"/>
      <c r="AS356"/>
      <c r="BC356" s="225"/>
      <c r="BD356" s="225"/>
      <c r="BE356" s="225"/>
      <c r="BF356" s="225"/>
    </row>
    <row r="357" spans="41:58" x14ac:dyDescent="0.25">
      <c r="AO357"/>
      <c r="AS357"/>
      <c r="BC357" s="225"/>
      <c r="BD357" s="225"/>
      <c r="BE357" s="225"/>
      <c r="BF357" s="225"/>
    </row>
    <row r="358" spans="41:58" x14ac:dyDescent="0.25">
      <c r="AO358"/>
      <c r="AS358"/>
      <c r="BC358" s="225"/>
      <c r="BD358" s="225"/>
      <c r="BE358" s="225"/>
      <c r="BF358" s="225"/>
    </row>
    <row r="359" spans="41:58" x14ac:dyDescent="0.25">
      <c r="AO359"/>
      <c r="AS359"/>
      <c r="BC359" s="225"/>
      <c r="BD359" s="225"/>
      <c r="BE359" s="225"/>
      <c r="BF359" s="225"/>
    </row>
    <row r="360" spans="41:58" x14ac:dyDescent="0.25">
      <c r="AO360"/>
      <c r="AS360"/>
      <c r="BC360" s="225"/>
      <c r="BD360" s="225"/>
      <c r="BE360" s="225"/>
      <c r="BF360" s="225"/>
    </row>
    <row r="361" spans="41:58" x14ac:dyDescent="0.25">
      <c r="AO361"/>
      <c r="AS361"/>
      <c r="BC361" s="225"/>
      <c r="BD361" s="225"/>
      <c r="BE361" s="225"/>
      <c r="BF361" s="225"/>
    </row>
    <row r="362" spans="41:58" x14ac:dyDescent="0.25">
      <c r="AO362"/>
      <c r="AS362"/>
      <c r="BC362" s="225"/>
      <c r="BD362" s="225"/>
      <c r="BE362" s="225"/>
      <c r="BF362" s="225"/>
    </row>
    <row r="363" spans="41:58" x14ac:dyDescent="0.25">
      <c r="AO363"/>
      <c r="AS363"/>
      <c r="BC363" s="225"/>
      <c r="BD363" s="225"/>
      <c r="BE363" s="225"/>
      <c r="BF363" s="225"/>
    </row>
    <row r="364" spans="41:58" x14ac:dyDescent="0.25">
      <c r="AO364"/>
      <c r="AS364"/>
      <c r="BC364" s="225"/>
      <c r="BD364" s="225"/>
      <c r="BE364" s="225"/>
      <c r="BF364" s="225"/>
    </row>
    <row r="365" spans="41:58" x14ac:dyDescent="0.25">
      <c r="AO365"/>
      <c r="AS365"/>
      <c r="BC365" s="225"/>
      <c r="BD365" s="225"/>
      <c r="BE365" s="225"/>
      <c r="BF365" s="225"/>
    </row>
    <row r="366" spans="41:58" x14ac:dyDescent="0.25">
      <c r="AO366"/>
      <c r="AS366"/>
      <c r="BC366" s="225"/>
      <c r="BD366" s="225"/>
      <c r="BE366" s="225"/>
      <c r="BF366" s="225"/>
    </row>
    <row r="367" spans="41:58" x14ac:dyDescent="0.25">
      <c r="AO367"/>
      <c r="AS367"/>
      <c r="BC367" s="225"/>
      <c r="BD367" s="225"/>
      <c r="BE367" s="225"/>
      <c r="BF367" s="225"/>
    </row>
    <row r="368" spans="41:58" x14ac:dyDescent="0.25">
      <c r="AO368"/>
      <c r="AS368"/>
      <c r="BC368" s="225"/>
      <c r="BD368" s="225"/>
      <c r="BE368" s="225"/>
      <c r="BF368" s="225"/>
    </row>
    <row r="369" spans="41:58" x14ac:dyDescent="0.25">
      <c r="AO369"/>
      <c r="AS369"/>
      <c r="BC369" s="225"/>
      <c r="BD369" s="225"/>
      <c r="BE369" s="225"/>
      <c r="BF369" s="225"/>
    </row>
    <row r="370" spans="41:58" x14ac:dyDescent="0.25">
      <c r="AO370"/>
      <c r="AS370"/>
      <c r="BC370" s="225"/>
      <c r="BD370" s="225"/>
      <c r="BE370" s="225"/>
      <c r="BF370" s="225"/>
    </row>
    <row r="371" spans="41:58" x14ac:dyDescent="0.25">
      <c r="AO371"/>
      <c r="AS371"/>
      <c r="BC371" s="225"/>
      <c r="BD371" s="225"/>
      <c r="BE371" s="225"/>
      <c r="BF371" s="225"/>
    </row>
    <row r="372" spans="41:58" x14ac:dyDescent="0.25">
      <c r="AO372"/>
      <c r="AS372"/>
      <c r="BC372" s="225"/>
      <c r="BD372" s="225"/>
      <c r="BE372" s="225"/>
      <c r="BF372" s="225"/>
    </row>
    <row r="373" spans="41:58" x14ac:dyDescent="0.25">
      <c r="AO373"/>
      <c r="AS373"/>
      <c r="BC373" s="225"/>
      <c r="BD373" s="225"/>
      <c r="BE373" s="225"/>
      <c r="BF373" s="225"/>
    </row>
    <row r="374" spans="41:58" x14ac:dyDescent="0.25">
      <c r="AO374"/>
      <c r="AS374"/>
      <c r="BC374" s="225"/>
      <c r="BD374" s="225"/>
      <c r="BE374" s="225"/>
      <c r="BF374" s="225"/>
    </row>
    <row r="375" spans="41:58" x14ac:dyDescent="0.25">
      <c r="AO375"/>
      <c r="AS375"/>
      <c r="BC375" s="225"/>
      <c r="BD375" s="225"/>
      <c r="BE375" s="225"/>
      <c r="BF375" s="225"/>
    </row>
    <row r="376" spans="41:58" x14ac:dyDescent="0.25">
      <c r="AO376"/>
      <c r="AS376"/>
      <c r="BC376" s="225"/>
      <c r="BD376" s="225"/>
      <c r="BE376" s="225"/>
      <c r="BF376" s="225"/>
    </row>
    <row r="377" spans="41:58" x14ac:dyDescent="0.25">
      <c r="AO377"/>
      <c r="AS377"/>
      <c r="BC377" s="225"/>
      <c r="BD377" s="225"/>
      <c r="BE377" s="225"/>
      <c r="BF377" s="225"/>
    </row>
    <row r="378" spans="41:58" x14ac:dyDescent="0.25">
      <c r="AO378"/>
      <c r="AS378"/>
      <c r="BC378" s="225"/>
      <c r="BD378" s="225"/>
      <c r="BE378" s="225"/>
      <c r="BF378" s="225"/>
    </row>
    <row r="379" spans="41:58" x14ac:dyDescent="0.25">
      <c r="AO379"/>
      <c r="AS379"/>
      <c r="BC379" s="225"/>
      <c r="BD379" s="225"/>
      <c r="BE379" s="225"/>
      <c r="BF379" s="225"/>
    </row>
    <row r="380" spans="41:58" x14ac:dyDescent="0.25">
      <c r="AO380"/>
      <c r="AS380"/>
      <c r="BC380" s="225"/>
      <c r="BD380" s="225"/>
      <c r="BE380" s="225"/>
      <c r="BF380" s="225"/>
    </row>
    <row r="381" spans="41:58" x14ac:dyDescent="0.25">
      <c r="AO381"/>
      <c r="AS381"/>
      <c r="BC381" s="225"/>
      <c r="BD381" s="225"/>
      <c r="BE381" s="225"/>
      <c r="BF381" s="225"/>
    </row>
    <row r="382" spans="41:58" x14ac:dyDescent="0.25">
      <c r="AO382"/>
      <c r="AS382"/>
      <c r="BC382" s="225"/>
      <c r="BD382" s="225"/>
      <c r="BE382" s="225"/>
      <c r="BF382" s="225"/>
    </row>
    <row r="383" spans="41:58" x14ac:dyDescent="0.25">
      <c r="AO383"/>
      <c r="AS383"/>
      <c r="BC383" s="225"/>
      <c r="BD383" s="225"/>
      <c r="BE383" s="225"/>
      <c r="BF383" s="225"/>
    </row>
    <row r="384" spans="41:58" x14ac:dyDescent="0.25">
      <c r="AO384"/>
      <c r="AS384"/>
      <c r="BC384" s="225"/>
      <c r="BD384" s="225"/>
      <c r="BE384" s="225"/>
      <c r="BF384" s="225"/>
    </row>
    <row r="385" spans="41:58" x14ac:dyDescent="0.25">
      <c r="AO385"/>
      <c r="AS385"/>
      <c r="BC385" s="225"/>
      <c r="BD385" s="225"/>
      <c r="BE385" s="225"/>
      <c r="BF385" s="225"/>
    </row>
    <row r="386" spans="41:58" x14ac:dyDescent="0.25">
      <c r="AO386"/>
      <c r="AS386"/>
      <c r="BC386" s="225"/>
      <c r="BD386" s="225"/>
      <c r="BE386" s="225"/>
      <c r="BF386" s="225"/>
    </row>
    <row r="387" spans="41:58" x14ac:dyDescent="0.25">
      <c r="AO387"/>
      <c r="AS387"/>
      <c r="BC387" s="225"/>
      <c r="BD387" s="225"/>
      <c r="BE387" s="225"/>
      <c r="BF387" s="225"/>
    </row>
    <row r="388" spans="41:58" x14ac:dyDescent="0.25">
      <c r="AO388"/>
      <c r="AS388"/>
      <c r="BC388" s="225"/>
      <c r="BD388" s="225"/>
      <c r="BE388" s="225"/>
      <c r="BF388" s="225"/>
    </row>
    <row r="389" spans="41:58" x14ac:dyDescent="0.25">
      <c r="AO389"/>
      <c r="AS389"/>
      <c r="BC389" s="225"/>
      <c r="BD389" s="225"/>
      <c r="BE389" s="225"/>
      <c r="BF389" s="225"/>
    </row>
    <row r="390" spans="41:58" x14ac:dyDescent="0.25">
      <c r="AO390"/>
      <c r="AS390"/>
      <c r="BC390" s="225"/>
      <c r="BD390" s="225"/>
      <c r="BE390" s="225"/>
      <c r="BF390" s="225"/>
    </row>
    <row r="391" spans="41:58" x14ac:dyDescent="0.25">
      <c r="AO391"/>
      <c r="AS391"/>
      <c r="BC391" s="225"/>
      <c r="BD391" s="225"/>
      <c r="BE391" s="225"/>
      <c r="BF391" s="225"/>
    </row>
    <row r="392" spans="41:58" x14ac:dyDescent="0.25">
      <c r="AO392"/>
      <c r="AS392"/>
      <c r="BC392" s="225"/>
      <c r="BD392" s="225"/>
      <c r="BE392" s="225"/>
      <c r="BF392" s="225"/>
    </row>
    <row r="393" spans="41:58" x14ac:dyDescent="0.25">
      <c r="AO393"/>
      <c r="AS393"/>
      <c r="BC393" s="225"/>
      <c r="BD393" s="225"/>
      <c r="BE393" s="225"/>
      <c r="BF393" s="225"/>
    </row>
    <row r="394" spans="41:58" x14ac:dyDescent="0.25">
      <c r="AO394"/>
      <c r="AS394"/>
      <c r="BC394" s="225"/>
      <c r="BD394" s="225"/>
      <c r="BE394" s="225"/>
      <c r="BF394" s="225"/>
    </row>
    <row r="395" spans="41:58" x14ac:dyDescent="0.25">
      <c r="AO395"/>
      <c r="AS395"/>
      <c r="BC395" s="225"/>
      <c r="BD395" s="225"/>
      <c r="BE395" s="225"/>
      <c r="BF395" s="225"/>
    </row>
    <row r="396" spans="41:58" x14ac:dyDescent="0.25">
      <c r="AO396"/>
      <c r="AS396"/>
      <c r="BC396" s="225"/>
      <c r="BD396" s="225"/>
      <c r="BE396" s="225"/>
      <c r="BF396" s="225"/>
    </row>
    <row r="397" spans="41:58" x14ac:dyDescent="0.25">
      <c r="AO397"/>
      <c r="AS397"/>
      <c r="BC397" s="225"/>
      <c r="BD397" s="225"/>
      <c r="BE397" s="225"/>
      <c r="BF397" s="225"/>
    </row>
    <row r="398" spans="41:58" x14ac:dyDescent="0.25">
      <c r="AO398"/>
      <c r="AS398"/>
      <c r="BC398" s="225"/>
      <c r="BD398" s="225"/>
      <c r="BE398" s="225"/>
      <c r="BF398" s="225"/>
    </row>
    <row r="399" spans="41:58" x14ac:dyDescent="0.25">
      <c r="AO399"/>
      <c r="AS399"/>
      <c r="BC399" s="225"/>
      <c r="BD399" s="225"/>
      <c r="BE399" s="225"/>
      <c r="BF399" s="225"/>
    </row>
    <row r="400" spans="41:58" x14ac:dyDescent="0.25">
      <c r="AO400"/>
      <c r="AS400"/>
      <c r="BC400" s="225"/>
      <c r="BD400" s="225"/>
      <c r="BE400" s="225"/>
      <c r="BF400" s="225"/>
    </row>
    <row r="401" spans="41:58" x14ac:dyDescent="0.25">
      <c r="AO401"/>
      <c r="AS401"/>
      <c r="BC401" s="225"/>
      <c r="BD401" s="225"/>
      <c r="BE401" s="225"/>
      <c r="BF401" s="225"/>
    </row>
    <row r="402" spans="41:58" x14ac:dyDescent="0.25">
      <c r="AO402"/>
      <c r="AS402"/>
      <c r="BC402" s="225"/>
      <c r="BD402" s="225"/>
      <c r="BE402" s="225"/>
      <c r="BF402" s="225"/>
    </row>
    <row r="403" spans="41:58" x14ac:dyDescent="0.25">
      <c r="AO403"/>
      <c r="AS403"/>
      <c r="BC403" s="225"/>
      <c r="BD403" s="225"/>
      <c r="BE403" s="225"/>
      <c r="BF403" s="225"/>
    </row>
    <row r="404" spans="41:58" x14ac:dyDescent="0.25">
      <c r="AO404"/>
      <c r="AS404"/>
      <c r="BC404" s="225"/>
      <c r="BD404" s="225"/>
      <c r="BE404" s="225"/>
      <c r="BF404" s="225"/>
    </row>
    <row r="405" spans="41:58" x14ac:dyDescent="0.25">
      <c r="AO405"/>
      <c r="AS405"/>
      <c r="BC405" s="225"/>
      <c r="BD405" s="225"/>
      <c r="BE405" s="225"/>
      <c r="BF405" s="225"/>
    </row>
    <row r="406" spans="41:58" x14ac:dyDescent="0.25">
      <c r="AO406"/>
      <c r="AS406"/>
      <c r="BC406" s="225"/>
      <c r="BD406" s="225"/>
      <c r="BE406" s="225"/>
      <c r="BF406" s="225"/>
    </row>
    <row r="407" spans="41:58" x14ac:dyDescent="0.25">
      <c r="AO407"/>
      <c r="AS407"/>
      <c r="BC407" s="225"/>
      <c r="BD407" s="225"/>
      <c r="BE407" s="225"/>
      <c r="BF407" s="225"/>
    </row>
    <row r="408" spans="41:58" x14ac:dyDescent="0.25">
      <c r="AO408"/>
      <c r="AS408"/>
      <c r="BC408" s="225"/>
      <c r="BD408" s="225"/>
      <c r="BE408" s="225"/>
      <c r="BF408" s="225"/>
    </row>
    <row r="409" spans="41:58" x14ac:dyDescent="0.25">
      <c r="AO409"/>
      <c r="AS409"/>
      <c r="BC409" s="225"/>
      <c r="BD409" s="225"/>
      <c r="BE409" s="225"/>
      <c r="BF409" s="225"/>
    </row>
    <row r="410" spans="41:58" x14ac:dyDescent="0.25">
      <c r="AO410"/>
      <c r="AS410"/>
      <c r="BC410" s="225"/>
      <c r="BD410" s="225"/>
      <c r="BE410" s="225"/>
      <c r="BF410" s="225"/>
    </row>
    <row r="411" spans="41:58" x14ac:dyDescent="0.25">
      <c r="AO411"/>
      <c r="AS411"/>
      <c r="BC411" s="225"/>
      <c r="BD411" s="225"/>
      <c r="BE411" s="225"/>
      <c r="BF411" s="225"/>
    </row>
    <row r="412" spans="41:58" x14ac:dyDescent="0.25">
      <c r="AO412"/>
      <c r="AS412"/>
      <c r="BC412" s="225"/>
      <c r="BD412" s="225"/>
      <c r="BE412" s="225"/>
      <c r="BF412" s="225"/>
    </row>
    <row r="413" spans="41:58" x14ac:dyDescent="0.25">
      <c r="AO413"/>
      <c r="AS413"/>
      <c r="BC413" s="225"/>
      <c r="BD413" s="225"/>
      <c r="BE413" s="225"/>
      <c r="BF413" s="225"/>
    </row>
    <row r="414" spans="41:58" x14ac:dyDescent="0.25">
      <c r="AO414"/>
      <c r="AS414"/>
      <c r="BC414" s="225"/>
      <c r="BD414" s="225"/>
      <c r="BE414" s="225"/>
      <c r="BF414" s="225"/>
    </row>
    <row r="415" spans="41:58" x14ac:dyDescent="0.25">
      <c r="AO415"/>
      <c r="AS415"/>
      <c r="BC415" s="225"/>
      <c r="BD415" s="225"/>
      <c r="BE415" s="225"/>
      <c r="BF415" s="225"/>
    </row>
    <row r="416" spans="41:58" x14ac:dyDescent="0.25">
      <c r="AO416"/>
      <c r="AS416"/>
      <c r="BC416" s="225"/>
      <c r="BD416" s="225"/>
      <c r="BE416" s="225"/>
      <c r="BF416" s="225"/>
    </row>
    <row r="417" spans="41:58" x14ac:dyDescent="0.25">
      <c r="AO417"/>
      <c r="AS417"/>
      <c r="BC417" s="225"/>
      <c r="BD417" s="225"/>
      <c r="BE417" s="225"/>
      <c r="BF417" s="225"/>
    </row>
    <row r="418" spans="41:58" x14ac:dyDescent="0.25">
      <c r="AO418"/>
      <c r="AS418"/>
      <c r="BC418" s="225"/>
      <c r="BD418" s="225"/>
      <c r="BE418" s="225"/>
      <c r="BF418" s="225"/>
    </row>
    <row r="419" spans="41:58" x14ac:dyDescent="0.25">
      <c r="AO419"/>
      <c r="AS419"/>
      <c r="BC419" s="225"/>
      <c r="BD419" s="225"/>
      <c r="BE419" s="225"/>
      <c r="BF419" s="225"/>
    </row>
    <row r="420" spans="41:58" x14ac:dyDescent="0.25">
      <c r="AO420"/>
      <c r="AS420"/>
      <c r="BC420" s="225"/>
      <c r="BD420" s="225"/>
      <c r="BE420" s="225"/>
      <c r="BF420" s="225"/>
    </row>
    <row r="421" spans="41:58" x14ac:dyDescent="0.25">
      <c r="AO421"/>
      <c r="AS421"/>
      <c r="BC421" s="225"/>
      <c r="BD421" s="225"/>
      <c r="BE421" s="225"/>
      <c r="BF421" s="225"/>
    </row>
    <row r="422" spans="41:58" x14ac:dyDescent="0.25">
      <c r="AO422"/>
      <c r="AS422"/>
      <c r="BC422" s="225"/>
      <c r="BD422" s="225"/>
      <c r="BE422" s="225"/>
      <c r="BF422" s="225"/>
    </row>
    <row r="423" spans="41:58" x14ac:dyDescent="0.25">
      <c r="AO423"/>
      <c r="AS423"/>
      <c r="BC423" s="225"/>
      <c r="BD423" s="225"/>
      <c r="BE423" s="225"/>
      <c r="BF423" s="225"/>
    </row>
    <row r="424" spans="41:58" x14ac:dyDescent="0.25">
      <c r="AO424"/>
      <c r="AS424"/>
      <c r="BC424" s="225"/>
      <c r="BD424" s="225"/>
      <c r="BE424" s="225"/>
      <c r="BF424" s="225"/>
    </row>
    <row r="425" spans="41:58" x14ac:dyDescent="0.25">
      <c r="AO425"/>
      <c r="AS425"/>
      <c r="BC425" s="225"/>
      <c r="BD425" s="225"/>
      <c r="BE425" s="225"/>
      <c r="BF425" s="225"/>
    </row>
    <row r="426" spans="41:58" x14ac:dyDescent="0.25">
      <c r="AO426"/>
      <c r="AS426"/>
      <c r="BC426" s="225"/>
      <c r="BD426" s="225"/>
      <c r="BE426" s="225"/>
      <c r="BF426" s="225"/>
    </row>
  </sheetData>
  <mergeCells count="153">
    <mergeCell ref="A1:BK1"/>
    <mergeCell ref="A2:A4"/>
    <mergeCell ref="B2:B4"/>
    <mergeCell ref="C2:C4"/>
    <mergeCell ref="D2:F2"/>
    <mergeCell ref="AY2:BB2"/>
    <mergeCell ref="AY60:BB60"/>
    <mergeCell ref="AY61:BB61"/>
    <mergeCell ref="AY62:BB62"/>
    <mergeCell ref="G2:J2"/>
    <mergeCell ref="K2:N2"/>
    <mergeCell ref="O2:R2"/>
    <mergeCell ref="S2:V2"/>
    <mergeCell ref="W2:Z2"/>
    <mergeCell ref="AE2:AH2"/>
    <mergeCell ref="P3:P4"/>
    <mergeCell ref="Q3:Q4"/>
    <mergeCell ref="AD3:AD4"/>
    <mergeCell ref="AE3:AE4"/>
    <mergeCell ref="AF3:AF4"/>
    <mergeCell ref="AG3:AG4"/>
    <mergeCell ref="AH3:AH4"/>
    <mergeCell ref="AI3:AI4"/>
    <mergeCell ref="X3:X4"/>
    <mergeCell ref="BV2:BX2"/>
    <mergeCell ref="D3:D4"/>
    <mergeCell ref="E3:E4"/>
    <mergeCell ref="F3:F4"/>
    <mergeCell ref="G3:G4"/>
    <mergeCell ref="H3:H4"/>
    <mergeCell ref="I3:I4"/>
    <mergeCell ref="J3:J4"/>
    <mergeCell ref="AA2:AD2"/>
    <mergeCell ref="K3:K4"/>
    <mergeCell ref="AI2:AL2"/>
    <mergeCell ref="AM2:AP2"/>
    <mergeCell ref="AQ2:AT2"/>
    <mergeCell ref="AU2:AX2"/>
    <mergeCell ref="R3:R4"/>
    <mergeCell ref="S3:S4"/>
    <mergeCell ref="T3:T4"/>
    <mergeCell ref="U3:U4"/>
    <mergeCell ref="V3:V4"/>
    <mergeCell ref="W3:W4"/>
    <mergeCell ref="L3:L4"/>
    <mergeCell ref="M3:M4"/>
    <mergeCell ref="N3:N4"/>
    <mergeCell ref="O3:O4"/>
    <mergeCell ref="Y3:Y4"/>
    <mergeCell ref="Z3:Z4"/>
    <mergeCell ref="AA3:AA4"/>
    <mergeCell ref="AB3:AB4"/>
    <mergeCell ref="AC3:AC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O3:AO4"/>
    <mergeCell ref="BX3:BX4"/>
    <mergeCell ref="BM3:BM4"/>
    <mergeCell ref="BN3:BN4"/>
    <mergeCell ref="BO3:BO4"/>
    <mergeCell ref="BP3:BP4"/>
    <mergeCell ref="BQ3:BQ4"/>
    <mergeCell ref="BR3:BR4"/>
    <mergeCell ref="BK3:BK4"/>
    <mergeCell ref="BL3:BL4"/>
    <mergeCell ref="BS3:BS4"/>
    <mergeCell ref="BT3:BT4"/>
    <mergeCell ref="BU3:BU4"/>
    <mergeCell ref="BV3:BV4"/>
    <mergeCell ref="BW3:BW4"/>
    <mergeCell ref="BG3:BG4"/>
    <mergeCell ref="BH3:BH4"/>
    <mergeCell ref="BI3:BI4"/>
    <mergeCell ref="BJ3:BJ4"/>
    <mergeCell ref="A5:A13"/>
    <mergeCell ref="A46:A47"/>
    <mergeCell ref="A48:A58"/>
    <mergeCell ref="A60:A63"/>
    <mergeCell ref="B60:C60"/>
    <mergeCell ref="D60:F60"/>
    <mergeCell ref="B62:C62"/>
    <mergeCell ref="D62:F62"/>
    <mergeCell ref="B63:C63"/>
    <mergeCell ref="D63:F63"/>
    <mergeCell ref="AE60:AH60"/>
    <mergeCell ref="AI60:AL60"/>
    <mergeCell ref="AI61:AL61"/>
    <mergeCell ref="AM60:AP60"/>
    <mergeCell ref="AM61:AP61"/>
    <mergeCell ref="G60:J60"/>
    <mergeCell ref="K60:N60"/>
    <mergeCell ref="O60:R60"/>
    <mergeCell ref="S60:V60"/>
    <mergeCell ref="W60:Z60"/>
    <mergeCell ref="AA60:AD60"/>
    <mergeCell ref="B61:C61"/>
    <mergeCell ref="D61:F61"/>
    <mergeCell ref="G61:J61"/>
    <mergeCell ref="K61:N61"/>
    <mergeCell ref="O61:R61"/>
    <mergeCell ref="S61:V61"/>
    <mergeCell ref="W61:Z61"/>
    <mergeCell ref="AA61:AD61"/>
    <mergeCell ref="AE61:AH61"/>
    <mergeCell ref="AE62:AH62"/>
    <mergeCell ref="AI62:AL62"/>
    <mergeCell ref="AM62:AP62"/>
    <mergeCell ref="AU62:AX62"/>
    <mergeCell ref="G62:J62"/>
    <mergeCell ref="K62:N62"/>
    <mergeCell ref="O62:R62"/>
    <mergeCell ref="S62:V62"/>
    <mergeCell ref="W62:Z62"/>
    <mergeCell ref="AA62:AD62"/>
    <mergeCell ref="G63:J63"/>
    <mergeCell ref="K63:N63"/>
    <mergeCell ref="O63:R63"/>
    <mergeCell ref="S63:V63"/>
    <mergeCell ref="AI63:AL63"/>
    <mergeCell ref="AM63:AP63"/>
    <mergeCell ref="W63:Z63"/>
    <mergeCell ref="AA63:AD63"/>
    <mergeCell ref="AE63:AH63"/>
    <mergeCell ref="BC2:BF2"/>
    <mergeCell ref="AQ63:AT63"/>
    <mergeCell ref="AU63:AX63"/>
    <mergeCell ref="BC60:BF60"/>
    <mergeCell ref="BC61:BF61"/>
    <mergeCell ref="BC62:BF62"/>
    <mergeCell ref="BC63:BF63"/>
    <mergeCell ref="AQ62:AT62"/>
    <mergeCell ref="AQ60:AT60"/>
    <mergeCell ref="AU60:AX60"/>
    <mergeCell ref="AQ61:AT61"/>
    <mergeCell ref="AU61:AX61"/>
    <mergeCell ref="BB3:BB4"/>
    <mergeCell ref="AU3:AU4"/>
    <mergeCell ref="AV3:AV4"/>
    <mergeCell ref="AW3:AW4"/>
    <mergeCell ref="AX3:AX4"/>
    <mergeCell ref="AY3:AY4"/>
    <mergeCell ref="AZ3:AZ4"/>
    <mergeCell ref="BC3:BC4"/>
    <mergeCell ref="AY63:BB63"/>
    <mergeCell ref="AT3:AT4"/>
    <mergeCell ref="BA3:BA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B2A91-5560-48F8-95E7-B7DEAE1CA5F2}">
  <sheetPr codeName="Hoja5"/>
  <dimension ref="A1:CJ426"/>
  <sheetViews>
    <sheetView showGridLines="0" zoomScale="85" zoomScaleNormal="85" workbookViewId="0">
      <pane xSplit="3" ySplit="4" topLeftCell="CB35" activePane="bottomRight" state="frozen"/>
      <selection pane="topRight" activeCell="D1" sqref="D1"/>
      <selection pane="bottomLeft" activeCell="A5" sqref="A5"/>
      <selection pane="bottomRight" activeCell="CE51" sqref="CE51"/>
    </sheetView>
  </sheetViews>
  <sheetFormatPr baseColWidth="10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2.81640625" customWidth="1"/>
    <col min="5" max="5" width="11" customWidth="1"/>
    <col min="6" max="6" width="12" customWidth="1"/>
    <col min="7" max="7" width="11.453125" customWidth="1"/>
    <col min="8" max="38" width="10.81640625" customWidth="1"/>
    <col min="39" max="39" width="12.54296875" customWidth="1"/>
    <col min="40" max="40" width="10.81640625" customWidth="1"/>
    <col min="41" max="41" width="10.81640625" style="57" customWidth="1"/>
    <col min="42" max="42" width="10.81640625" customWidth="1"/>
    <col min="43" max="43" width="17.1796875" bestFit="1" customWidth="1"/>
    <col min="44" max="44" width="10.81640625" customWidth="1"/>
    <col min="45" max="45" width="17.81640625" style="57" bestFit="1" customWidth="1"/>
    <col min="46" max="46" width="22.81640625" bestFit="1" customWidth="1"/>
    <col min="47" max="47" width="17.1796875" bestFit="1" customWidth="1"/>
    <col min="48" max="48" width="10.81640625" customWidth="1"/>
    <col min="49" max="49" width="17.81640625" bestFit="1" customWidth="1"/>
    <col min="50" max="50" width="22.81640625" bestFit="1" customWidth="1"/>
    <col min="51" max="51" width="21.1796875" customWidth="1"/>
    <col min="52" max="52" width="10.81640625" customWidth="1"/>
    <col min="53" max="53" width="17.81640625" bestFit="1" customWidth="1"/>
    <col min="54" max="54" width="22.81640625" bestFit="1" customWidth="1"/>
    <col min="55" max="55" width="24.1796875" style="191" bestFit="1" customWidth="1"/>
    <col min="56" max="58" width="10.81640625" style="191" customWidth="1"/>
    <col min="59" max="59" width="16" style="191" customWidth="1"/>
    <col min="60" max="60" width="12.54296875" style="191" customWidth="1"/>
    <col min="61" max="61" width="15.1796875" style="191" customWidth="1"/>
    <col min="62" max="62" width="15" style="191" customWidth="1"/>
    <col min="63" max="63" width="10.81640625" style="191" customWidth="1"/>
    <col min="64" max="64" width="12.54296875" style="191" customWidth="1"/>
    <col min="65" max="65" width="10.81640625" style="191" customWidth="1"/>
    <col min="66" max="82" width="11.1796875" customWidth="1"/>
    <col min="83" max="83" width="25.81640625" bestFit="1" customWidth="1"/>
    <col min="84" max="84" width="13" customWidth="1"/>
    <col min="85" max="85" width="15.453125" customWidth="1"/>
  </cols>
  <sheetData>
    <row r="1" spans="1:85" x14ac:dyDescent="0.25">
      <c r="A1" s="520" t="s">
        <v>55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  <c r="AP1" s="521"/>
      <c r="AQ1" s="521"/>
      <c r="AR1" s="521"/>
      <c r="AS1" s="521"/>
      <c r="AT1" s="521"/>
      <c r="AU1" s="521"/>
      <c r="AV1" s="521"/>
      <c r="AW1" s="521"/>
      <c r="AX1" s="521"/>
      <c r="AY1" s="521"/>
      <c r="AZ1" s="521"/>
      <c r="BA1" s="521"/>
      <c r="BB1" s="521"/>
      <c r="BC1" s="521"/>
      <c r="BD1" s="521"/>
      <c r="BE1" s="521"/>
      <c r="BF1" s="521"/>
      <c r="BG1" s="521"/>
      <c r="BH1" s="521"/>
      <c r="BI1" s="521"/>
      <c r="BJ1" s="521"/>
      <c r="BK1" s="521"/>
      <c r="BL1" s="521"/>
      <c r="BM1" s="521"/>
      <c r="BN1" s="521"/>
      <c r="BO1" s="521"/>
      <c r="BP1" s="521"/>
      <c r="BQ1" s="521"/>
      <c r="BR1" s="521"/>
    </row>
    <row r="2" spans="1:85" ht="12.75" customHeight="1" x14ac:dyDescent="0.25">
      <c r="A2" s="522" t="s">
        <v>0</v>
      </c>
      <c r="B2" s="522" t="s">
        <v>1</v>
      </c>
      <c r="C2" s="523" t="s">
        <v>2</v>
      </c>
      <c r="D2" s="524" t="s">
        <v>68</v>
      </c>
      <c r="E2" s="525"/>
      <c r="F2" s="526"/>
      <c r="G2" s="530">
        <v>2002</v>
      </c>
      <c r="H2" s="531"/>
      <c r="I2" s="531"/>
      <c r="J2" s="532"/>
      <c r="K2" s="503">
        <v>2003</v>
      </c>
      <c r="L2" s="504"/>
      <c r="M2" s="504"/>
      <c r="N2" s="505"/>
      <c r="O2" s="533">
        <v>2004</v>
      </c>
      <c r="P2" s="534"/>
      <c r="Q2" s="534"/>
      <c r="R2" s="535"/>
      <c r="S2" s="506">
        <v>2005</v>
      </c>
      <c r="T2" s="507"/>
      <c r="U2" s="507"/>
      <c r="V2" s="508"/>
      <c r="W2" s="530">
        <v>2006</v>
      </c>
      <c r="X2" s="531"/>
      <c r="Y2" s="531"/>
      <c r="Z2" s="532"/>
      <c r="AA2" s="503">
        <v>2007</v>
      </c>
      <c r="AB2" s="504"/>
      <c r="AC2" s="504"/>
      <c r="AD2" s="505"/>
      <c r="AE2" s="533">
        <v>2008</v>
      </c>
      <c r="AF2" s="534"/>
      <c r="AG2" s="534"/>
      <c r="AH2" s="535"/>
      <c r="AI2" s="506">
        <v>2009</v>
      </c>
      <c r="AJ2" s="507"/>
      <c r="AK2" s="507"/>
      <c r="AL2" s="508"/>
      <c r="AM2" s="509">
        <v>2010</v>
      </c>
      <c r="AN2" s="510"/>
      <c r="AO2" s="510"/>
      <c r="AP2" s="511"/>
      <c r="AQ2" s="512">
        <v>2011</v>
      </c>
      <c r="AR2" s="513"/>
      <c r="AS2" s="513"/>
      <c r="AT2" s="514"/>
      <c r="AU2" s="515">
        <v>2012</v>
      </c>
      <c r="AV2" s="516"/>
      <c r="AW2" s="516"/>
      <c r="AX2" s="517"/>
      <c r="AY2" s="527">
        <v>2013</v>
      </c>
      <c r="AZ2" s="528"/>
      <c r="BA2" s="528"/>
      <c r="BB2" s="529"/>
      <c r="BC2" s="435">
        <v>2014</v>
      </c>
      <c r="BD2" s="436"/>
      <c r="BE2" s="436"/>
      <c r="BF2" s="437"/>
      <c r="BG2" s="536">
        <v>2014.5</v>
      </c>
      <c r="BH2" s="537"/>
      <c r="BI2" s="538"/>
      <c r="BJ2" s="541">
        <v>2015</v>
      </c>
      <c r="BK2" s="542"/>
      <c r="BL2" s="542"/>
      <c r="BM2" s="543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498">
        <v>2015</v>
      </c>
      <c r="CF2" s="499"/>
      <c r="CG2" s="500"/>
    </row>
    <row r="3" spans="1:85" s="1" customFormat="1" ht="12.75" customHeight="1" x14ac:dyDescent="0.3">
      <c r="A3" s="522"/>
      <c r="B3" s="522"/>
      <c r="C3" s="523"/>
      <c r="D3" s="501" t="s">
        <v>69</v>
      </c>
      <c r="E3" s="501" t="s">
        <v>3</v>
      </c>
      <c r="F3" s="501" t="s">
        <v>70</v>
      </c>
      <c r="G3" s="492" t="s">
        <v>5</v>
      </c>
      <c r="H3" s="492" t="s">
        <v>4</v>
      </c>
      <c r="I3" s="492" t="s">
        <v>3</v>
      </c>
      <c r="J3" s="492" t="s">
        <v>45</v>
      </c>
      <c r="K3" s="494" t="s">
        <v>5</v>
      </c>
      <c r="L3" s="494" t="s">
        <v>4</v>
      </c>
      <c r="M3" s="494" t="s">
        <v>3</v>
      </c>
      <c r="N3" s="494" t="s">
        <v>45</v>
      </c>
      <c r="O3" s="518" t="s">
        <v>5</v>
      </c>
      <c r="P3" s="518" t="s">
        <v>4</v>
      </c>
      <c r="Q3" s="518" t="s">
        <v>3</v>
      </c>
      <c r="R3" s="518" t="s">
        <v>45</v>
      </c>
      <c r="S3" s="486" t="s">
        <v>5</v>
      </c>
      <c r="T3" s="486" t="s">
        <v>4</v>
      </c>
      <c r="U3" s="486" t="s">
        <v>3</v>
      </c>
      <c r="V3" s="486" t="s">
        <v>45</v>
      </c>
      <c r="W3" s="492" t="s">
        <v>5</v>
      </c>
      <c r="X3" s="492" t="s">
        <v>4</v>
      </c>
      <c r="Y3" s="492" t="s">
        <v>3</v>
      </c>
      <c r="Z3" s="492" t="s">
        <v>45</v>
      </c>
      <c r="AA3" s="494" t="s">
        <v>5</v>
      </c>
      <c r="AB3" s="494" t="s">
        <v>4</v>
      </c>
      <c r="AC3" s="494" t="s">
        <v>3</v>
      </c>
      <c r="AD3" s="494" t="s">
        <v>45</v>
      </c>
      <c r="AE3" s="518" t="s">
        <v>5</v>
      </c>
      <c r="AF3" s="518" t="s">
        <v>4</v>
      </c>
      <c r="AG3" s="518" t="s">
        <v>3</v>
      </c>
      <c r="AH3" s="518" t="s">
        <v>45</v>
      </c>
      <c r="AI3" s="486" t="s">
        <v>5</v>
      </c>
      <c r="AJ3" s="486" t="s">
        <v>4</v>
      </c>
      <c r="AK3" s="486" t="s">
        <v>3</v>
      </c>
      <c r="AL3" s="486" t="s">
        <v>45</v>
      </c>
      <c r="AM3" s="488" t="s">
        <v>5</v>
      </c>
      <c r="AN3" s="488" t="s">
        <v>4</v>
      </c>
      <c r="AO3" s="488" t="s">
        <v>3</v>
      </c>
      <c r="AP3" s="488" t="s">
        <v>93</v>
      </c>
      <c r="AQ3" s="496" t="s">
        <v>5</v>
      </c>
      <c r="AR3" s="484" t="s">
        <v>4</v>
      </c>
      <c r="AS3" s="484" t="s">
        <v>3</v>
      </c>
      <c r="AT3" s="484" t="s">
        <v>93</v>
      </c>
      <c r="AU3" s="449" t="s">
        <v>5</v>
      </c>
      <c r="AV3" s="449" t="s">
        <v>4</v>
      </c>
      <c r="AW3" s="449" t="s">
        <v>3</v>
      </c>
      <c r="AX3" s="449" t="s">
        <v>93</v>
      </c>
      <c r="AY3" s="451" t="s">
        <v>5</v>
      </c>
      <c r="AZ3" s="447" t="s">
        <v>4</v>
      </c>
      <c r="BA3" s="447" t="s">
        <v>3</v>
      </c>
      <c r="BB3" s="447" t="s">
        <v>93</v>
      </c>
      <c r="BC3" s="453" t="s">
        <v>5</v>
      </c>
      <c r="BD3" s="192" t="s">
        <v>4</v>
      </c>
      <c r="BE3" s="192" t="s">
        <v>3</v>
      </c>
      <c r="BF3" s="192" t="s">
        <v>93</v>
      </c>
      <c r="BG3" s="539" t="s">
        <v>105</v>
      </c>
      <c r="BH3" s="539" t="s">
        <v>107</v>
      </c>
      <c r="BI3" s="539" t="s">
        <v>106</v>
      </c>
      <c r="BJ3" s="544" t="s">
        <v>5</v>
      </c>
      <c r="BK3" s="544" t="s">
        <v>4</v>
      </c>
      <c r="BL3" s="544" t="s">
        <v>3</v>
      </c>
      <c r="BM3" s="544" t="s">
        <v>93</v>
      </c>
      <c r="BN3" s="476" t="s">
        <v>63</v>
      </c>
      <c r="BO3" s="476" t="s">
        <v>71</v>
      </c>
      <c r="BP3" s="476" t="s">
        <v>72</v>
      </c>
      <c r="BQ3" s="476" t="s">
        <v>73</v>
      </c>
      <c r="BR3" s="476" t="s">
        <v>74</v>
      </c>
      <c r="BS3" s="476" t="s">
        <v>75</v>
      </c>
      <c r="BT3" s="476" t="s">
        <v>62</v>
      </c>
      <c r="BU3" s="476" t="s">
        <v>64</v>
      </c>
      <c r="BV3" s="476" t="s">
        <v>65</v>
      </c>
      <c r="BW3" s="476" t="s">
        <v>66</v>
      </c>
      <c r="BX3" s="476" t="s">
        <v>67</v>
      </c>
      <c r="BY3" s="476" t="s">
        <v>76</v>
      </c>
      <c r="BZ3" s="476" t="s">
        <v>77</v>
      </c>
      <c r="CA3" s="476" t="s">
        <v>78</v>
      </c>
      <c r="CB3" s="476" t="s">
        <v>79</v>
      </c>
      <c r="CC3" s="476" t="s">
        <v>108</v>
      </c>
      <c r="CD3" s="476" t="s">
        <v>98</v>
      </c>
      <c r="CE3" s="490" t="s">
        <v>56</v>
      </c>
      <c r="CF3" s="490" t="s">
        <v>57</v>
      </c>
      <c r="CG3" s="490" t="s">
        <v>58</v>
      </c>
    </row>
    <row r="4" spans="1:85" ht="26.25" customHeight="1" x14ac:dyDescent="0.25">
      <c r="A4" s="522"/>
      <c r="B4" s="522"/>
      <c r="C4" s="523"/>
      <c r="D4" s="502"/>
      <c r="E4" s="502"/>
      <c r="F4" s="502"/>
      <c r="G4" s="493"/>
      <c r="H4" s="493"/>
      <c r="I4" s="493"/>
      <c r="J4" s="493"/>
      <c r="K4" s="495"/>
      <c r="L4" s="495"/>
      <c r="M4" s="495"/>
      <c r="N4" s="495"/>
      <c r="O4" s="519"/>
      <c r="P4" s="519"/>
      <c r="Q4" s="519"/>
      <c r="R4" s="519"/>
      <c r="S4" s="487"/>
      <c r="T4" s="487"/>
      <c r="U4" s="487"/>
      <c r="V4" s="487"/>
      <c r="W4" s="493"/>
      <c r="X4" s="493"/>
      <c r="Y4" s="493"/>
      <c r="Z4" s="493"/>
      <c r="AA4" s="495"/>
      <c r="AB4" s="495"/>
      <c r="AC4" s="495"/>
      <c r="AD4" s="495"/>
      <c r="AE4" s="519"/>
      <c r="AF4" s="519"/>
      <c r="AG4" s="519"/>
      <c r="AH4" s="519"/>
      <c r="AI4" s="487"/>
      <c r="AJ4" s="487"/>
      <c r="AK4" s="487"/>
      <c r="AL4" s="487"/>
      <c r="AM4" s="489"/>
      <c r="AN4" s="489"/>
      <c r="AO4" s="489"/>
      <c r="AP4" s="489"/>
      <c r="AQ4" s="497"/>
      <c r="AR4" s="485"/>
      <c r="AS4" s="485"/>
      <c r="AT4" s="485"/>
      <c r="AU4" s="450"/>
      <c r="AV4" s="450"/>
      <c r="AW4" s="450"/>
      <c r="AX4" s="450"/>
      <c r="AY4" s="452"/>
      <c r="AZ4" s="448"/>
      <c r="BA4" s="448"/>
      <c r="BB4" s="448"/>
      <c r="BC4" s="454"/>
      <c r="BD4" s="193"/>
      <c r="BE4" s="193"/>
      <c r="BF4" s="193"/>
      <c r="BG4" s="540"/>
      <c r="BH4" s="540"/>
      <c r="BI4" s="540"/>
      <c r="BJ4" s="545"/>
      <c r="BK4" s="545"/>
      <c r="BL4" s="545"/>
      <c r="BM4" s="545"/>
      <c r="BN4" s="477"/>
      <c r="BO4" s="477"/>
      <c r="BP4" s="477"/>
      <c r="BQ4" s="477"/>
      <c r="BR4" s="477"/>
      <c r="BS4" s="477"/>
      <c r="BT4" s="477"/>
      <c r="BU4" s="477"/>
      <c r="BV4" s="477"/>
      <c r="BW4" s="477"/>
      <c r="BX4" s="477"/>
      <c r="BY4" s="477"/>
      <c r="BZ4" s="477"/>
      <c r="CA4" s="477"/>
      <c r="CB4" s="477"/>
      <c r="CC4" s="477"/>
      <c r="CD4" s="477"/>
      <c r="CE4" s="491"/>
      <c r="CF4" s="491"/>
      <c r="CG4" s="491"/>
    </row>
    <row r="5" spans="1:85" ht="12.75" customHeight="1" x14ac:dyDescent="0.25">
      <c r="A5" s="478" t="s">
        <v>6</v>
      </c>
      <c r="B5" s="3" t="s">
        <v>7</v>
      </c>
      <c r="C5" s="7">
        <v>4</v>
      </c>
      <c r="D5" s="37">
        <v>2192460.6575303557</v>
      </c>
      <c r="E5" s="151"/>
      <c r="F5" s="152">
        <v>1449825.5495615059</v>
      </c>
      <c r="G5" s="87">
        <v>167256.03900000002</v>
      </c>
      <c r="H5" s="88"/>
      <c r="I5" s="127"/>
      <c r="J5" s="88"/>
      <c r="K5" s="89">
        <v>48031.15</v>
      </c>
      <c r="L5" s="90"/>
      <c r="M5" s="153"/>
      <c r="N5" s="91"/>
      <c r="O5" s="92">
        <v>65709.412000000011</v>
      </c>
      <c r="P5" s="93"/>
      <c r="Q5" s="94"/>
      <c r="R5" s="93"/>
      <c r="S5" s="154">
        <v>62165.65</v>
      </c>
      <c r="T5" s="114"/>
      <c r="U5" s="154"/>
      <c r="V5" s="155"/>
      <c r="W5" s="58">
        <v>90684.24</v>
      </c>
      <c r="X5" s="58">
        <v>0</v>
      </c>
      <c r="Y5" s="58"/>
      <c r="Z5" s="59"/>
      <c r="AA5" s="60">
        <v>32408.87</v>
      </c>
      <c r="AB5" s="156">
        <v>0</v>
      </c>
      <c r="AC5" s="157"/>
      <c r="AD5" s="61"/>
      <c r="AE5" s="63">
        <v>97632.98</v>
      </c>
      <c r="AF5" s="63">
        <v>0</v>
      </c>
      <c r="AG5" s="158"/>
      <c r="AH5" s="62"/>
      <c r="AI5" s="154">
        <v>249294.06387699995</v>
      </c>
      <c r="AJ5" s="154">
        <v>0</v>
      </c>
      <c r="AK5" s="154"/>
      <c r="AL5" s="155"/>
      <c r="AM5" s="49">
        <v>61005.71</v>
      </c>
      <c r="AN5" s="49">
        <v>0</v>
      </c>
      <c r="AO5" s="49"/>
      <c r="AP5" s="50"/>
      <c r="AQ5" s="159">
        <v>121471.92000000001</v>
      </c>
      <c r="AR5" s="198">
        <v>0</v>
      </c>
      <c r="AS5" s="198"/>
      <c r="AT5" s="198"/>
      <c r="AU5" s="210">
        <v>0</v>
      </c>
      <c r="AV5" s="210">
        <v>0</v>
      </c>
      <c r="AW5" s="210"/>
      <c r="AX5" s="210"/>
      <c r="AY5" s="129">
        <v>12228.079999999998</v>
      </c>
      <c r="AZ5" s="129">
        <v>0</v>
      </c>
      <c r="BA5" s="129"/>
      <c r="BB5" s="129"/>
      <c r="BC5" s="144">
        <v>78776.69</v>
      </c>
      <c r="BD5" s="136"/>
      <c r="BE5" s="136"/>
      <c r="BF5" s="136"/>
      <c r="BG5" s="252"/>
      <c r="BH5" s="252"/>
      <c r="BI5" s="252"/>
      <c r="BJ5" s="226">
        <v>602994.75999999989</v>
      </c>
      <c r="BK5" s="226"/>
      <c r="BL5" s="226"/>
      <c r="BM5" s="226"/>
      <c r="BN5" s="26">
        <f t="shared" ref="BN5:BN12" si="0">IF(D5=0,0,2001-(D5-F5)*C5/D5)</f>
        <v>1999.6451111805941</v>
      </c>
      <c r="BO5" s="43">
        <f t="shared" ref="BO5:BO12" si="1">IF((1-($CE$2-$BN5)/$C5)&gt;0,(1-($CE$2-$BN5)/$C5),0)</f>
        <v>0</v>
      </c>
      <c r="BP5" s="43">
        <f t="shared" ref="BP5:BP12" si="2">IF((1-($CE$2-G$2)/$C5)&gt;0,(1-($CE$2-G$2)/$C5),0)</f>
        <v>0</v>
      </c>
      <c r="BQ5" s="43">
        <f t="shared" ref="BQ5:BQ12" si="3">IF((1-($CE$2-K$2)/$C5)&gt;0,(1-($CE$2-K$2)/$C5),0)</f>
        <v>0</v>
      </c>
      <c r="BR5" s="43">
        <f t="shared" ref="BR5:BR12" si="4">IF((1-($CE$2-O$2)/$C5)&gt;0,(1-($CE$2-O$2)/$C5),0)</f>
        <v>0</v>
      </c>
      <c r="BS5" s="43">
        <f t="shared" ref="BS5:BS12" si="5">IF((1-($CE$2-S$2)/$C5)&gt;0,(1-($CE$2-S$2)/$C5),0)</f>
        <v>0</v>
      </c>
      <c r="BT5" s="43">
        <f t="shared" ref="BT5:BT12" si="6">IF((1-($CE$2-W$2)/$C5)&gt;0,(1-($CE$2-W$2)/$C5),0)</f>
        <v>0</v>
      </c>
      <c r="BU5" s="43">
        <f t="shared" ref="BU5:BU12" si="7">IF((1-($CE$2-AA$2)/$C5)&gt;0,(1-($CE$2-AA$2)/$C5),0)</f>
        <v>0</v>
      </c>
      <c r="BV5" s="43">
        <f t="shared" ref="BV5:BV12" si="8">IF((1-($CE$2-AE$2)/$C5)&gt;0,(1-($CE$2-AE$2)/$C5),0)</f>
        <v>0</v>
      </c>
      <c r="BW5" s="43">
        <f t="shared" ref="BW5:BW12" si="9">IF((1-($CE$2-AI$2)/$C5)&gt;0,(1-($CE$2-AI$2)/$C5),0)</f>
        <v>0</v>
      </c>
      <c r="BX5" s="43">
        <f t="shared" ref="BX5:BX12" si="10">IF((1-($CE$2-AM$2)/$C5)&gt;0,(1-($CE$2-AM$2)/$C5),0)</f>
        <v>0</v>
      </c>
      <c r="BY5" s="43">
        <f t="shared" ref="BY5:BY12" si="11">IF((1-($CE$2-AQ$2)/$C5)&gt;0,(1-($CE$2-AQ$2)/$C5),0)</f>
        <v>0</v>
      </c>
      <c r="BZ5" s="43">
        <f t="shared" ref="BZ5:BZ12" si="12">IF((1-($CE$2-AU$2)/$C5)&gt;0,(1-($CE$2-AU$2)/$C5),0)</f>
        <v>0.25</v>
      </c>
      <c r="CA5" s="43">
        <f t="shared" ref="CA5:CA12" si="13">IF((1-($CE$2-AY$2)/$C5)&gt;0,(1-($CE$2-AY$2)/$C5),0)</f>
        <v>0.5</v>
      </c>
      <c r="CB5" s="43">
        <f t="shared" ref="CB5:CB12" si="14">IF((1-($CE$2-BC$2)/$C5)&gt;0,(1-($CE$2-BC$2)/$C5),0)</f>
        <v>0.75</v>
      </c>
      <c r="CC5" s="43">
        <f>IF(BG5=0,0,1-($CE$2-(2014.5-(BG5-BI5)*C5/BG5))/C5)</f>
        <v>0</v>
      </c>
      <c r="CD5" s="43">
        <f t="shared" ref="CD5:CD12" si="15">IF((1-($CE$2-BJ$2)/$C5)&gt;0,(1-($CE$2-BJ$2)/$C5),0)</f>
        <v>1</v>
      </c>
      <c r="CE5" s="239">
        <f>D5-E5+(G5-I5)*G$60+(K5-M5)*K$60+(O5-Q5)*O$60+(S5-U5)*S$60+(W5-Y5)*W$60+(AA5-AC5)*AA$60+(AE5-AG5)*AE$60+(AI5-AK5)*AI$60+(AM5-AO5)*AM$60+(AQ5-AS5)*$AQ$60+(AU5-AW5)*$AU$60+(AY5-BA5)*$AY$60+(BC5-BE5)*$BC$60+BG5+(BJ5-BL5)*$BJ$60</f>
        <v>3602142.6188568319</v>
      </c>
      <c r="CF5" s="239">
        <f>CE5-(IF(BO5=0,0,D5-E5)+IF(BP5=0,0,(G5-I5)*G$60)+IF(BQ5=0,0,(K5-M5)*K$60)+IF(BR5=0,0,(O5-Q5)*O$60)+IF(BS5=0,0,(S5-U5)*S$60)+IF(BT5=0,0,(W5-Y5)*W$60)+IF(BU5=0,0,(AA5-AC5)*AA$60)+IF(BV5=0,0,(AE5-AG5)*AE$60)+IF(BW5=0,0,(AI5-AK5)*AI$60)+IF(BX5=0,0,(AM5-AO5)*AM$60)+IF(BY5=0,0,(AQ5-AS5)*$AQ$60)+IF(BZ5=0,0,(AU5-AW5)*$AU$60)+IF(CA5=0,0,(AY5-BA5)*$AY$60)++IF(CB5=0,0,(BC5-BE5)*$BC$60)+IF(CC5=0,0,BG5)+IF(CD5=0,0,(BJ5-BL5)*$BC$60))</f>
        <v>2975815.4790593502</v>
      </c>
      <c r="CG5" s="239">
        <f>(D5-E5)*BO5+((G5-H5-(I5-J5))*G$60)*BP5+((K5-L5-(M5-N5))*K$60)*BQ5+((O5-P5-(Q5-R5))*O$60)*BR5+((S5-T5-(U5-V5))*S$60)*BS5+((W5-X5-(Y5-Z5))*W$60)*BT5+((AA5-AB5-(AC5-AD5))*AA$60)*BU5+((AE5-AF5-(AG5-AH5))*AE$60)*BV5+((AI5-AJ5-(AK5-AL5))*AI$60)*BW5+((AM5-AN5)*BX5-(AO5-AP5))*$AM$60+((AQ5-AR5)*BY5-(AS5-AT5))*$AQ$60+((AU5-AV5)*BZ5-(AW5-AX5))*$AU$60+((AY5-AZ5)*CA5-(BA5-BB5))*$AY$60+((BC5-BD5)*CB5-(BF5-BN5))*$BC$60+(BG5-BH5)*CC5+((BJ5-BK5)*CD5-(BL5-BM5))*$BC$60</f>
        <v>604274.92486652092</v>
      </c>
    </row>
    <row r="6" spans="1:85" ht="12.75" customHeight="1" x14ac:dyDescent="0.25">
      <c r="A6" s="479"/>
      <c r="B6" s="3" t="s">
        <v>8</v>
      </c>
      <c r="C6" s="17">
        <v>1000</v>
      </c>
      <c r="D6" s="37">
        <v>103551.78496860871</v>
      </c>
      <c r="E6" s="151"/>
      <c r="F6" s="160">
        <v>103551.78496860871</v>
      </c>
      <c r="G6" s="87">
        <v>3081.72</v>
      </c>
      <c r="H6" s="88"/>
      <c r="I6" s="127"/>
      <c r="J6" s="88"/>
      <c r="K6" s="89">
        <v>0</v>
      </c>
      <c r="L6" s="90"/>
      <c r="M6" s="153"/>
      <c r="N6" s="91"/>
      <c r="O6" s="95">
        <v>0</v>
      </c>
      <c r="P6" s="93"/>
      <c r="Q6" s="94"/>
      <c r="R6" s="93"/>
      <c r="S6" s="154">
        <v>0</v>
      </c>
      <c r="T6" s="114"/>
      <c r="U6" s="154"/>
      <c r="V6" s="155"/>
      <c r="W6" s="58">
        <v>0</v>
      </c>
      <c r="X6" s="58">
        <v>0</v>
      </c>
      <c r="Y6" s="58"/>
      <c r="Z6" s="59"/>
      <c r="AA6" s="76">
        <v>0</v>
      </c>
      <c r="AB6" s="156">
        <v>0</v>
      </c>
      <c r="AC6" s="157"/>
      <c r="AD6" s="61"/>
      <c r="AE6" s="63">
        <v>0</v>
      </c>
      <c r="AF6" s="63">
        <v>0</v>
      </c>
      <c r="AG6" s="158"/>
      <c r="AH6" s="62"/>
      <c r="AI6" s="154">
        <v>0</v>
      </c>
      <c r="AJ6" s="154">
        <v>0</v>
      </c>
      <c r="AK6" s="154"/>
      <c r="AL6" s="155"/>
      <c r="AM6" s="49">
        <v>0</v>
      </c>
      <c r="AN6" s="49">
        <v>0</v>
      </c>
      <c r="AO6" s="49"/>
      <c r="AP6" s="50"/>
      <c r="AQ6" s="159">
        <v>0</v>
      </c>
      <c r="AR6" s="198">
        <v>0</v>
      </c>
      <c r="AS6" s="198"/>
      <c r="AT6" s="198"/>
      <c r="AU6" s="210">
        <v>0</v>
      </c>
      <c r="AV6" s="210">
        <v>0</v>
      </c>
      <c r="AW6" s="210"/>
      <c r="AX6" s="210"/>
      <c r="AY6" s="129">
        <v>0</v>
      </c>
      <c r="AZ6" s="129">
        <v>0</v>
      </c>
      <c r="BA6" s="129"/>
      <c r="BB6" s="129"/>
      <c r="BC6" s="144">
        <v>215517.81</v>
      </c>
      <c r="BD6" s="136"/>
      <c r="BE6" s="136"/>
      <c r="BF6" s="136"/>
      <c r="BG6" s="252">
        <v>690000</v>
      </c>
      <c r="BH6" s="252"/>
      <c r="BI6" s="252">
        <v>690000</v>
      </c>
      <c r="BJ6" s="226">
        <v>0</v>
      </c>
      <c r="BK6" s="226"/>
      <c r="BL6" s="226"/>
      <c r="BM6" s="226"/>
      <c r="BN6" s="26">
        <f t="shared" si="0"/>
        <v>2001</v>
      </c>
      <c r="BO6" s="43">
        <f t="shared" si="1"/>
        <v>0.98599999999999999</v>
      </c>
      <c r="BP6" s="43">
        <f t="shared" si="2"/>
        <v>0.98699999999999999</v>
      </c>
      <c r="BQ6" s="43">
        <f t="shared" si="3"/>
        <v>0.98799999999999999</v>
      </c>
      <c r="BR6" s="43">
        <f t="shared" si="4"/>
        <v>0.98899999999999999</v>
      </c>
      <c r="BS6" s="43">
        <f t="shared" si="5"/>
        <v>0.99</v>
      </c>
      <c r="BT6" s="43">
        <f t="shared" si="6"/>
        <v>0.99099999999999999</v>
      </c>
      <c r="BU6" s="43">
        <f t="shared" si="7"/>
        <v>0.99199999999999999</v>
      </c>
      <c r="BV6" s="43">
        <f t="shared" si="8"/>
        <v>0.99299999999999999</v>
      </c>
      <c r="BW6" s="43">
        <f t="shared" si="9"/>
        <v>0.99399999999999999</v>
      </c>
      <c r="BX6" s="43">
        <f t="shared" si="10"/>
        <v>0.995</v>
      </c>
      <c r="BY6" s="43">
        <f t="shared" si="11"/>
        <v>0.996</v>
      </c>
      <c r="BZ6" s="43">
        <f t="shared" si="12"/>
        <v>0.997</v>
      </c>
      <c r="CA6" s="43">
        <f t="shared" si="13"/>
        <v>0.998</v>
      </c>
      <c r="CB6" s="43">
        <f t="shared" si="14"/>
        <v>0.999</v>
      </c>
      <c r="CC6" s="43">
        <f t="shared" ref="CC6:CC12" si="16">IF(BG6=0,0,1-($CE$2-(2014.5-(BG6-BI6)*C6/BG6))/C6)</f>
        <v>0.99950000000000006</v>
      </c>
      <c r="CD6" s="43">
        <f t="shared" si="15"/>
        <v>1</v>
      </c>
      <c r="CE6" s="239">
        <f t="shared" ref="CE6:CE12" si="17">D6-E6+(G6-I6)*G$60+(K6-M6)*K$60+(O6-Q6)*O$60+(S6-U6)*S$60+(W6-Y6)*W$60+(AA6-AC6)*AA$60+(AE6-AG6)*AE$60+(AI6-AK6)*AI$60+(AM6-AO6)*AM$60+(AQ6-AS6)*$AQ$60+(AU6-AW6)*$AU$60+(AY6-BA6)*$AY$60+(BC6-BE6)*$BC$60+BG6+(BJ6-BL6)*$BJ$60</f>
        <v>989940.15600311663</v>
      </c>
      <c r="CF6" s="239">
        <f t="shared" ref="CF6:CF12" si="18">CE6-(IF(BO6=0,0,D6-E6)+IF(BP6=0,0,(G6-I6)*G$60)+IF(BQ6=0,0,(K6-M6)*K$60)+IF(BR6=0,0,(O6-Q6)*O$60)+IF(BS6=0,0,(S6-U6)*S$60)+IF(BT6=0,0,(W6-Y6)*W$60)+IF(BU6=0,0,(AA6-AC6)*AA$60)+IF(BV6=0,0,(AE6-AG6)*AE$60)+IF(BW6=0,0,(AI6-AK6)*AI$60)+IF(BX6=0,0,(AM6-AO6)*AM$60)+IF(BY6=0,0,(AQ6-AS6)*$AQ$60)+IF(BZ6=0,0,(AU6-AW6)*$AU$60)+IF(CA6=0,0,(AY6-BA6)*$AY$60)++IF(CB6=0,0,(BC6-BE6)*$BC$60)+IF(CC6=0,0,BG6)+IF(CD6=0,0,(BJ6-BL6)*$BC$60))</f>
        <v>0</v>
      </c>
      <c r="CG6" s="239">
        <f t="shared" ref="CG6:CG12" si="19">(D6-E6)*BO6+((G6-H6-(I6-J6))*G$60)*BP6+((K6-L6-(M6-N6))*K$60)*BQ6+((O6-P6-(Q6-R6))*O$60)*BR6+((S6-T6-(U6-V6))*S$60)*BS6+((W6-X6-(Y6-Z6))*W$60)*BT6+((AA6-AB6-(AC6-AD6))*AA$60)*BU6+((AE6-AF6-(AG6-AH6))*AE$60)*BV6+((AI6-AJ6-(AK6-AL6))*AI$60)*BW6+((AM6-AN6)*BX6-(AO6-AP6))*$AM$60+((AQ6-AR6)*BY6-(AS6-AT6))*$AQ$60+((AU6-AV6)*BZ6-(AW6-AX6))*$AU$60+((AY6-AZ6)*CA6-(BA6-BB6))*$AY$60+((BC6-BD6)*CB6-(BF6-BN6))*$BC$60+(BG6-BH6)*CC6+((BJ6-BK6)*CD6-(BL6-BM6))*$BC$60</f>
        <v>989724.27071747556</v>
      </c>
    </row>
    <row r="7" spans="1:85" ht="12.75" customHeight="1" x14ac:dyDescent="0.25">
      <c r="A7" s="479"/>
      <c r="B7" s="3" t="s">
        <v>9</v>
      </c>
      <c r="C7" s="7">
        <v>40</v>
      </c>
      <c r="D7" s="37">
        <v>1140916.4856518731</v>
      </c>
      <c r="E7" s="151"/>
      <c r="F7" s="152">
        <v>709242.31697422103</v>
      </c>
      <c r="G7" s="87">
        <v>4550.21</v>
      </c>
      <c r="H7" s="88"/>
      <c r="I7" s="127"/>
      <c r="J7" s="88"/>
      <c r="K7" s="89">
        <v>8402.57</v>
      </c>
      <c r="L7" s="90"/>
      <c r="M7" s="153"/>
      <c r="N7" s="91"/>
      <c r="O7" s="95">
        <v>0</v>
      </c>
      <c r="P7" s="93"/>
      <c r="Q7" s="94"/>
      <c r="R7" s="93"/>
      <c r="S7" s="154">
        <v>38527</v>
      </c>
      <c r="T7" s="114"/>
      <c r="U7" s="154"/>
      <c r="V7" s="155"/>
      <c r="W7" s="58">
        <v>34301.56</v>
      </c>
      <c r="X7" s="58">
        <v>0</v>
      </c>
      <c r="Y7" s="58"/>
      <c r="Z7" s="59"/>
      <c r="AA7" s="70">
        <v>58280.87</v>
      </c>
      <c r="AB7" s="156">
        <v>0</v>
      </c>
      <c r="AC7" s="157"/>
      <c r="AD7" s="61"/>
      <c r="AE7" s="63">
        <v>2487.96</v>
      </c>
      <c r="AF7" s="63">
        <v>0</v>
      </c>
      <c r="AG7" s="158"/>
      <c r="AH7" s="62"/>
      <c r="AI7" s="154">
        <v>0</v>
      </c>
      <c r="AJ7" s="154">
        <v>0</v>
      </c>
      <c r="AK7" s="154"/>
      <c r="AL7" s="155"/>
      <c r="AM7" s="49">
        <v>0</v>
      </c>
      <c r="AN7" s="49">
        <v>0</v>
      </c>
      <c r="AO7" s="49"/>
      <c r="AP7" s="50"/>
      <c r="AQ7" s="159">
        <v>7039.45</v>
      </c>
      <c r="AR7" s="198">
        <v>0</v>
      </c>
      <c r="AS7" s="198"/>
      <c r="AT7" s="198"/>
      <c r="AU7" s="210">
        <v>0</v>
      </c>
      <c r="AV7" s="210">
        <v>0</v>
      </c>
      <c r="AW7" s="210"/>
      <c r="AX7" s="210"/>
      <c r="AY7" s="129">
        <v>0</v>
      </c>
      <c r="AZ7" s="129">
        <v>0</v>
      </c>
      <c r="BA7" s="129"/>
      <c r="BB7" s="129"/>
      <c r="BC7" s="144">
        <v>8855.2000000000007</v>
      </c>
      <c r="BD7" s="136"/>
      <c r="BE7" s="136"/>
      <c r="BF7" s="136"/>
      <c r="BG7" s="252">
        <v>250000</v>
      </c>
      <c r="BH7" s="252"/>
      <c r="BI7" s="252">
        <v>250000</v>
      </c>
      <c r="BJ7" s="226">
        <v>132639.19</v>
      </c>
      <c r="BK7" s="226"/>
      <c r="BL7" s="226"/>
      <c r="BM7" s="226"/>
      <c r="BN7" s="26">
        <f t="shared" si="0"/>
        <v>1985.8657049273502</v>
      </c>
      <c r="BO7" s="43">
        <f t="shared" si="1"/>
        <v>0.27164262318375454</v>
      </c>
      <c r="BP7" s="43">
        <f t="shared" si="2"/>
        <v>0.67500000000000004</v>
      </c>
      <c r="BQ7" s="43">
        <f t="shared" si="3"/>
        <v>0.7</v>
      </c>
      <c r="BR7" s="43">
        <f t="shared" si="4"/>
        <v>0.72499999999999998</v>
      </c>
      <c r="BS7" s="43">
        <f t="shared" si="5"/>
        <v>0.75</v>
      </c>
      <c r="BT7" s="43">
        <f t="shared" si="6"/>
        <v>0.77500000000000002</v>
      </c>
      <c r="BU7" s="43">
        <f t="shared" si="7"/>
        <v>0.8</v>
      </c>
      <c r="BV7" s="43">
        <f t="shared" si="8"/>
        <v>0.82499999999999996</v>
      </c>
      <c r="BW7" s="43">
        <f t="shared" si="9"/>
        <v>0.85</v>
      </c>
      <c r="BX7" s="43">
        <f t="shared" si="10"/>
        <v>0.875</v>
      </c>
      <c r="BY7" s="43">
        <f t="shared" si="11"/>
        <v>0.9</v>
      </c>
      <c r="BZ7" s="43">
        <f t="shared" si="12"/>
        <v>0.92500000000000004</v>
      </c>
      <c r="CA7" s="43">
        <f t="shared" si="13"/>
        <v>0.95</v>
      </c>
      <c r="CB7" s="43">
        <f t="shared" si="14"/>
        <v>0.97499999999999998</v>
      </c>
      <c r="CC7" s="43">
        <f t="shared" si="16"/>
        <v>0.98750000000000004</v>
      </c>
      <c r="CD7" s="43">
        <f t="shared" si="15"/>
        <v>1</v>
      </c>
      <c r="CE7" s="239">
        <f t="shared" si="17"/>
        <v>1628486.3546337117</v>
      </c>
      <c r="CF7" s="239">
        <f t="shared" si="18"/>
        <v>-10525.299460712587</v>
      </c>
      <c r="CG7" s="239">
        <f t="shared" si="19"/>
        <v>780143.77178023499</v>
      </c>
    </row>
    <row r="8" spans="1:85" ht="12.75" customHeight="1" x14ac:dyDescent="0.25">
      <c r="A8" s="479"/>
      <c r="B8" s="3" t="s">
        <v>10</v>
      </c>
      <c r="C8" s="7">
        <v>7</v>
      </c>
      <c r="D8" s="37">
        <v>945208.52892382524</v>
      </c>
      <c r="E8" s="151"/>
      <c r="F8" s="152">
        <v>67667.069379360895</v>
      </c>
      <c r="G8" s="87">
        <v>7357.58</v>
      </c>
      <c r="H8" s="88"/>
      <c r="I8" s="127"/>
      <c r="J8" s="88"/>
      <c r="K8" s="89">
        <v>6582.56</v>
      </c>
      <c r="L8" s="90"/>
      <c r="M8" s="153"/>
      <c r="N8" s="91"/>
      <c r="O8" s="95">
        <v>282.37</v>
      </c>
      <c r="P8" s="93"/>
      <c r="Q8" s="94"/>
      <c r="R8" s="93"/>
      <c r="S8" s="154">
        <v>0</v>
      </c>
      <c r="T8" s="114"/>
      <c r="U8" s="154"/>
      <c r="V8" s="155"/>
      <c r="W8" s="58">
        <v>17809.370000000003</v>
      </c>
      <c r="X8" s="58">
        <v>0</v>
      </c>
      <c r="Y8" s="58"/>
      <c r="Z8" s="59"/>
      <c r="AA8" s="76">
        <v>5325</v>
      </c>
      <c r="AB8" s="156">
        <v>0</v>
      </c>
      <c r="AC8" s="157"/>
      <c r="AD8" s="61"/>
      <c r="AE8" s="63">
        <v>5151</v>
      </c>
      <c r="AF8" s="63">
        <v>0</v>
      </c>
      <c r="AG8" s="158"/>
      <c r="AH8" s="62"/>
      <c r="AI8" s="154">
        <v>7295</v>
      </c>
      <c r="AJ8" s="154">
        <v>0</v>
      </c>
      <c r="AK8" s="154"/>
      <c r="AL8" s="155"/>
      <c r="AM8" s="49">
        <v>0</v>
      </c>
      <c r="AN8" s="49">
        <v>0</v>
      </c>
      <c r="AO8" s="49"/>
      <c r="AP8" s="53"/>
      <c r="AQ8" s="159">
        <v>8381.86</v>
      </c>
      <c r="AR8" s="198">
        <v>0</v>
      </c>
      <c r="AS8" s="198"/>
      <c r="AT8" s="198"/>
      <c r="AU8" s="210">
        <v>0</v>
      </c>
      <c r="AV8" s="210">
        <v>0</v>
      </c>
      <c r="AW8" s="210"/>
      <c r="AX8" s="210"/>
      <c r="AY8" s="129">
        <v>22739</v>
      </c>
      <c r="AZ8" s="129">
        <v>0</v>
      </c>
      <c r="BA8" s="129"/>
      <c r="BB8" s="129"/>
      <c r="BC8" s="144">
        <v>0</v>
      </c>
      <c r="BD8" s="136"/>
      <c r="BE8" s="136"/>
      <c r="BF8" s="136"/>
      <c r="BG8" s="252"/>
      <c r="BH8" s="252"/>
      <c r="BI8" s="252"/>
      <c r="BJ8" s="226">
        <v>0</v>
      </c>
      <c r="BK8" s="226"/>
      <c r="BL8" s="226"/>
      <c r="BM8" s="226"/>
      <c r="BN8" s="26">
        <f t="shared" si="0"/>
        <v>1994.501126969511</v>
      </c>
      <c r="BO8" s="43">
        <f t="shared" si="1"/>
        <v>0</v>
      </c>
      <c r="BP8" s="43">
        <f t="shared" si="2"/>
        <v>0</v>
      </c>
      <c r="BQ8" s="43">
        <f t="shared" si="3"/>
        <v>0</v>
      </c>
      <c r="BR8" s="43">
        <f t="shared" si="4"/>
        <v>0</v>
      </c>
      <c r="BS8" s="43">
        <f t="shared" si="5"/>
        <v>0</v>
      </c>
      <c r="BT8" s="43">
        <f t="shared" si="6"/>
        <v>0</v>
      </c>
      <c r="BU8" s="43">
        <f t="shared" si="7"/>
        <v>0</v>
      </c>
      <c r="BV8" s="43">
        <f t="shared" si="8"/>
        <v>0</v>
      </c>
      <c r="BW8" s="43">
        <f t="shared" si="9"/>
        <v>0.1428571428571429</v>
      </c>
      <c r="BX8" s="43">
        <f t="shared" si="10"/>
        <v>0.2857142857142857</v>
      </c>
      <c r="BY8" s="43">
        <f t="shared" si="11"/>
        <v>0.4285714285714286</v>
      </c>
      <c r="BZ8" s="43">
        <f t="shared" si="12"/>
        <v>0.5714285714285714</v>
      </c>
      <c r="CA8" s="43">
        <f t="shared" si="13"/>
        <v>0.7142857142857143</v>
      </c>
      <c r="CB8" s="43">
        <f t="shared" si="14"/>
        <v>0.85714285714285721</v>
      </c>
      <c r="CC8" s="43">
        <f t="shared" si="16"/>
        <v>0</v>
      </c>
      <c r="CD8" s="43">
        <f t="shared" si="15"/>
        <v>1</v>
      </c>
      <c r="CE8" s="239">
        <f t="shared" si="17"/>
        <v>1017335.5550798584</v>
      </c>
      <c r="CF8" s="239">
        <f t="shared" si="18"/>
        <v>980238.12840340531</v>
      </c>
      <c r="CG8" s="239">
        <f t="shared" si="19"/>
        <v>22399.693388294876</v>
      </c>
    </row>
    <row r="9" spans="1:85" ht="12.75" customHeight="1" x14ac:dyDescent="0.25">
      <c r="A9" s="479"/>
      <c r="B9" s="3" t="s">
        <v>11</v>
      </c>
      <c r="C9" s="7">
        <v>4</v>
      </c>
      <c r="D9" s="37">
        <v>626223.15650914935</v>
      </c>
      <c r="E9" s="151"/>
      <c r="F9" s="152">
        <v>147123.07508079166</v>
      </c>
      <c r="G9" s="87">
        <v>22741.82</v>
      </c>
      <c r="H9" s="88"/>
      <c r="I9" s="127"/>
      <c r="J9" s="88"/>
      <c r="K9" s="89">
        <v>15401.33</v>
      </c>
      <c r="L9" s="90"/>
      <c r="M9" s="153"/>
      <c r="N9" s="91"/>
      <c r="O9" s="95">
        <v>44549.32</v>
      </c>
      <c r="P9" s="93"/>
      <c r="Q9" s="94"/>
      <c r="R9" s="93"/>
      <c r="S9" s="154">
        <v>11154.82</v>
      </c>
      <c r="T9" s="114"/>
      <c r="U9" s="154"/>
      <c r="V9" s="155"/>
      <c r="W9" s="58">
        <v>87253.48000000001</v>
      </c>
      <c r="X9" s="58">
        <v>0</v>
      </c>
      <c r="Y9" s="58"/>
      <c r="Z9" s="59"/>
      <c r="AA9" s="76">
        <v>38353.979999999996</v>
      </c>
      <c r="AB9" s="156">
        <v>0</v>
      </c>
      <c r="AC9" s="157"/>
      <c r="AD9" s="61"/>
      <c r="AE9" s="63">
        <v>0</v>
      </c>
      <c r="AF9" s="63">
        <v>0</v>
      </c>
      <c r="AG9" s="158"/>
      <c r="AH9" s="62"/>
      <c r="AI9" s="154">
        <v>51587.420000000006</v>
      </c>
      <c r="AJ9" s="154">
        <v>0</v>
      </c>
      <c r="AK9" s="154"/>
      <c r="AL9" s="155"/>
      <c r="AM9" s="49">
        <v>20997.82</v>
      </c>
      <c r="AN9" s="49">
        <v>0</v>
      </c>
      <c r="AO9" s="49"/>
      <c r="AP9" s="50"/>
      <c r="AQ9" s="159">
        <v>2369.5</v>
      </c>
      <c r="AR9" s="198">
        <v>0</v>
      </c>
      <c r="AS9" s="198"/>
      <c r="AT9" s="198"/>
      <c r="AU9" s="210">
        <v>0</v>
      </c>
      <c r="AV9" s="210">
        <v>0</v>
      </c>
      <c r="AW9" s="210"/>
      <c r="AX9" s="210"/>
      <c r="AY9" s="129">
        <v>4786.7</v>
      </c>
      <c r="AZ9" s="129">
        <v>0</v>
      </c>
      <c r="BA9" s="129"/>
      <c r="BB9" s="129"/>
      <c r="BC9" s="144">
        <v>931198.84</v>
      </c>
      <c r="BD9" s="136"/>
      <c r="BE9" s="136"/>
      <c r="BF9" s="136"/>
      <c r="BG9" s="252"/>
      <c r="BH9" s="252"/>
      <c r="BI9" s="252"/>
      <c r="BJ9" s="226">
        <v>0</v>
      </c>
      <c r="BK9" s="226"/>
      <c r="BL9" s="226"/>
      <c r="BM9" s="226"/>
      <c r="BN9" s="26">
        <f t="shared" si="0"/>
        <v>1997.9397485452369</v>
      </c>
      <c r="BO9" s="43">
        <f t="shared" si="1"/>
        <v>0</v>
      </c>
      <c r="BP9" s="43">
        <f t="shared" si="2"/>
        <v>0</v>
      </c>
      <c r="BQ9" s="43">
        <f t="shared" si="3"/>
        <v>0</v>
      </c>
      <c r="BR9" s="43">
        <f t="shared" si="4"/>
        <v>0</v>
      </c>
      <c r="BS9" s="43">
        <f t="shared" si="5"/>
        <v>0</v>
      </c>
      <c r="BT9" s="43">
        <f t="shared" si="6"/>
        <v>0</v>
      </c>
      <c r="BU9" s="43">
        <f t="shared" si="7"/>
        <v>0</v>
      </c>
      <c r="BV9" s="43">
        <f t="shared" si="8"/>
        <v>0</v>
      </c>
      <c r="BW9" s="43">
        <f t="shared" si="9"/>
        <v>0</v>
      </c>
      <c r="BX9" s="43">
        <f t="shared" si="10"/>
        <v>0</v>
      </c>
      <c r="BY9" s="43">
        <f t="shared" si="11"/>
        <v>0</v>
      </c>
      <c r="BZ9" s="43">
        <f t="shared" si="12"/>
        <v>0.25</v>
      </c>
      <c r="CA9" s="43">
        <f t="shared" si="13"/>
        <v>0.5</v>
      </c>
      <c r="CB9" s="43">
        <f t="shared" si="14"/>
        <v>0.75</v>
      </c>
      <c r="CC9" s="43">
        <f t="shared" si="16"/>
        <v>0</v>
      </c>
      <c r="CD9" s="43">
        <f t="shared" si="15"/>
        <v>1</v>
      </c>
      <c r="CE9" s="239">
        <f t="shared" si="17"/>
        <v>1717224.9423312545</v>
      </c>
      <c r="CF9" s="239">
        <f t="shared" si="18"/>
        <v>873669.86602493422</v>
      </c>
      <c r="CG9" s="239">
        <f t="shared" si="19"/>
        <v>633269.25719366863</v>
      </c>
    </row>
    <row r="10" spans="1:85" ht="12.75" customHeight="1" x14ac:dyDescent="0.25">
      <c r="A10" s="479"/>
      <c r="B10" s="3" t="s">
        <v>12</v>
      </c>
      <c r="C10" s="7">
        <v>5</v>
      </c>
      <c r="D10" s="37">
        <v>1564545.6307439422</v>
      </c>
      <c r="E10" s="151"/>
      <c r="F10" s="152">
        <v>275838.40370647283</v>
      </c>
      <c r="G10" s="87">
        <v>0</v>
      </c>
      <c r="H10" s="88"/>
      <c r="I10" s="127"/>
      <c r="J10" s="88"/>
      <c r="K10" s="89">
        <v>0</v>
      </c>
      <c r="L10" s="90"/>
      <c r="M10" s="153"/>
      <c r="N10" s="91"/>
      <c r="O10" s="95">
        <v>0</v>
      </c>
      <c r="P10" s="93"/>
      <c r="Q10" s="94"/>
      <c r="R10" s="93"/>
      <c r="S10" s="154">
        <v>0</v>
      </c>
      <c r="T10" s="114"/>
      <c r="U10" s="154"/>
      <c r="V10" s="155"/>
      <c r="W10" s="58">
        <v>74281.899999999994</v>
      </c>
      <c r="X10" s="58">
        <v>0</v>
      </c>
      <c r="Y10" s="58"/>
      <c r="Z10" s="59"/>
      <c r="AA10" s="76">
        <v>0</v>
      </c>
      <c r="AB10" s="156">
        <v>0</v>
      </c>
      <c r="AC10" s="157"/>
      <c r="AD10" s="61"/>
      <c r="AE10" s="63">
        <v>0</v>
      </c>
      <c r="AF10" s="63">
        <v>0</v>
      </c>
      <c r="AG10" s="158"/>
      <c r="AH10" s="62"/>
      <c r="AI10" s="154">
        <v>0</v>
      </c>
      <c r="AJ10" s="154">
        <v>0</v>
      </c>
      <c r="AK10" s="154"/>
      <c r="AL10" s="155"/>
      <c r="AM10" s="49">
        <v>0</v>
      </c>
      <c r="AN10" s="49">
        <v>0</v>
      </c>
      <c r="AO10" s="49"/>
      <c r="AP10" s="50"/>
      <c r="AQ10" s="159">
        <v>94920</v>
      </c>
      <c r="AR10" s="198">
        <v>0</v>
      </c>
      <c r="AS10" s="198"/>
      <c r="AT10" s="198"/>
      <c r="AU10" s="210">
        <v>0</v>
      </c>
      <c r="AV10" s="210">
        <v>0</v>
      </c>
      <c r="AW10" s="210"/>
      <c r="AX10" s="210"/>
      <c r="AY10" s="129">
        <v>16667</v>
      </c>
      <c r="AZ10" s="129">
        <v>0</v>
      </c>
      <c r="BA10" s="129"/>
      <c r="BB10" s="129"/>
      <c r="BC10" s="144">
        <v>0</v>
      </c>
      <c r="BD10" s="136"/>
      <c r="BE10" s="136"/>
      <c r="BF10" s="136"/>
      <c r="BG10" s="252"/>
      <c r="BH10" s="252"/>
      <c r="BI10" s="252"/>
      <c r="BJ10" s="226">
        <v>113500</v>
      </c>
      <c r="BK10" s="226"/>
      <c r="BL10" s="226"/>
      <c r="BM10" s="226"/>
      <c r="BN10" s="26">
        <f t="shared" si="0"/>
        <v>1996.8815287911268</v>
      </c>
      <c r="BO10" s="43">
        <f t="shared" si="1"/>
        <v>0</v>
      </c>
      <c r="BP10" s="43">
        <f t="shared" si="2"/>
        <v>0</v>
      </c>
      <c r="BQ10" s="43">
        <f t="shared" si="3"/>
        <v>0</v>
      </c>
      <c r="BR10" s="43">
        <f t="shared" si="4"/>
        <v>0</v>
      </c>
      <c r="BS10" s="43">
        <f t="shared" si="5"/>
        <v>0</v>
      </c>
      <c r="BT10" s="43">
        <f t="shared" si="6"/>
        <v>0</v>
      </c>
      <c r="BU10" s="43">
        <f t="shared" si="7"/>
        <v>0</v>
      </c>
      <c r="BV10" s="43">
        <f t="shared" si="8"/>
        <v>0</v>
      </c>
      <c r="BW10" s="43">
        <f t="shared" si="9"/>
        <v>0</v>
      </c>
      <c r="BX10" s="43">
        <f t="shared" si="10"/>
        <v>0</v>
      </c>
      <c r="BY10" s="43">
        <f t="shared" si="11"/>
        <v>0.19999999999999996</v>
      </c>
      <c r="BZ10" s="43">
        <f t="shared" si="12"/>
        <v>0.4</v>
      </c>
      <c r="CA10" s="43">
        <f t="shared" si="13"/>
        <v>0.6</v>
      </c>
      <c r="CB10" s="43">
        <f t="shared" si="14"/>
        <v>0.8</v>
      </c>
      <c r="CC10" s="43">
        <f t="shared" si="16"/>
        <v>0</v>
      </c>
      <c r="CD10" s="43">
        <f t="shared" si="15"/>
        <v>1</v>
      </c>
      <c r="CE10" s="239">
        <f t="shared" si="17"/>
        <v>1831819.5377837906</v>
      </c>
      <c r="CF10" s="239">
        <f t="shared" si="18"/>
        <v>1621367.4566187293</v>
      </c>
      <c r="CG10" s="239">
        <f t="shared" si="19"/>
        <v>132343.11250216365</v>
      </c>
    </row>
    <row r="11" spans="1:85" ht="12.75" customHeight="1" x14ac:dyDescent="0.25">
      <c r="A11" s="479"/>
      <c r="B11" s="3" t="s">
        <v>13</v>
      </c>
      <c r="C11" s="7">
        <v>8</v>
      </c>
      <c r="D11" s="37">
        <v>0</v>
      </c>
      <c r="E11" s="151"/>
      <c r="F11" s="152">
        <v>0</v>
      </c>
      <c r="G11" s="87">
        <v>51708.179991999998</v>
      </c>
      <c r="H11" s="88"/>
      <c r="I11" s="127"/>
      <c r="J11" s="88"/>
      <c r="K11" s="89">
        <v>4151.08</v>
      </c>
      <c r="L11" s="90"/>
      <c r="M11" s="153"/>
      <c r="N11" s="91"/>
      <c r="O11" s="95">
        <v>30862.359060999996</v>
      </c>
      <c r="P11" s="93"/>
      <c r="Q11" s="94"/>
      <c r="R11" s="93"/>
      <c r="S11" s="154">
        <v>0</v>
      </c>
      <c r="T11" s="114"/>
      <c r="U11" s="154"/>
      <c r="V11" s="155"/>
      <c r="W11" s="58">
        <v>0</v>
      </c>
      <c r="X11" s="58">
        <v>0</v>
      </c>
      <c r="Y11" s="58"/>
      <c r="Z11" s="59"/>
      <c r="AA11" s="76">
        <v>0</v>
      </c>
      <c r="AB11" s="156">
        <v>0</v>
      </c>
      <c r="AC11" s="157"/>
      <c r="AD11" s="61"/>
      <c r="AE11" s="63">
        <v>0</v>
      </c>
      <c r="AF11" s="63">
        <v>0</v>
      </c>
      <c r="AG11" s="158"/>
      <c r="AH11" s="62"/>
      <c r="AI11" s="154">
        <v>14365.63</v>
      </c>
      <c r="AJ11" s="154">
        <v>0</v>
      </c>
      <c r="AK11" s="154"/>
      <c r="AL11" s="155"/>
      <c r="AM11" s="49">
        <v>9332.4</v>
      </c>
      <c r="AN11" s="49">
        <v>0</v>
      </c>
      <c r="AO11" s="49"/>
      <c r="AP11" s="50"/>
      <c r="AQ11" s="159">
        <v>9332</v>
      </c>
      <c r="AR11" s="198">
        <v>0</v>
      </c>
      <c r="AS11" s="198"/>
      <c r="AT11" s="198"/>
      <c r="AU11" s="210">
        <v>0</v>
      </c>
      <c r="AV11" s="210">
        <v>0</v>
      </c>
      <c r="AW11" s="210"/>
      <c r="AX11" s="210"/>
      <c r="AY11" s="129">
        <v>0</v>
      </c>
      <c r="AZ11" s="129">
        <v>0</v>
      </c>
      <c r="BA11" s="129"/>
      <c r="BB11" s="129"/>
      <c r="BC11" s="144">
        <v>41463</v>
      </c>
      <c r="BD11" s="136"/>
      <c r="BE11" s="136"/>
      <c r="BF11" s="136"/>
      <c r="BG11" s="252"/>
      <c r="BH11" s="252"/>
      <c r="BI11" s="252"/>
      <c r="BJ11" s="226">
        <v>31935.4</v>
      </c>
      <c r="BK11" s="226"/>
      <c r="BL11" s="226"/>
      <c r="BM11" s="226"/>
      <c r="BN11" s="26">
        <f t="shared" si="0"/>
        <v>0</v>
      </c>
      <c r="BO11" s="43">
        <f t="shared" si="1"/>
        <v>0</v>
      </c>
      <c r="BP11" s="43">
        <f t="shared" si="2"/>
        <v>0</v>
      </c>
      <c r="BQ11" s="43">
        <f t="shared" si="3"/>
        <v>0</v>
      </c>
      <c r="BR11" s="43">
        <f t="shared" si="4"/>
        <v>0</v>
      </c>
      <c r="BS11" s="43">
        <f t="shared" si="5"/>
        <v>0</v>
      </c>
      <c r="BT11" s="43">
        <f t="shared" si="6"/>
        <v>0</v>
      </c>
      <c r="BU11" s="43">
        <f t="shared" si="7"/>
        <v>0</v>
      </c>
      <c r="BV11" s="43">
        <f t="shared" si="8"/>
        <v>0.125</v>
      </c>
      <c r="BW11" s="43">
        <f t="shared" si="9"/>
        <v>0.25</v>
      </c>
      <c r="BX11" s="43">
        <f t="shared" si="10"/>
        <v>0.375</v>
      </c>
      <c r="BY11" s="43">
        <f t="shared" si="11"/>
        <v>0.5</v>
      </c>
      <c r="BZ11" s="43">
        <f t="shared" si="12"/>
        <v>0.625</v>
      </c>
      <c r="CA11" s="43">
        <f t="shared" si="13"/>
        <v>0.75</v>
      </c>
      <c r="CB11" s="43">
        <f t="shared" si="14"/>
        <v>0.875</v>
      </c>
      <c r="CC11" s="43">
        <f t="shared" si="16"/>
        <v>0</v>
      </c>
      <c r="CD11" s="43">
        <f t="shared" si="15"/>
        <v>1</v>
      </c>
      <c r="CE11" s="239">
        <f t="shared" si="17"/>
        <v>160060.38764167234</v>
      </c>
      <c r="CF11" s="239">
        <f t="shared" si="18"/>
        <v>63259.152056213425</v>
      </c>
      <c r="CG11" s="239">
        <f t="shared" si="19"/>
        <v>72533.305986407286</v>
      </c>
    </row>
    <row r="12" spans="1:85" ht="12.75" customHeight="1" thickBot="1" x14ac:dyDescent="0.3">
      <c r="A12" s="479"/>
      <c r="B12" s="10" t="s">
        <v>14</v>
      </c>
      <c r="C12" s="11">
        <v>17</v>
      </c>
      <c r="D12" s="161">
        <v>793536.7407842034</v>
      </c>
      <c r="E12" s="151"/>
      <c r="F12" s="162">
        <v>403574.94180041947</v>
      </c>
      <c r="G12" s="87">
        <v>9410.98</v>
      </c>
      <c r="H12" s="96"/>
      <c r="I12" s="127"/>
      <c r="J12" s="96"/>
      <c r="K12" s="89">
        <v>24691.65</v>
      </c>
      <c r="L12" s="97"/>
      <c r="M12" s="153"/>
      <c r="N12" s="98"/>
      <c r="O12" s="92">
        <v>28613.58</v>
      </c>
      <c r="P12" s="99"/>
      <c r="Q12" s="94"/>
      <c r="R12" s="99"/>
      <c r="S12" s="84">
        <v>29705.16</v>
      </c>
      <c r="T12" s="114"/>
      <c r="U12" s="154"/>
      <c r="V12" s="35"/>
      <c r="W12" s="58">
        <v>29915.59</v>
      </c>
      <c r="X12" s="58">
        <v>0</v>
      </c>
      <c r="Y12" s="58"/>
      <c r="Z12" s="64"/>
      <c r="AA12" s="70">
        <v>33499.410000000003</v>
      </c>
      <c r="AB12" s="156">
        <v>0</v>
      </c>
      <c r="AC12" s="157"/>
      <c r="AD12" s="65"/>
      <c r="AE12" s="63">
        <v>27239.34</v>
      </c>
      <c r="AF12" s="63">
        <v>0</v>
      </c>
      <c r="AG12" s="158"/>
      <c r="AH12" s="66"/>
      <c r="AI12" s="84">
        <v>771.99</v>
      </c>
      <c r="AJ12" s="154">
        <v>0</v>
      </c>
      <c r="AK12" s="154"/>
      <c r="AL12" s="35"/>
      <c r="AM12" s="49">
        <v>0</v>
      </c>
      <c r="AN12" s="49">
        <v>0</v>
      </c>
      <c r="AO12" s="49"/>
      <c r="AP12" s="51"/>
      <c r="AQ12" s="159">
        <v>0</v>
      </c>
      <c r="AR12" s="199">
        <v>0</v>
      </c>
      <c r="AS12" s="199"/>
      <c r="AT12" s="199"/>
      <c r="AU12" s="211">
        <v>0</v>
      </c>
      <c r="AV12" s="211">
        <v>0</v>
      </c>
      <c r="AW12" s="211"/>
      <c r="AX12" s="211"/>
      <c r="AY12" s="130">
        <v>0</v>
      </c>
      <c r="AZ12" s="130">
        <v>0</v>
      </c>
      <c r="BA12" s="130"/>
      <c r="BB12" s="130"/>
      <c r="BC12" s="144">
        <v>0</v>
      </c>
      <c r="BD12" s="144"/>
      <c r="BE12" s="137"/>
      <c r="BF12" s="137"/>
      <c r="BG12" s="253"/>
      <c r="BH12" s="253"/>
      <c r="BI12" s="253"/>
      <c r="BJ12" s="227">
        <v>36106.51</v>
      </c>
      <c r="BK12" s="227"/>
      <c r="BL12" s="227"/>
      <c r="BM12" s="227"/>
      <c r="BN12" s="26">
        <f t="shared" si="0"/>
        <v>1992.645817714536</v>
      </c>
      <c r="BO12" s="43">
        <f t="shared" si="1"/>
        <v>0</v>
      </c>
      <c r="BP12" s="43">
        <f t="shared" si="2"/>
        <v>0.23529411764705888</v>
      </c>
      <c r="BQ12" s="43">
        <f t="shared" si="3"/>
        <v>0.29411764705882348</v>
      </c>
      <c r="BR12" s="43">
        <f t="shared" si="4"/>
        <v>0.3529411764705882</v>
      </c>
      <c r="BS12" s="43">
        <f t="shared" si="5"/>
        <v>0.41176470588235292</v>
      </c>
      <c r="BT12" s="44">
        <f t="shared" si="6"/>
        <v>0.47058823529411764</v>
      </c>
      <c r="BU12" s="43">
        <f t="shared" si="7"/>
        <v>0.52941176470588236</v>
      </c>
      <c r="BV12" s="43">
        <f t="shared" si="8"/>
        <v>0.58823529411764708</v>
      </c>
      <c r="BW12" s="43">
        <f t="shared" si="9"/>
        <v>0.64705882352941169</v>
      </c>
      <c r="BX12" s="43">
        <f t="shared" si="10"/>
        <v>0.70588235294117641</v>
      </c>
      <c r="BY12" s="43">
        <f t="shared" si="11"/>
        <v>0.76470588235294112</v>
      </c>
      <c r="BZ12" s="43">
        <f t="shared" si="12"/>
        <v>0.82352941176470584</v>
      </c>
      <c r="CA12" s="43">
        <f t="shared" si="13"/>
        <v>0.88235294117647056</v>
      </c>
      <c r="CB12" s="43">
        <f t="shared" si="14"/>
        <v>0.94117647058823528</v>
      </c>
      <c r="CC12" s="43">
        <f t="shared" si="16"/>
        <v>0</v>
      </c>
      <c r="CD12" s="43">
        <f t="shared" si="15"/>
        <v>1</v>
      </c>
      <c r="CE12" s="239">
        <f t="shared" si="17"/>
        <v>967295.55713017168</v>
      </c>
      <c r="CF12" s="239">
        <f t="shared" si="18"/>
        <v>790671.58584597427</v>
      </c>
      <c r="CG12" s="239">
        <f t="shared" si="19"/>
        <v>98106.950773833814</v>
      </c>
    </row>
    <row r="13" spans="1:85" ht="12.75" customHeight="1" thickBot="1" x14ac:dyDescent="0.35">
      <c r="A13" s="480"/>
      <c r="B13" s="13" t="s">
        <v>15</v>
      </c>
      <c r="C13" s="14"/>
      <c r="D13" s="38">
        <v>7366442.9851119583</v>
      </c>
      <c r="E13" s="38"/>
      <c r="F13" s="38">
        <v>3156823.1414713804</v>
      </c>
      <c r="G13" s="67">
        <v>266106.52899199998</v>
      </c>
      <c r="H13" s="67">
        <v>0</v>
      </c>
      <c r="I13" s="67"/>
      <c r="J13" s="67"/>
      <c r="K13" s="116">
        <v>107260.34</v>
      </c>
      <c r="L13" s="116">
        <v>0</v>
      </c>
      <c r="M13" s="116"/>
      <c r="N13" s="116"/>
      <c r="O13" s="68">
        <v>170017.04106100003</v>
      </c>
      <c r="P13" s="68">
        <v>0</v>
      </c>
      <c r="Q13" s="68"/>
      <c r="R13" s="68"/>
      <c r="S13" s="163">
        <v>141552.63</v>
      </c>
      <c r="T13" s="164">
        <v>0</v>
      </c>
      <c r="U13" s="164"/>
      <c r="V13" s="165"/>
      <c r="W13" s="67">
        <v>334246.14000000007</v>
      </c>
      <c r="X13" s="67">
        <v>0</v>
      </c>
      <c r="Y13" s="67"/>
      <c r="Z13" s="67"/>
      <c r="AA13" s="116">
        <v>167868.13</v>
      </c>
      <c r="AB13" s="116">
        <v>0</v>
      </c>
      <c r="AC13" s="116"/>
      <c r="AD13" s="116"/>
      <c r="AE13" s="68">
        <v>132511.28</v>
      </c>
      <c r="AF13" s="68">
        <v>0</v>
      </c>
      <c r="AG13" s="68"/>
      <c r="AH13" s="117"/>
      <c r="AI13" s="163">
        <v>323314.10387699993</v>
      </c>
      <c r="AJ13" s="164">
        <v>0</v>
      </c>
      <c r="AK13" s="164"/>
      <c r="AL13" s="165"/>
      <c r="AM13" s="52">
        <v>91335.93</v>
      </c>
      <c r="AN13" s="189">
        <v>0</v>
      </c>
      <c r="AO13" s="118"/>
      <c r="AP13" s="119"/>
      <c r="AQ13" s="206">
        <v>243514.73</v>
      </c>
      <c r="AR13" s="200">
        <v>0</v>
      </c>
      <c r="AS13" s="200"/>
      <c r="AT13" s="200"/>
      <c r="AU13" s="212">
        <v>0</v>
      </c>
      <c r="AV13" s="212">
        <v>0</v>
      </c>
      <c r="AW13" s="212"/>
      <c r="AX13" s="212"/>
      <c r="AY13" s="131">
        <v>56420.78</v>
      </c>
      <c r="AZ13" s="131">
        <v>0</v>
      </c>
      <c r="BA13" s="131"/>
      <c r="BB13" s="131"/>
      <c r="BC13" s="145">
        <f>+SUM(BC5:BC12)</f>
        <v>1275811.54</v>
      </c>
      <c r="BD13" s="138"/>
      <c r="BE13" s="138"/>
      <c r="BF13" s="138"/>
      <c r="BG13" s="254">
        <f>+SUM(BG5:BG12)</f>
        <v>940000</v>
      </c>
      <c r="BH13" s="254">
        <f>+SUM(BH5:BH12)</f>
        <v>0</v>
      </c>
      <c r="BI13" s="254">
        <f>+SUM(BI5:BI12)</f>
        <v>940000</v>
      </c>
      <c r="BJ13" s="228">
        <f>+SUM(BJ5:BJ12)</f>
        <v>917175.86</v>
      </c>
      <c r="BK13" s="228">
        <f>+SUM(BK5:BK12)</f>
        <v>0</v>
      </c>
      <c r="BL13" s="228"/>
      <c r="BM13" s="228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240">
        <f>SUM(CE5:CE12)</f>
        <v>11914305.109460406</v>
      </c>
      <c r="CF13" s="240">
        <f>SUM(CF5:CF12)</f>
        <v>7294496.3685478941</v>
      </c>
      <c r="CG13" s="240">
        <f>SUM(CG5:CG12)</f>
        <v>3332795.2872085995</v>
      </c>
    </row>
    <row r="14" spans="1:85" ht="12.75" customHeight="1" x14ac:dyDescent="0.35">
      <c r="A14" s="6"/>
      <c r="B14" s="4" t="s">
        <v>18</v>
      </c>
      <c r="C14" s="15"/>
      <c r="D14" s="40">
        <v>0</v>
      </c>
      <c r="E14" s="195"/>
      <c r="F14" s="77">
        <v>0</v>
      </c>
      <c r="G14" s="104"/>
      <c r="H14" s="104"/>
      <c r="I14" s="104"/>
      <c r="J14" s="104"/>
      <c r="K14" s="105"/>
      <c r="L14" s="106">
        <v>0</v>
      </c>
      <c r="M14" s="106"/>
      <c r="N14" s="105"/>
      <c r="O14" s="107"/>
      <c r="P14" s="107"/>
      <c r="Q14" s="107"/>
      <c r="R14" s="107"/>
      <c r="S14" s="168"/>
      <c r="T14" s="168"/>
      <c r="U14" s="169"/>
      <c r="V14" s="170"/>
      <c r="W14" s="73"/>
      <c r="X14" s="73"/>
      <c r="Y14" s="74"/>
      <c r="Z14" s="73"/>
      <c r="AA14" s="75"/>
      <c r="AB14" s="75"/>
      <c r="AC14" s="171"/>
      <c r="AD14" s="75"/>
      <c r="AE14" s="50"/>
      <c r="AF14" s="50"/>
      <c r="AG14" s="53"/>
      <c r="AH14" s="50"/>
      <c r="AI14" s="169"/>
      <c r="AJ14" s="170"/>
      <c r="AK14" s="170"/>
      <c r="AL14" s="170"/>
      <c r="AM14" s="190">
        <v>0</v>
      </c>
      <c r="AN14" s="85">
        <v>0</v>
      </c>
      <c r="AO14" s="85"/>
      <c r="AP14" s="86"/>
      <c r="AQ14" s="207">
        <v>0</v>
      </c>
      <c r="AR14" s="202">
        <v>0</v>
      </c>
      <c r="AS14" s="202"/>
      <c r="AT14" s="202"/>
      <c r="AU14" s="218">
        <v>0</v>
      </c>
      <c r="AV14" s="214">
        <v>0</v>
      </c>
      <c r="AW14" s="214"/>
      <c r="AX14" s="219"/>
      <c r="AY14" s="128">
        <v>0</v>
      </c>
      <c r="AZ14" s="128">
        <v>0</v>
      </c>
      <c r="BA14" s="128"/>
      <c r="BB14" s="128"/>
      <c r="BC14" s="147"/>
      <c r="BD14" s="143"/>
      <c r="BE14" s="143"/>
      <c r="BF14" s="143"/>
      <c r="BG14" s="252"/>
      <c r="BH14" s="252"/>
      <c r="BI14" s="252"/>
      <c r="BJ14" s="226"/>
      <c r="BK14" s="226"/>
      <c r="BL14" s="226"/>
      <c r="BM14" s="226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241"/>
      <c r="CF14" s="241"/>
      <c r="CG14" s="241"/>
    </row>
    <row r="15" spans="1:85" ht="12.75" customHeight="1" x14ac:dyDescent="0.25">
      <c r="A15" s="6"/>
      <c r="B15" s="3" t="s">
        <v>95</v>
      </c>
      <c r="C15" s="7">
        <v>30</v>
      </c>
      <c r="D15" s="37">
        <v>0</v>
      </c>
      <c r="E15" s="151"/>
      <c r="F15" s="152">
        <v>0</v>
      </c>
      <c r="G15" s="87">
        <v>0</v>
      </c>
      <c r="H15" s="88"/>
      <c r="I15" s="127"/>
      <c r="J15" s="88"/>
      <c r="K15" s="89">
        <v>0</v>
      </c>
      <c r="L15" s="90">
        <v>0</v>
      </c>
      <c r="M15" s="153"/>
      <c r="N15" s="91"/>
      <c r="O15" s="95">
        <v>0</v>
      </c>
      <c r="P15" s="93"/>
      <c r="Q15" s="94"/>
      <c r="R15" s="93"/>
      <c r="S15" s="154">
        <v>0</v>
      </c>
      <c r="T15" s="114"/>
      <c r="U15" s="154"/>
      <c r="V15" s="155"/>
      <c r="W15" s="58">
        <v>0</v>
      </c>
      <c r="X15" s="58">
        <v>0</v>
      </c>
      <c r="Y15" s="58"/>
      <c r="Z15" s="59"/>
      <c r="AA15" s="76">
        <v>0</v>
      </c>
      <c r="AB15" s="156">
        <v>0</v>
      </c>
      <c r="AC15" s="157"/>
      <c r="AD15" s="61"/>
      <c r="AE15" s="63">
        <v>0</v>
      </c>
      <c r="AF15" s="63">
        <v>0</v>
      </c>
      <c r="AG15" s="158"/>
      <c r="AH15" s="62"/>
      <c r="AI15" s="154">
        <v>0</v>
      </c>
      <c r="AJ15" s="154">
        <v>0</v>
      </c>
      <c r="AK15" s="154"/>
      <c r="AL15" s="155"/>
      <c r="AM15" s="49">
        <v>0</v>
      </c>
      <c r="AN15" s="49">
        <v>0</v>
      </c>
      <c r="AO15" s="49"/>
      <c r="AP15" s="50"/>
      <c r="AQ15" s="159">
        <v>0</v>
      </c>
      <c r="AR15" s="198">
        <v>0</v>
      </c>
      <c r="AS15" s="198"/>
      <c r="AT15" s="198"/>
      <c r="AU15" s="210">
        <v>0</v>
      </c>
      <c r="AV15" s="210">
        <v>0</v>
      </c>
      <c r="AW15" s="210"/>
      <c r="AX15" s="210"/>
      <c r="AY15" s="129">
        <v>0</v>
      </c>
      <c r="AZ15" s="129">
        <v>0</v>
      </c>
      <c r="BA15" s="129"/>
      <c r="BB15" s="129"/>
      <c r="BC15" s="146">
        <v>0</v>
      </c>
      <c r="BD15" s="136"/>
      <c r="BE15" s="136"/>
      <c r="BF15" s="136"/>
      <c r="BG15" s="252"/>
      <c r="BH15" s="252"/>
      <c r="BI15" s="252"/>
      <c r="BJ15" s="226">
        <v>0</v>
      </c>
      <c r="BK15" s="226"/>
      <c r="BL15" s="226"/>
      <c r="BM15" s="226"/>
      <c r="BN15" s="26">
        <f>IF(D15=0,0,2001-(D15-F15)*C15/D15)</f>
        <v>0</v>
      </c>
      <c r="BO15" s="43">
        <f>IF((1-($CE$2-$BN15)/$C15)&gt;0,(1-($CE$2-$BN15)/$C15),0)</f>
        <v>0</v>
      </c>
      <c r="BP15" s="43">
        <f>IF((1-($CE$2-G$2)/$C15)&gt;0,(1-($CE$2-G$2)/$C15),0)</f>
        <v>0.56666666666666665</v>
      </c>
      <c r="BQ15" s="43">
        <f>IF((1-($CE$2-K$2)/$C15)&gt;0,(1-($CE$2-K$2)/$C15),0)</f>
        <v>0.6</v>
      </c>
      <c r="BR15" s="43">
        <f>IF((1-($CE$2-O$2)/$C15)&gt;0,(1-($CE$2-O$2)/$C15),0)</f>
        <v>0.6333333333333333</v>
      </c>
      <c r="BS15" s="43">
        <f>IF((1-($CE$2-S$2)/$C15)&gt;0,(1-($CE$2-S$2)/$C15),0)</f>
        <v>0.66666666666666674</v>
      </c>
      <c r="BT15" s="43">
        <f>IF((1-($CE$2-W$2)/$C15)&gt;0,(1-($CE$2-W$2)/$C15),0)</f>
        <v>0.7</v>
      </c>
      <c r="BU15" s="43">
        <f>IF((1-($CE$2-AA$2)/$C15)&gt;0,(1-($CE$2-AA$2)/$C15),0)</f>
        <v>0.73333333333333339</v>
      </c>
      <c r="BV15" s="43">
        <f>IF((1-($CE$2-AE$2)/$C15)&gt;0,(1-($CE$2-AE$2)/$C15),0)</f>
        <v>0.76666666666666661</v>
      </c>
      <c r="BW15" s="43">
        <f>IF((1-($CE$2-AI$2)/$C15)&gt;0,(1-($CE$2-AI$2)/$C15),0)</f>
        <v>0.8</v>
      </c>
      <c r="BX15" s="43">
        <f>IF((1-($CE$2-AM$2)/$C15)&gt;0,(1-($CE$2-AM$2)/$C15),0)</f>
        <v>0.83333333333333337</v>
      </c>
      <c r="BY15" s="43">
        <f>IF((1-($CE$2-AQ$2)/$C15)&gt;0,(1-($CE$2-AQ$2)/$C15),0)</f>
        <v>0.8666666666666667</v>
      </c>
      <c r="BZ15" s="43">
        <f>IF((1-($CE$2-AU$2)/$C15)&gt;0,(1-($CE$2-AU$2)/$C15),0)</f>
        <v>0.9</v>
      </c>
      <c r="CA15" s="43">
        <f>IF((1-($CE$2-AY$2)/$C15)&gt;0,(1-($CE$2-AY$2)/$C15),0)</f>
        <v>0.93333333333333335</v>
      </c>
      <c r="CB15" s="43">
        <f>IF((1-($CE$2-BC$2)/$C15)&gt;0,(1-($CE$2-BC$2)/$C15),0)</f>
        <v>0.96666666666666667</v>
      </c>
      <c r="CC15" s="43">
        <f>IF(BG15=0,0,1-($CE$2-(2014.5-(BG15-BI15)*C15/BG15))/C15)</f>
        <v>0</v>
      </c>
      <c r="CD15" s="43">
        <f>IF((1-($CE$2-BJ$2)/$C15)&gt;0,(1-($CE$2-BJ$2)/$C15),0)</f>
        <v>1</v>
      </c>
      <c r="CE15" s="239">
        <f>+D15-E15+(G15-I15)*G$61+(K15-M15)*K$61+(O15-Q15)*O$61+(S15-U15)*S$61+(W15-Y15)*W$61+(AA15-AC15)*AA$61+(AE15-AG15)*AE$61+(AI15-AK15)*AI$61+(AM15-AO15)*AM$61+(AQ15-AS15)*$AQ$61+(AU15-AW15)*$AU$61+(AY15-BA15)*$AY$61+(BC15-BE15)*$BC$61+BG15+(BJ15-BL15)*$BJ$61</f>
        <v>0</v>
      </c>
      <c r="CF15" s="239">
        <f>CE15-(IF(BO15=0,0,D15-E15)+IF(BP15=0,0,(G15-I15)*G$61)+IF(BQ15=0,0,(K15-M15)*K$61)+IF(BR15=0,0,(O15-Q15)*O$61)+IF(BS15=0,0,(S15-U15)*S$61)+IF(BT15=0,0,(W15-Y15)*W$61)+IF(BU15=0,0,(AA15-AC15)*AA$61)+IF(BV15=0,0,(AE15-AG15)*AE$61)+IF(BW15=0,0,(AI15-AK15)*AI$61)+IF(BX15=0,0,(AM15-AO15)*AM$61)+IF(BY15=0,0,(AQ15-AS15)*$AQ$61)+IF(BZ15=0,0,(AU15-AW15)*$AU$61)+IF(CA15=0,0,(AY15-BA15)*$AY$61)++IF(CB15=0,0,(BC15-BE15)*$BC$61)+IF(CC15=0,0,BG15)+IF(CD15=0,0,(BJ15-BL15)*$BC$61))</f>
        <v>0</v>
      </c>
      <c r="CG15" s="239">
        <f>(D15-E15)*BO15+((G15-H15-(I15-J15))*G$61)*BP15+((K15-L15-(M15-N15))*K$61)*BQ15+((O15-P15-(Q15-R15))*O$61)*BR15+((S15-T15-(U15-V15))*S$61)*BS15+((W15-X15-(Y15-Z15))*W$61)*BT15+((AA15-AB15-(AC15-AD15))*AA$61)*BU15+((AE15-AF15-(AG15-AH15))*AE$61)*BV15+((AI15-AJ15-(AK15-AL15))*AI$61)*BW15+((AM15-AN15)*BX15-(AO15-AP15))*$AM$61+((AQ15-AR15)*BY15-(AS15-AT15))*$AQ$61+((AU15-AV15)*BZ15-(AW15-AX15))*$AU$61+((AY15-AZ15)*CA15-(BA15-BB15))*$AY$61+((BC15-BD15)*CB15-(BF15-BN15))*$BC$61+(BG15-BH15)*CC15+((BJ15-BK15)*CD15-(BL15-BM15))*$BC$61</f>
        <v>0</v>
      </c>
    </row>
    <row r="16" spans="1:85" ht="12.75" customHeight="1" x14ac:dyDescent="0.25">
      <c r="A16" s="6"/>
      <c r="B16" s="3" t="s">
        <v>96</v>
      </c>
      <c r="C16" s="7">
        <v>30</v>
      </c>
      <c r="D16" s="37">
        <v>0</v>
      </c>
      <c r="E16" s="151"/>
      <c r="F16" s="152">
        <v>0</v>
      </c>
      <c r="G16" s="87">
        <v>0</v>
      </c>
      <c r="H16" s="88"/>
      <c r="I16" s="127"/>
      <c r="J16" s="88"/>
      <c r="K16" s="89">
        <v>0</v>
      </c>
      <c r="L16" s="90">
        <v>0</v>
      </c>
      <c r="M16" s="153"/>
      <c r="N16" s="91"/>
      <c r="O16" s="95">
        <v>0</v>
      </c>
      <c r="P16" s="93"/>
      <c r="Q16" s="94"/>
      <c r="R16" s="93"/>
      <c r="S16" s="154">
        <v>0</v>
      </c>
      <c r="T16" s="114"/>
      <c r="U16" s="154"/>
      <c r="V16" s="155"/>
      <c r="W16" s="58">
        <v>0</v>
      </c>
      <c r="X16" s="58">
        <v>0</v>
      </c>
      <c r="Y16" s="58"/>
      <c r="Z16" s="59"/>
      <c r="AA16" s="76">
        <v>0</v>
      </c>
      <c r="AB16" s="156">
        <v>0</v>
      </c>
      <c r="AC16" s="157"/>
      <c r="AD16" s="61"/>
      <c r="AE16" s="63">
        <v>0</v>
      </c>
      <c r="AF16" s="63">
        <v>0</v>
      </c>
      <c r="AG16" s="158"/>
      <c r="AH16" s="62"/>
      <c r="AI16" s="154">
        <v>0</v>
      </c>
      <c r="AJ16" s="154">
        <v>0</v>
      </c>
      <c r="AK16" s="154"/>
      <c r="AL16" s="155"/>
      <c r="AM16" s="49">
        <v>0</v>
      </c>
      <c r="AN16" s="49">
        <v>0</v>
      </c>
      <c r="AO16" s="49"/>
      <c r="AP16" s="50"/>
      <c r="AQ16" s="159">
        <v>0</v>
      </c>
      <c r="AR16" s="198">
        <v>0</v>
      </c>
      <c r="AS16" s="198"/>
      <c r="AT16" s="198"/>
      <c r="AU16" s="210">
        <v>0</v>
      </c>
      <c r="AV16" s="210">
        <v>0</v>
      </c>
      <c r="AW16" s="210"/>
      <c r="AX16" s="210"/>
      <c r="AY16" s="129">
        <v>0</v>
      </c>
      <c r="AZ16" s="129">
        <v>0</v>
      </c>
      <c r="BA16" s="129"/>
      <c r="BB16" s="129"/>
      <c r="BC16" s="146">
        <v>0</v>
      </c>
      <c r="BD16" s="136"/>
      <c r="BE16" s="136"/>
      <c r="BF16" s="136"/>
      <c r="BG16" s="252"/>
      <c r="BH16" s="252"/>
      <c r="BI16" s="252"/>
      <c r="BJ16" s="226">
        <v>0</v>
      </c>
      <c r="BK16" s="226"/>
      <c r="BL16" s="226"/>
      <c r="BM16" s="226"/>
      <c r="BN16" s="26">
        <f>IF(D16=0,0,2001-(D16-F16)*C16/D16)</f>
        <v>0</v>
      </c>
      <c r="BO16" s="43">
        <f>IF((1-($CE$2-$BN16)/$C16)&gt;0,(1-($CE$2-$BN16)/$C16),0)</f>
        <v>0</v>
      </c>
      <c r="BP16" s="43">
        <f>IF((1-($CE$2-G$2)/$C16)&gt;0,(1-($CE$2-G$2)/$C16),0)</f>
        <v>0.56666666666666665</v>
      </c>
      <c r="BQ16" s="43">
        <f>IF((1-($CE$2-K$2)/$C16)&gt;0,(1-($CE$2-K$2)/$C16),0)</f>
        <v>0.6</v>
      </c>
      <c r="BR16" s="43">
        <f>IF((1-($CE$2-O$2)/$C16)&gt;0,(1-($CE$2-O$2)/$C16),0)</f>
        <v>0.6333333333333333</v>
      </c>
      <c r="BS16" s="43">
        <f>IF((1-($CE$2-S$2)/$C16)&gt;0,(1-($CE$2-S$2)/$C16),0)</f>
        <v>0.66666666666666674</v>
      </c>
      <c r="BT16" s="43">
        <f>IF((1-($CE$2-W$2)/$C16)&gt;0,(1-($CE$2-W$2)/$C16),0)</f>
        <v>0.7</v>
      </c>
      <c r="BU16" s="43">
        <f>IF((1-($CE$2-AA$2)/$C16)&gt;0,(1-($CE$2-AA$2)/$C16),0)</f>
        <v>0.73333333333333339</v>
      </c>
      <c r="BV16" s="43">
        <f>IF((1-($CE$2-AE$2)/$C16)&gt;0,(1-($CE$2-AE$2)/$C16),0)</f>
        <v>0.76666666666666661</v>
      </c>
      <c r="BW16" s="43">
        <f>IF((1-($CE$2-AI$2)/$C16)&gt;0,(1-($CE$2-AI$2)/$C16),0)</f>
        <v>0.8</v>
      </c>
      <c r="BX16" s="43">
        <f>IF((1-($CE$2-AM$2)/$C16)&gt;0,(1-($CE$2-AM$2)/$C16),0)</f>
        <v>0.83333333333333337</v>
      </c>
      <c r="BY16" s="43">
        <f>IF((1-($CE$2-AQ$2)/$C16)&gt;0,(1-($CE$2-AQ$2)/$C16),0)</f>
        <v>0.8666666666666667</v>
      </c>
      <c r="BZ16" s="43">
        <f>IF((1-($CE$2-AU$2)/$C16)&gt;0,(1-($CE$2-AU$2)/$C16),0)</f>
        <v>0.9</v>
      </c>
      <c r="CA16" s="43">
        <f>IF((1-($CE$2-AY$2)/$C16)&gt;0,(1-($CE$2-AY$2)/$C16),0)</f>
        <v>0.93333333333333335</v>
      </c>
      <c r="CB16" s="43">
        <f>IF((1-($CE$2-BC$2)/$C16)&gt;0,(1-($CE$2-BC$2)/$C16),0)</f>
        <v>0.96666666666666667</v>
      </c>
      <c r="CC16" s="43">
        <f>IF(BG16=0,0,1-($CE$2-(2014.5-(BG16-BI16)*C16/BG16))/C16)</f>
        <v>0</v>
      </c>
      <c r="CD16" s="43">
        <f>IF((1-($CE$2-BJ$2)/$C16)&gt;0,(1-($CE$2-BJ$2)/$C16),0)</f>
        <v>1</v>
      </c>
      <c r="CE16" s="239">
        <f>+D16-E16+(G16-I16)*G$61+(K16-M16)*K$61+(O16-Q16)*O$61+(S16-U16)*S$61+(W16-Y16)*W$61+(AA16-AC16)*AA$61+(AE16-AG16)*AE$61+(AI16-AK16)*AI$61+(AM16-AO16)*AM$61+(AQ16-AS16)*$AQ$61+(AU16-AW16)*$AU$61+(AY16-BA16)*$AY$61+(BC16-BE16)*$BC$61+BG16+(BJ16-BL16)*$BJ$61</f>
        <v>0</v>
      </c>
      <c r="CF16" s="239">
        <f>CE16-(IF(BO16=0,0,D16-E16)+IF(BP16=0,0,(G16-I16)*G$61)+IF(BQ16=0,0,(K16-M16)*K$61)+IF(BR16=0,0,(O16-Q16)*O$61)+IF(BS16=0,0,(S16-U16)*S$61)+IF(BT16=0,0,(W16-Y16)*W$61)+IF(BU16=0,0,(AA16-AC16)*AA$61)+IF(BV16=0,0,(AE16-AG16)*AE$61)+IF(BW16=0,0,(AI16-AK16)*AI$61)+IF(BX16=0,0,(AM16-AO16)*AM$61)+IF(BY16=0,0,(AQ16-AS16)*$AQ$61)+IF(BZ16=0,0,(AU16-AW16)*$AU$61)+IF(CA16=0,0,(AY16-BA16)*$AY$61)++IF(CB16=0,0,(BC16-BE16)*$BC$61)+IF(CC16=0,0,BG16)+IF(CD16=0,0,(BJ16-BL16)*$BC$61))</f>
        <v>0</v>
      </c>
      <c r="CG16" s="239">
        <f>(D16-E16)*BO16+((G16-H16-(I16-J16))*G$61)*BP16+((K16-L16-(M16-N16))*K$61)*BQ16+((O16-P16-(Q16-R16))*O$61)*BR16+((S16-T16-(U16-V16))*S$61)*BS16+((W16-X16-(Y16-Z16))*W$61)*BT16+((AA16-AB16-(AC16-AD16))*AA$61)*BU16+((AE16-AF16-(AG16-AH16))*AE$61)*BV16+((AI16-AJ16-(AK16-AL16))*AI$61)*BW16+((AM16-AN16)*BX16-(AO16-AP16))*$AM$61+((AQ16-AR16)*BY16-(AS16-AT16))*$AQ$61+((AU16-AV16)*BZ16-(AW16-AX16))*$AU$61+((AY16-AZ16)*CA16-(BA16-BB16))*$AY$61+((BC16-BD16)*CB16-(BF16-BN16))*$BC$61+(BG16-BH16)*CC16+((BJ16-BK16)*CD16-(BL16-BM16))*$BC$61</f>
        <v>0</v>
      </c>
    </row>
    <row r="17" spans="1:88" ht="12.75" customHeight="1" x14ac:dyDescent="0.25">
      <c r="A17" s="6"/>
      <c r="B17" s="3" t="s">
        <v>97</v>
      </c>
      <c r="C17" s="7">
        <v>30</v>
      </c>
      <c r="D17" s="37">
        <v>0</v>
      </c>
      <c r="E17" s="151"/>
      <c r="F17" s="152">
        <v>0</v>
      </c>
      <c r="G17" s="87">
        <v>0</v>
      </c>
      <c r="H17" s="88"/>
      <c r="I17" s="127"/>
      <c r="J17" s="88"/>
      <c r="K17" s="89">
        <v>0</v>
      </c>
      <c r="L17" s="90">
        <v>0</v>
      </c>
      <c r="M17" s="153"/>
      <c r="N17" s="91"/>
      <c r="O17" s="95">
        <v>0</v>
      </c>
      <c r="P17" s="93"/>
      <c r="Q17" s="94"/>
      <c r="R17" s="93"/>
      <c r="S17" s="154">
        <v>0</v>
      </c>
      <c r="T17" s="114"/>
      <c r="U17" s="154"/>
      <c r="V17" s="155"/>
      <c r="W17" s="58">
        <v>0</v>
      </c>
      <c r="X17" s="58">
        <v>0</v>
      </c>
      <c r="Y17" s="58"/>
      <c r="Z17" s="59"/>
      <c r="AA17" s="76">
        <v>0</v>
      </c>
      <c r="AB17" s="156">
        <v>0</v>
      </c>
      <c r="AC17" s="157"/>
      <c r="AD17" s="61"/>
      <c r="AE17" s="63">
        <v>0</v>
      </c>
      <c r="AF17" s="63">
        <v>0</v>
      </c>
      <c r="AG17" s="158"/>
      <c r="AH17" s="62"/>
      <c r="AI17" s="154">
        <v>0</v>
      </c>
      <c r="AJ17" s="154">
        <v>0</v>
      </c>
      <c r="AK17" s="154"/>
      <c r="AL17" s="155"/>
      <c r="AM17" s="49">
        <v>0</v>
      </c>
      <c r="AN17" s="49">
        <v>0</v>
      </c>
      <c r="AO17" s="49"/>
      <c r="AP17" s="50"/>
      <c r="AQ17" s="159">
        <v>0</v>
      </c>
      <c r="AR17" s="198">
        <v>0</v>
      </c>
      <c r="AS17" s="198"/>
      <c r="AT17" s="198"/>
      <c r="AU17" s="210">
        <v>0</v>
      </c>
      <c r="AV17" s="210">
        <v>0</v>
      </c>
      <c r="AW17" s="210"/>
      <c r="AX17" s="210"/>
      <c r="AY17" s="129">
        <v>0</v>
      </c>
      <c r="AZ17" s="129">
        <v>0</v>
      </c>
      <c r="BA17" s="129"/>
      <c r="BB17" s="129"/>
      <c r="BC17" s="146">
        <v>882092.27</v>
      </c>
      <c r="BD17" s="136"/>
      <c r="BE17" s="136"/>
      <c r="BF17" s="136"/>
      <c r="BG17" s="252"/>
      <c r="BH17" s="252"/>
      <c r="BI17" s="252"/>
      <c r="BJ17" s="226">
        <v>0</v>
      </c>
      <c r="BK17" s="226"/>
      <c r="BL17" s="226"/>
      <c r="BM17" s="226"/>
      <c r="BN17" s="26">
        <f>IF(D17=0,0,2001-(D17-F17)*C17/D17)</f>
        <v>0</v>
      </c>
      <c r="BO17" s="43">
        <f>IF((1-($CE$2-$BN17)/$C17)&gt;0,(1-($CE$2-$BN17)/$C17),0)</f>
        <v>0</v>
      </c>
      <c r="BP17" s="43">
        <f>IF((1-($CE$2-G$2)/$C17)&gt;0,(1-($CE$2-G$2)/$C17),0)</f>
        <v>0.56666666666666665</v>
      </c>
      <c r="BQ17" s="43">
        <f>IF((1-($CE$2-K$2)/$C17)&gt;0,(1-($CE$2-K$2)/$C17),0)</f>
        <v>0.6</v>
      </c>
      <c r="BR17" s="43">
        <f>IF((1-($CE$2-O$2)/$C17)&gt;0,(1-($CE$2-O$2)/$C17),0)</f>
        <v>0.6333333333333333</v>
      </c>
      <c r="BS17" s="43">
        <f>IF((1-($CE$2-S$2)/$C17)&gt;0,(1-($CE$2-S$2)/$C17),0)</f>
        <v>0.66666666666666674</v>
      </c>
      <c r="BT17" s="43">
        <f>IF((1-($CE$2-W$2)/$C17)&gt;0,(1-($CE$2-W$2)/$C17),0)</f>
        <v>0.7</v>
      </c>
      <c r="BU17" s="43">
        <f>IF((1-($CE$2-AA$2)/$C17)&gt;0,(1-($CE$2-AA$2)/$C17),0)</f>
        <v>0.73333333333333339</v>
      </c>
      <c r="BV17" s="43">
        <f>IF((1-($CE$2-AE$2)/$C17)&gt;0,(1-($CE$2-AE$2)/$C17),0)</f>
        <v>0.76666666666666661</v>
      </c>
      <c r="BW17" s="43">
        <f>IF((1-($CE$2-AI$2)/$C17)&gt;0,(1-($CE$2-AI$2)/$C17),0)</f>
        <v>0.8</v>
      </c>
      <c r="BX17" s="43">
        <f>IF((1-($CE$2-AM$2)/$C17)&gt;0,(1-($CE$2-AM$2)/$C17),0)</f>
        <v>0.83333333333333337</v>
      </c>
      <c r="BY17" s="43">
        <f>IF((1-($CE$2-AQ$2)/$C17)&gt;0,(1-($CE$2-AQ$2)/$C17),0)</f>
        <v>0.8666666666666667</v>
      </c>
      <c r="BZ17" s="43">
        <f>IF((1-($CE$2-AU$2)/$C17)&gt;0,(1-($CE$2-AU$2)/$C17),0)</f>
        <v>0.9</v>
      </c>
      <c r="CA17" s="43">
        <f>IF((1-($CE$2-AY$2)/$C17)&gt;0,(1-($CE$2-AY$2)/$C17),0)</f>
        <v>0.93333333333333335</v>
      </c>
      <c r="CB17" s="43">
        <f>IF((1-($CE$2-BC$2)/$C17)&gt;0,(1-($CE$2-BC$2)/$C17),0)</f>
        <v>0.96666666666666667</v>
      </c>
      <c r="CC17" s="43">
        <f>IF(BG17=0,0,1-($CE$2-(2014.5-(BG17-BI17)*C17/BG17))/C17)</f>
        <v>0</v>
      </c>
      <c r="CD17" s="43">
        <f>IF((1-($CE$2-BJ$2)/$C17)&gt;0,(1-($CE$2-BJ$2)/$C17),0)</f>
        <v>1</v>
      </c>
      <c r="CE17" s="239">
        <f>+D17-E17+(G17-I17)*G$61+(K17-M17)*K$61+(O17-Q17)*O$61+(S17-U17)*S$61+(W17-Y17)*W$61+(AA17-AC17)*AA$61+(AE17-AG17)*AE$61+(AI17-AK17)*AI$61+(AM17-AO17)*AM$61+(AQ17-AS17)*$AQ$61+(AU17-AW17)*$AU$61+(AY17-BA17)*$AY$61+(BC17-BE17)*$BC$61+BG17+(BJ17-BL17)*$BJ$61</f>
        <v>729395.82168605283</v>
      </c>
      <c r="CF17" s="239">
        <f>CE17-(IF(BO17=0,0,D17-E17)+IF(BP17=0,0,(G17-I17)*G$61)+IF(BQ17=0,0,(K17-M17)*K$61)+IF(BR17=0,0,(O17-Q17)*O$61)+IF(BS17=0,0,(S17-U17)*S$61)+IF(BT17=0,0,(W17-Y17)*W$61)+IF(BU17=0,0,(AA17-AC17)*AA$61)+IF(BV17=0,0,(AE17-AG17)*AE$61)+IF(BW17=0,0,(AI17-AK17)*AI$61)+IF(BX17=0,0,(AM17-AO17)*AM$61)+IF(BY17=0,0,(AQ17-AS17)*$AQ$61)+IF(BZ17=0,0,(AU17-AW17)*$AU$61)+IF(CA17=0,0,(AY17-BA17)*$AY$61)++IF(CB17=0,0,(BC17-BE17)*$BC$61)+IF(CC17=0,0,BG17)+IF(CD17=0,0,(BJ17-BL17)*$BC$61))</f>
        <v>0</v>
      </c>
      <c r="CG17" s="239">
        <f>(D17-E17)*BO17+((G17-H17-(I17-J17))*G$61)*BP17+((K17-L17-(M17-N17))*K$61)*BQ17+((O17-P17-(Q17-R17))*O$61)*BR17+((S17-T17-(U17-V17))*S$61)*BS17+((W17-X17-(Y17-Z17))*W$61)*BT17+((AA17-AB17-(AC17-AD17))*AA$61)*BU17+((AE17-AF17-(AG17-AH17))*AE$61)*BV17+((AI17-AJ17-(AK17-AL17))*AI$61)*BW17+((AM17-AN17)*BX17-(AO17-AP17))*$AM$61+((AQ17-AR17)*BY17-(AS17-AT17))*$AQ$61+((AU17-AV17)*BZ17-(AW17-AX17))*$AU$61+((AY17-AZ17)*CA17-(BA17-BB17))*$AY$61+((BC17-BD17)*CB17-(BF17-BN17))*$BC$61+(BG17-BH17)*CC17+((BJ17-BK17)*CD17-(BL17-BM17))*$BC$61</f>
        <v>705082.62762985111</v>
      </c>
    </row>
    <row r="18" spans="1:88" ht="12.75" customHeight="1" x14ac:dyDescent="0.35">
      <c r="A18" s="6"/>
      <c r="B18" s="4" t="s">
        <v>19</v>
      </c>
      <c r="C18" s="15"/>
      <c r="D18" s="77">
        <v>0</v>
      </c>
      <c r="E18" s="109"/>
      <c r="F18" s="77">
        <v>0</v>
      </c>
      <c r="G18" s="104"/>
      <c r="H18" s="104"/>
      <c r="I18" s="104"/>
      <c r="J18" s="104"/>
      <c r="K18" s="105"/>
      <c r="L18" s="106">
        <v>0</v>
      </c>
      <c r="M18" s="106"/>
      <c r="N18" s="105"/>
      <c r="O18" s="107"/>
      <c r="P18" s="107"/>
      <c r="Q18" s="107"/>
      <c r="R18" s="107"/>
      <c r="S18" s="168"/>
      <c r="T18" s="168"/>
      <c r="U18" s="169"/>
      <c r="V18" s="170"/>
      <c r="W18" s="74"/>
      <c r="X18" s="73"/>
      <c r="Y18" s="74"/>
      <c r="Z18" s="73"/>
      <c r="AA18" s="75"/>
      <c r="AB18" s="75"/>
      <c r="AC18" s="171"/>
      <c r="AD18" s="75"/>
      <c r="AE18" s="50"/>
      <c r="AF18" s="50"/>
      <c r="AG18" s="53"/>
      <c r="AH18" s="50"/>
      <c r="AI18" s="169"/>
      <c r="AJ18" s="170"/>
      <c r="AK18" s="170"/>
      <c r="AL18" s="170"/>
      <c r="AM18" s="190">
        <v>0</v>
      </c>
      <c r="AN18" s="85">
        <v>0</v>
      </c>
      <c r="AO18" s="85"/>
      <c r="AP18" s="86"/>
      <c r="AQ18" s="207">
        <v>0</v>
      </c>
      <c r="AR18" s="202">
        <v>0</v>
      </c>
      <c r="AS18" s="202"/>
      <c r="AT18" s="202"/>
      <c r="AU18" s="218">
        <v>0</v>
      </c>
      <c r="AV18" s="214">
        <v>0</v>
      </c>
      <c r="AW18" s="214"/>
      <c r="AX18" s="219"/>
      <c r="AY18" s="128">
        <v>0</v>
      </c>
      <c r="AZ18" s="128">
        <v>0</v>
      </c>
      <c r="BA18" s="128"/>
      <c r="BB18" s="128"/>
      <c r="BC18" s="147"/>
      <c r="BD18" s="143"/>
      <c r="BE18" s="143"/>
      <c r="BF18" s="143"/>
      <c r="BG18" s="252"/>
      <c r="BH18" s="252"/>
      <c r="BI18" s="252"/>
      <c r="BJ18" s="226"/>
      <c r="BK18" s="226"/>
      <c r="BL18" s="226"/>
      <c r="BM18" s="226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241"/>
      <c r="CF18" s="241"/>
      <c r="CG18" s="241"/>
    </row>
    <row r="19" spans="1:88" ht="12.75" customHeight="1" x14ac:dyDescent="0.25">
      <c r="A19" s="6"/>
      <c r="B19" s="3" t="s">
        <v>20</v>
      </c>
      <c r="C19" s="7">
        <v>30</v>
      </c>
      <c r="D19" s="37">
        <v>20631115.423739497</v>
      </c>
      <c r="E19" s="151"/>
      <c r="F19" s="152">
        <v>11427451.59935529</v>
      </c>
      <c r="G19" s="87">
        <v>275088</v>
      </c>
      <c r="H19" s="88"/>
      <c r="I19" s="127"/>
      <c r="J19" s="88"/>
      <c r="K19" s="89">
        <v>838585.51</v>
      </c>
      <c r="L19" s="90">
        <v>252735</v>
      </c>
      <c r="M19" s="153"/>
      <c r="N19" s="91"/>
      <c r="O19" s="95">
        <v>682132.64</v>
      </c>
      <c r="P19" s="93"/>
      <c r="Q19" s="94"/>
      <c r="R19" s="93"/>
      <c r="S19" s="154">
        <v>853048</v>
      </c>
      <c r="T19" s="114"/>
      <c r="U19" s="154"/>
      <c r="V19" s="155"/>
      <c r="W19" s="58">
        <v>1150963.24</v>
      </c>
      <c r="X19" s="58">
        <v>0</v>
      </c>
      <c r="Y19" s="58"/>
      <c r="Z19" s="59"/>
      <c r="AA19" s="76">
        <v>1286599.07</v>
      </c>
      <c r="AB19" s="156">
        <v>255770.07</v>
      </c>
      <c r="AC19" s="157"/>
      <c r="AD19" s="61"/>
      <c r="AE19" s="63">
        <v>1756704.5</v>
      </c>
      <c r="AF19" s="63">
        <v>0</v>
      </c>
      <c r="AG19" s="158"/>
      <c r="AH19" s="62"/>
      <c r="AI19" s="154">
        <v>3549323.0099999965</v>
      </c>
      <c r="AJ19" s="154">
        <v>0</v>
      </c>
      <c r="AK19" s="154"/>
      <c r="AL19" s="155"/>
      <c r="AM19" s="49">
        <v>1341910.8899999994</v>
      </c>
      <c r="AN19" s="49">
        <v>0</v>
      </c>
      <c r="AO19" s="49"/>
      <c r="AP19" s="53"/>
      <c r="AQ19" s="159">
        <v>1605662.6499999997</v>
      </c>
      <c r="AR19" s="198">
        <v>0</v>
      </c>
      <c r="AS19" s="198"/>
      <c r="AT19" s="198"/>
      <c r="AU19" s="210">
        <v>974437.2</v>
      </c>
      <c r="AV19" s="210">
        <v>0</v>
      </c>
      <c r="AW19" s="210"/>
      <c r="AX19" s="210"/>
      <c r="AY19" s="129">
        <v>2945753.8299999982</v>
      </c>
      <c r="AZ19" s="129">
        <v>0</v>
      </c>
      <c r="BA19" s="129"/>
      <c r="BB19" s="129"/>
      <c r="BC19" s="146">
        <v>1470098.0800000005</v>
      </c>
      <c r="BD19" s="136"/>
      <c r="BE19" s="136"/>
      <c r="BF19" s="136"/>
      <c r="BG19" s="252">
        <f>+BH19+726319.84</f>
        <v>2828060.8582160217</v>
      </c>
      <c r="BH19" s="252">
        <v>2101741.0182160218</v>
      </c>
      <c r="BI19" s="252">
        <f>1049501.95+206250+329221.56+314738.6</f>
        <v>1899712.1099999999</v>
      </c>
      <c r="BJ19" s="226">
        <v>1038342.7200000007</v>
      </c>
      <c r="BK19" s="226"/>
      <c r="BL19" s="226"/>
      <c r="BM19" s="226"/>
      <c r="BN19" s="26">
        <f t="shared" ref="BN19:BN31" si="20">IF(D19=0,0,2001-(D19-F19)*C19/D19)</f>
        <v>1987.6168208038905</v>
      </c>
      <c r="BO19" s="43">
        <f t="shared" ref="BO19:BO31" si="21">IF((1-($CE$2-$BN19)/$C19)&gt;0,(1-($CE$2-$BN19)/$C19),0)</f>
        <v>8.7227360129683462E-2</v>
      </c>
      <c r="BP19" s="43">
        <f t="shared" ref="BP19:BP31" si="22">IF((1-($CE$2-G$2)/$C19)&gt;0,(1-($CE$2-G$2)/$C19),0)</f>
        <v>0.56666666666666665</v>
      </c>
      <c r="BQ19" s="43">
        <f t="shared" ref="BQ19:BQ31" si="23">IF((1-($CE$2-K$2)/$C19)&gt;0,(1-($CE$2-K$2)/$C19),0)</f>
        <v>0.6</v>
      </c>
      <c r="BR19" s="43">
        <f t="shared" ref="BR19:BR31" si="24">IF((1-($CE$2-O$2)/$C19)&gt;0,(1-($CE$2-O$2)/$C19),0)</f>
        <v>0.6333333333333333</v>
      </c>
      <c r="BS19" s="43">
        <f t="shared" ref="BS19:BS31" si="25">IF((1-($CE$2-S$2)/$C19)&gt;0,(1-($CE$2-S$2)/$C19),0)</f>
        <v>0.66666666666666674</v>
      </c>
      <c r="BT19" s="43">
        <f t="shared" ref="BT19:BT31" si="26">IF((1-($CE$2-W$2)/$C19)&gt;0,(1-($CE$2-W$2)/$C19),0)</f>
        <v>0.7</v>
      </c>
      <c r="BU19" s="43">
        <f t="shared" ref="BU19:BU31" si="27">IF((1-($CE$2-AA$2)/$C19)&gt;0,(1-($CE$2-AA$2)/$C19),0)</f>
        <v>0.73333333333333339</v>
      </c>
      <c r="BV19" s="43">
        <f t="shared" ref="BV19:BV31" si="28">IF((1-($CE$2-AE$2)/$C19)&gt;0,(1-($CE$2-AE$2)/$C19),0)</f>
        <v>0.76666666666666661</v>
      </c>
      <c r="BW19" s="43">
        <f t="shared" ref="BW19:BW31" si="29">IF((1-($CE$2-AI$2)/$C19)&gt;0,(1-($CE$2-AI$2)/$C19),0)</f>
        <v>0.8</v>
      </c>
      <c r="BX19" s="43">
        <f t="shared" ref="BX19:BX31" si="30">IF((1-($CE$2-AM$2)/$C19)&gt;0,(1-($CE$2-AM$2)/$C19),0)</f>
        <v>0.83333333333333337</v>
      </c>
      <c r="BY19" s="43">
        <f t="shared" ref="BY19:BY31" si="31">IF((1-($CE$2-AQ$2)/$C19)&gt;0,(1-($CE$2-AQ$2)/$C19),0)</f>
        <v>0.8666666666666667</v>
      </c>
      <c r="BZ19" s="43">
        <f t="shared" ref="BZ19:BZ31" si="32">IF((1-($CE$2-AU$2)/$C19)&gt;0,(1-($CE$2-AU$2)/$C19),0)</f>
        <v>0.9</v>
      </c>
      <c r="CA19" s="43">
        <f t="shared" ref="CA19:CA31" si="33">IF((1-($CE$2-AY$2)/$C19)&gt;0,(1-($CE$2-AY$2)/$C19),0)</f>
        <v>0.93333333333333335</v>
      </c>
      <c r="CB19" s="43">
        <f t="shared" ref="CB19:CB31" si="34">IF((1-($CE$2-BC$2)/$C19)&gt;0,(1-($CE$2-BC$2)/$C19),0)</f>
        <v>0.96666666666666667</v>
      </c>
      <c r="CC19" s="43">
        <f t="shared" ref="CC19:CC31" si="35">IF(BG19=0,0,1-($CE$2-(2014.5-(BG19-BI19)*C19/BG19))/C19)</f>
        <v>0.65506997735957007</v>
      </c>
      <c r="CD19" s="43">
        <f t="shared" ref="CD19:CD31" si="36">IF((1-($CE$2-BJ$2)/$C19)&gt;0,(1-($CE$2-BJ$2)/$C19),0)</f>
        <v>1</v>
      </c>
      <c r="CE19" s="239">
        <f t="shared" ref="CE19:CE31" si="37">+D19-E19+(G19-I19)*G$61+(K19-M19)*K$61+(O19-Q19)*O$61+(S19-U19)*S$61+(W19-Y19)*W$61+(AA19-AC19)*AA$61+(AE19-AG19)*AE$61+(AI19-AK19)*AI$61+(AM19-AO19)*AM$61+(AQ19-AS19)*$AQ$61+(AU19-AW19)*$AU$61+(AY19-BA19)*$AY$61+(BC19-BE19)*$BC$61+BG19+(BJ19-BL19)*$BJ$61</f>
        <v>39167437.133870803</v>
      </c>
      <c r="CF19" s="239">
        <f t="shared" ref="CF19:CF31" si="38">CE19-(IF(BO19=0,0,D19-E19)+IF(BP19=0,0,(G19-I19)*G$61)+IF(BQ19=0,0,(K19-M19)*K$61)+IF(BR19=0,0,(O19-Q19)*O$61)+IF(BS19=0,0,(S19-U19)*S$61)+IF(BT19=0,0,(W19-Y19)*W$61)+IF(BU19=0,0,(AA19-AC19)*AA$61)+IF(BV19=0,0,(AE19-AG19)*AE$61)+IF(BW19=0,0,(AI19-AK19)*AI$61)+IF(BX19=0,0,(AM19-AO19)*AM$61)+IF(BY19=0,0,(AQ19-AS19)*$AQ$61)+IF(BZ19=0,0,(AU19-AW19)*$AU$61)+IF(CA19=0,0,(AY19-BA19)*$AY$61)++IF(CB19=0,0,(BC19-BE19)*$BC$61)+IF(CC19=0,0,BG19)+IF(CD19=0,0,(BJ19-BL19)*$BC$61))</f>
        <v>-110.86701035499573</v>
      </c>
      <c r="CG19" s="239">
        <f t="shared" ref="CG19:CG31" si="39">(D19-E19)*BO19+((G19-H19-(I19-J19))*G$61)*BP19+((K19-L19-(M19-N19))*K$61)*BQ19+((O19-P19-(Q19-R19))*O$61)*BR19+((S19-T19-(U19-V19))*S$61)*BS19+((W19-X19-(Y19-Z19))*W$61)*BT19+((AA19-AB19-(AC19-AD19))*AA$61)*BU19+((AE19-AF19-(AG19-AH19))*AE$61)*BV19+((AI19-AJ19-(AK19-AL19))*AI$61)*BW19+((AM19-AN19)*BX19-(AO19-AP19))*$AM$61+((AQ19-AR19)*BY19-(AS19-AT19))*$AQ$61+((AU19-AV19)*BZ19-(AW19-AX19))*$AU$61+((AY19-AZ19)*CA19-(BA19-BB19))*$AY$61+((BC19-BD19)*CB19-(BF19-BN19))*$BC$61+(BG19-BH19)*CC19+((BJ19-BK19)*CD19-(BL19-BM19))*$BC$61</f>
        <v>14717378.131371934</v>
      </c>
      <c r="CH19">
        <f>+IF(BO19=0,D19-E19,0)+IF(BP19=0,(G19-I19)*$G$61,0)+IF(BQ19=0,(K19-M19)*$K$61,0)+IF(BR19=0,(O19-Q19)*$O$61,0)+IF(BS19=0,(S19-U19)*$S$61,0)</f>
        <v>0</v>
      </c>
      <c r="CI19">
        <f>IF(BO19=0,0,D19-E19)+IF(BP19=0,0,(G19-I19)*G$61)+IF(BQ19=0,0,(K19-M19)*K$61)+IF(BR19=0,0,(O19-Q19)*O$61)+IF(BS19=0,0,(S19-U19)*S$61)+IF(BT19=0,0,(W19-Y19)*W$61)+IF(BU19=0,0,(AA19-AC19)*AA$61)+IF(BV19=0,0,(AE19-AG19)*AE$61)+IF(BW19=0,0,(AI19-AK19)*AI$61)+IF(BX19=0,0,(AM19-AO19)*AM$61)+IF(BY19=0,0,(AQ19-AS19)*$AQ$61)+IF(BZ19=0,0,(AU19-AW19)*$AU$61)+IF(CA19=0,0,(AY19-BA19)*$AY$61)+IF(CB19=0,0,(BC19-BE19)*$BC$61)</f>
        <v>35480888.93564748</v>
      </c>
      <c r="CJ19" s="222">
        <f>+D19-E19+(G19-I19)*G$61+(K19-M19)*K$61+(O19-Q19)*O$61+(S19-U19)*S$61+(W19-Y19)*W$61+(AA19-AC19)*AA$61+(AE19-AG19)*AE$61+(AI19-AK19)*AI$61+(AM19-AO19)*AM$61+(AQ19-AS19)*$AQ$61+(AU19-AW19)*$AU$61+(AY19-BA19)*$AY$61+(BC19-BE19)*$BC$61</f>
        <v>35480888.93564748</v>
      </c>
    </row>
    <row r="20" spans="1:88" ht="12.75" customHeight="1" x14ac:dyDescent="0.25">
      <c r="A20" s="6" t="s">
        <v>60</v>
      </c>
      <c r="B20" s="3" t="s">
        <v>21</v>
      </c>
      <c r="C20" s="7">
        <v>30</v>
      </c>
      <c r="D20" s="37">
        <v>20319163.888809633</v>
      </c>
      <c r="E20" s="151"/>
      <c r="F20" s="152">
        <v>11254485.314634677</v>
      </c>
      <c r="G20" s="87">
        <v>81953.06180000001</v>
      </c>
      <c r="H20" s="88"/>
      <c r="I20" s="127"/>
      <c r="J20" s="88"/>
      <c r="K20" s="89">
        <v>480527.24</v>
      </c>
      <c r="L20" s="90">
        <v>0</v>
      </c>
      <c r="M20" s="153"/>
      <c r="N20" s="91"/>
      <c r="O20" s="95">
        <v>359813.26</v>
      </c>
      <c r="P20" s="93"/>
      <c r="Q20" s="94"/>
      <c r="R20" s="93"/>
      <c r="S20" s="154">
        <v>329504</v>
      </c>
      <c r="T20" s="114"/>
      <c r="U20" s="154"/>
      <c r="V20" s="155"/>
      <c r="W20" s="58">
        <v>210021.37999999998</v>
      </c>
      <c r="X20" s="58">
        <v>0</v>
      </c>
      <c r="Y20" s="58"/>
      <c r="Z20" s="59"/>
      <c r="AA20" s="76">
        <v>443891</v>
      </c>
      <c r="AB20" s="156">
        <v>0</v>
      </c>
      <c r="AC20" s="157"/>
      <c r="AD20" s="61"/>
      <c r="AE20" s="63">
        <v>422858.36</v>
      </c>
      <c r="AF20" s="63">
        <v>0</v>
      </c>
      <c r="AG20" s="158"/>
      <c r="AH20" s="62"/>
      <c r="AI20" s="154">
        <v>219533.05</v>
      </c>
      <c r="AJ20" s="154">
        <v>0</v>
      </c>
      <c r="AK20" s="154"/>
      <c r="AL20" s="155"/>
      <c r="AM20" s="49">
        <v>325380.67999999993</v>
      </c>
      <c r="AN20" s="49">
        <v>0</v>
      </c>
      <c r="AO20" s="49"/>
      <c r="AP20" s="50"/>
      <c r="AQ20" s="159">
        <v>361263.11000000028</v>
      </c>
      <c r="AR20" s="198">
        <v>0</v>
      </c>
      <c r="AS20" s="198"/>
      <c r="AT20" s="198"/>
      <c r="AU20" s="210">
        <v>277474.00999999978</v>
      </c>
      <c r="AV20" s="210">
        <v>0</v>
      </c>
      <c r="AW20" s="210"/>
      <c r="AX20" s="210"/>
      <c r="AY20" s="129">
        <v>696693.82999999949</v>
      </c>
      <c r="AZ20" s="129">
        <v>0</v>
      </c>
      <c r="BA20" s="129"/>
      <c r="BB20" s="129"/>
      <c r="BC20" s="146">
        <v>871356.4600000002</v>
      </c>
      <c r="BD20" s="136"/>
      <c r="BE20" s="136"/>
      <c r="BF20" s="136"/>
      <c r="BG20" s="252"/>
      <c r="BH20" s="252"/>
      <c r="BI20" s="252"/>
      <c r="BJ20" s="226">
        <v>1635346.59</v>
      </c>
      <c r="BK20" s="226"/>
      <c r="BL20" s="226"/>
      <c r="BM20" s="226"/>
      <c r="BN20" s="26">
        <f t="shared" si="20"/>
        <v>1987.6165577130359</v>
      </c>
      <c r="BO20" s="43">
        <f t="shared" si="21"/>
        <v>8.7218590434531507E-2</v>
      </c>
      <c r="BP20" s="43">
        <f t="shared" si="22"/>
        <v>0.56666666666666665</v>
      </c>
      <c r="BQ20" s="43">
        <f t="shared" si="23"/>
        <v>0.6</v>
      </c>
      <c r="BR20" s="43">
        <f t="shared" si="24"/>
        <v>0.6333333333333333</v>
      </c>
      <c r="BS20" s="43">
        <f t="shared" si="25"/>
        <v>0.66666666666666674</v>
      </c>
      <c r="BT20" s="43">
        <f t="shared" si="26"/>
        <v>0.7</v>
      </c>
      <c r="BU20" s="43">
        <f t="shared" si="27"/>
        <v>0.73333333333333339</v>
      </c>
      <c r="BV20" s="43">
        <f t="shared" si="28"/>
        <v>0.76666666666666661</v>
      </c>
      <c r="BW20" s="43">
        <f t="shared" si="29"/>
        <v>0.8</v>
      </c>
      <c r="BX20" s="43">
        <f t="shared" si="30"/>
        <v>0.83333333333333337</v>
      </c>
      <c r="BY20" s="43">
        <f t="shared" si="31"/>
        <v>0.8666666666666667</v>
      </c>
      <c r="BZ20" s="43">
        <f t="shared" si="32"/>
        <v>0.9</v>
      </c>
      <c r="CA20" s="43">
        <f t="shared" si="33"/>
        <v>0.93333333333333335</v>
      </c>
      <c r="CB20" s="43">
        <f t="shared" si="34"/>
        <v>0.96666666666666667</v>
      </c>
      <c r="CC20" s="43">
        <f t="shared" si="35"/>
        <v>0</v>
      </c>
      <c r="CD20" s="43">
        <f t="shared" si="36"/>
        <v>1</v>
      </c>
      <c r="CE20" s="239">
        <f t="shared" si="37"/>
        <v>25742015.305011276</v>
      </c>
      <c r="CF20" s="239">
        <f t="shared" si="38"/>
        <v>-174.6109293513</v>
      </c>
      <c r="CG20" s="239">
        <f t="shared" si="39"/>
        <v>6358155.6532737948</v>
      </c>
    </row>
    <row r="21" spans="1:88" ht="12.75" customHeight="1" x14ac:dyDescent="0.25">
      <c r="A21" s="6" t="s">
        <v>61</v>
      </c>
      <c r="B21" s="3" t="s">
        <v>22</v>
      </c>
      <c r="C21" s="7">
        <v>30</v>
      </c>
      <c r="D21" s="37">
        <v>149580.82704669842</v>
      </c>
      <c r="E21" s="151"/>
      <c r="F21" s="152">
        <v>82851.686520415911</v>
      </c>
      <c r="G21" s="87">
        <v>0</v>
      </c>
      <c r="H21" s="88"/>
      <c r="I21" s="127"/>
      <c r="J21" s="88"/>
      <c r="K21" s="89">
        <v>0</v>
      </c>
      <c r="L21" s="90">
        <v>0</v>
      </c>
      <c r="M21" s="153"/>
      <c r="N21" s="91"/>
      <c r="O21" s="95">
        <v>0</v>
      </c>
      <c r="P21" s="93"/>
      <c r="Q21" s="94"/>
      <c r="R21" s="93"/>
      <c r="S21" s="154">
        <v>0</v>
      </c>
      <c r="T21" s="114"/>
      <c r="U21" s="154"/>
      <c r="V21" s="155"/>
      <c r="W21" s="58">
        <v>0</v>
      </c>
      <c r="X21" s="58">
        <v>0</v>
      </c>
      <c r="Y21" s="58"/>
      <c r="Z21" s="59"/>
      <c r="AA21" s="76">
        <v>133700</v>
      </c>
      <c r="AB21" s="156">
        <v>133700</v>
      </c>
      <c r="AC21" s="157"/>
      <c r="AD21" s="61"/>
      <c r="AE21" s="63">
        <v>0</v>
      </c>
      <c r="AF21" s="63">
        <v>0</v>
      </c>
      <c r="AG21" s="158"/>
      <c r="AH21" s="62"/>
      <c r="AI21" s="154">
        <v>0</v>
      </c>
      <c r="AJ21" s="154">
        <v>0</v>
      </c>
      <c r="AK21" s="154"/>
      <c r="AL21" s="155"/>
      <c r="AM21" s="49">
        <v>0</v>
      </c>
      <c r="AN21" s="49">
        <v>0</v>
      </c>
      <c r="AO21" s="49"/>
      <c r="AP21" s="50"/>
      <c r="AQ21" s="159">
        <v>0</v>
      </c>
      <c r="AR21" s="198">
        <v>0</v>
      </c>
      <c r="AS21" s="198"/>
      <c r="AT21" s="198"/>
      <c r="AU21" s="210">
        <v>0</v>
      </c>
      <c r="AV21" s="210">
        <v>0</v>
      </c>
      <c r="AW21" s="210"/>
      <c r="AX21" s="210"/>
      <c r="AY21" s="129">
        <v>0</v>
      </c>
      <c r="AZ21" s="129">
        <v>0</v>
      </c>
      <c r="BA21" s="129"/>
      <c r="BB21" s="129"/>
      <c r="BC21" s="146">
        <v>0</v>
      </c>
      <c r="BD21" s="136"/>
      <c r="BE21" s="136"/>
      <c r="BF21" s="136"/>
      <c r="BG21" s="252">
        <v>70991.850000000006</v>
      </c>
      <c r="BH21" s="252"/>
      <c r="BI21" s="252">
        <v>49694.3</v>
      </c>
      <c r="BJ21" s="226">
        <v>0</v>
      </c>
      <c r="BK21" s="226"/>
      <c r="BL21" s="226"/>
      <c r="BM21" s="226"/>
      <c r="BN21" s="26">
        <f t="shared" si="20"/>
        <v>1987.6167726485194</v>
      </c>
      <c r="BO21" s="43">
        <f t="shared" si="21"/>
        <v>8.7225754950645773E-2</v>
      </c>
      <c r="BP21" s="43">
        <f t="shared" si="22"/>
        <v>0.56666666666666665</v>
      </c>
      <c r="BQ21" s="43">
        <f t="shared" si="23"/>
        <v>0.6</v>
      </c>
      <c r="BR21" s="43">
        <f t="shared" si="24"/>
        <v>0.6333333333333333</v>
      </c>
      <c r="BS21" s="43">
        <f t="shared" si="25"/>
        <v>0.66666666666666674</v>
      </c>
      <c r="BT21" s="43">
        <f t="shared" si="26"/>
        <v>0.7</v>
      </c>
      <c r="BU21" s="43">
        <f t="shared" si="27"/>
        <v>0.73333333333333339</v>
      </c>
      <c r="BV21" s="43">
        <f t="shared" si="28"/>
        <v>0.76666666666666661</v>
      </c>
      <c r="BW21" s="43">
        <f t="shared" si="29"/>
        <v>0.8</v>
      </c>
      <c r="BX21" s="43">
        <f t="shared" si="30"/>
        <v>0.83333333333333337</v>
      </c>
      <c r="BY21" s="43">
        <f t="shared" si="31"/>
        <v>0.8666666666666667</v>
      </c>
      <c r="BZ21" s="43">
        <f t="shared" si="32"/>
        <v>0.9</v>
      </c>
      <c r="CA21" s="43">
        <f t="shared" si="33"/>
        <v>0.93333333333333335</v>
      </c>
      <c r="CB21" s="43">
        <f t="shared" si="34"/>
        <v>0.96666666666666667</v>
      </c>
      <c r="CC21" s="43">
        <f t="shared" si="35"/>
        <v>0.68333340376395124</v>
      </c>
      <c r="CD21" s="43">
        <f t="shared" si="36"/>
        <v>1</v>
      </c>
      <c r="CE21" s="239">
        <f t="shared" si="37"/>
        <v>336252.69188789546</v>
      </c>
      <c r="CF21" s="239">
        <f t="shared" si="38"/>
        <v>0</v>
      </c>
      <c r="CG21" s="239">
        <f t="shared" si="39"/>
        <v>63201.949232045372</v>
      </c>
    </row>
    <row r="22" spans="1:88" ht="12.75" customHeight="1" x14ac:dyDescent="0.25">
      <c r="A22" s="6"/>
      <c r="B22" s="3" t="s">
        <v>23</v>
      </c>
      <c r="C22" s="7">
        <v>30</v>
      </c>
      <c r="D22" s="37">
        <v>0</v>
      </c>
      <c r="E22" s="151"/>
      <c r="F22" s="152">
        <v>0</v>
      </c>
      <c r="G22" s="87">
        <v>0</v>
      </c>
      <c r="H22" s="88"/>
      <c r="I22" s="127"/>
      <c r="J22" s="88"/>
      <c r="K22" s="89">
        <v>7945</v>
      </c>
      <c r="L22" s="90">
        <v>0</v>
      </c>
      <c r="M22" s="153"/>
      <c r="N22" s="91"/>
      <c r="O22" s="95">
        <v>11509.8</v>
      </c>
      <c r="P22" s="93"/>
      <c r="Q22" s="94"/>
      <c r="R22" s="93"/>
      <c r="S22" s="154">
        <v>67325</v>
      </c>
      <c r="T22" s="114"/>
      <c r="U22" s="154"/>
      <c r="V22" s="155"/>
      <c r="W22" s="58">
        <v>56607.360000000001</v>
      </c>
      <c r="X22" s="58">
        <v>0</v>
      </c>
      <c r="Y22" s="58"/>
      <c r="Z22" s="59"/>
      <c r="AA22" s="76">
        <v>26335</v>
      </c>
      <c r="AB22" s="156">
        <v>0</v>
      </c>
      <c r="AC22" s="157"/>
      <c r="AD22" s="61"/>
      <c r="AE22" s="63">
        <v>117016</v>
      </c>
      <c r="AF22" s="63">
        <v>0</v>
      </c>
      <c r="AG22" s="158"/>
      <c r="AH22" s="62"/>
      <c r="AI22" s="154">
        <v>177430.08</v>
      </c>
      <c r="AJ22" s="154">
        <v>0</v>
      </c>
      <c r="AK22" s="154"/>
      <c r="AL22" s="155"/>
      <c r="AM22" s="49">
        <v>419033.79200000002</v>
      </c>
      <c r="AN22" s="49">
        <v>0</v>
      </c>
      <c r="AO22" s="49"/>
      <c r="AP22" s="50"/>
      <c r="AQ22" s="159">
        <v>15078.509999999998</v>
      </c>
      <c r="AR22" s="198">
        <v>0</v>
      </c>
      <c r="AS22" s="198"/>
      <c r="AT22" s="198"/>
      <c r="AU22" s="210">
        <v>12954.53</v>
      </c>
      <c r="AV22" s="210">
        <v>0</v>
      </c>
      <c r="AW22" s="210"/>
      <c r="AX22" s="210"/>
      <c r="AY22" s="129">
        <v>358492.62</v>
      </c>
      <c r="AZ22" s="129">
        <v>0</v>
      </c>
      <c r="BA22" s="129"/>
      <c r="BB22" s="129"/>
      <c r="BC22" s="146">
        <v>169979.92999999996</v>
      </c>
      <c r="BD22" s="136"/>
      <c r="BE22" s="136"/>
      <c r="BF22" s="136"/>
      <c r="BG22" s="252"/>
      <c r="BH22" s="252"/>
      <c r="BI22" s="252"/>
      <c r="BJ22" s="226">
        <v>60736.35</v>
      </c>
      <c r="BK22" s="226"/>
      <c r="BL22" s="226"/>
      <c r="BM22" s="226"/>
      <c r="BN22" s="26">
        <f t="shared" si="20"/>
        <v>0</v>
      </c>
      <c r="BO22" s="43">
        <f t="shared" si="21"/>
        <v>0</v>
      </c>
      <c r="BP22" s="43">
        <f t="shared" si="22"/>
        <v>0.56666666666666665</v>
      </c>
      <c r="BQ22" s="43">
        <f t="shared" si="23"/>
        <v>0.6</v>
      </c>
      <c r="BR22" s="43">
        <f t="shared" si="24"/>
        <v>0.6333333333333333</v>
      </c>
      <c r="BS22" s="43">
        <f t="shared" si="25"/>
        <v>0.66666666666666674</v>
      </c>
      <c r="BT22" s="43">
        <f t="shared" si="26"/>
        <v>0.7</v>
      </c>
      <c r="BU22" s="43">
        <f t="shared" si="27"/>
        <v>0.73333333333333339</v>
      </c>
      <c r="BV22" s="43">
        <f t="shared" si="28"/>
        <v>0.76666666666666661</v>
      </c>
      <c r="BW22" s="43">
        <f t="shared" si="29"/>
        <v>0.8</v>
      </c>
      <c r="BX22" s="43">
        <f t="shared" si="30"/>
        <v>0.83333333333333337</v>
      </c>
      <c r="BY22" s="43">
        <f t="shared" si="31"/>
        <v>0.8666666666666667</v>
      </c>
      <c r="BZ22" s="43">
        <f t="shared" si="32"/>
        <v>0.9</v>
      </c>
      <c r="CA22" s="43">
        <f t="shared" si="33"/>
        <v>0.93333333333333335</v>
      </c>
      <c r="CB22" s="43">
        <f t="shared" si="34"/>
        <v>0.96666666666666667</v>
      </c>
      <c r="CC22" s="43">
        <f t="shared" si="35"/>
        <v>0</v>
      </c>
      <c r="CD22" s="43">
        <f t="shared" si="36"/>
        <v>1</v>
      </c>
      <c r="CE22" s="239">
        <f t="shared" si="37"/>
        <v>1108924.3926406729</v>
      </c>
      <c r="CF22" s="239">
        <f t="shared" si="38"/>
        <v>-6.485004820395261</v>
      </c>
      <c r="CG22" s="239">
        <f t="shared" si="39"/>
        <v>939822.92661025876</v>
      </c>
    </row>
    <row r="23" spans="1:88" ht="12.75" customHeight="1" x14ac:dyDescent="0.25">
      <c r="A23" s="6"/>
      <c r="B23" s="3" t="s">
        <v>24</v>
      </c>
      <c r="C23" s="7">
        <v>30</v>
      </c>
      <c r="D23" s="37">
        <v>0</v>
      </c>
      <c r="E23" s="151"/>
      <c r="F23" s="152">
        <v>0</v>
      </c>
      <c r="G23" s="87">
        <v>441.38</v>
      </c>
      <c r="H23" s="88"/>
      <c r="I23" s="127"/>
      <c r="J23" s="88"/>
      <c r="K23" s="89">
        <v>2038.59</v>
      </c>
      <c r="L23" s="90">
        <v>0</v>
      </c>
      <c r="M23" s="153"/>
      <c r="N23" s="91"/>
      <c r="O23" s="95">
        <v>30511.68</v>
      </c>
      <c r="P23" s="93"/>
      <c r="Q23" s="94"/>
      <c r="R23" s="93"/>
      <c r="S23" s="154">
        <v>47275</v>
      </c>
      <c r="T23" s="114"/>
      <c r="U23" s="154"/>
      <c r="V23" s="155"/>
      <c r="W23" s="58">
        <v>29162</v>
      </c>
      <c r="X23" s="58">
        <v>0</v>
      </c>
      <c r="Y23" s="58"/>
      <c r="Z23" s="59"/>
      <c r="AA23" s="76">
        <v>227643</v>
      </c>
      <c r="AB23" s="156">
        <v>0</v>
      </c>
      <c r="AC23" s="157"/>
      <c r="AD23" s="61"/>
      <c r="AE23" s="63">
        <v>30843</v>
      </c>
      <c r="AF23" s="63">
        <v>0</v>
      </c>
      <c r="AG23" s="158"/>
      <c r="AH23" s="62"/>
      <c r="AI23" s="154">
        <v>13617.82</v>
      </c>
      <c r="AJ23" s="154">
        <v>0</v>
      </c>
      <c r="AK23" s="154"/>
      <c r="AL23" s="155"/>
      <c r="AM23" s="49">
        <v>558680.16</v>
      </c>
      <c r="AN23" s="49">
        <v>0</v>
      </c>
      <c r="AO23" s="49"/>
      <c r="AP23" s="50"/>
      <c r="AQ23" s="159">
        <v>84681.959999999992</v>
      </c>
      <c r="AR23" s="198">
        <v>0</v>
      </c>
      <c r="AS23" s="198"/>
      <c r="AT23" s="198"/>
      <c r="AU23" s="210">
        <v>36276.959999999999</v>
      </c>
      <c r="AV23" s="210">
        <v>0</v>
      </c>
      <c r="AW23" s="210"/>
      <c r="AX23" s="210"/>
      <c r="AY23" s="129">
        <v>29336.300000000003</v>
      </c>
      <c r="AZ23" s="129">
        <v>0</v>
      </c>
      <c r="BA23" s="129"/>
      <c r="BB23" s="129"/>
      <c r="BC23" s="146">
        <v>67647.91</v>
      </c>
      <c r="BD23" s="136"/>
      <c r="BE23" s="136"/>
      <c r="BF23" s="136"/>
      <c r="BG23" s="252"/>
      <c r="BH23" s="252"/>
      <c r="BI23" s="252"/>
      <c r="BJ23" s="226">
        <v>510773.58</v>
      </c>
      <c r="BK23" s="226"/>
      <c r="BL23" s="226"/>
      <c r="BM23" s="226"/>
      <c r="BN23" s="26">
        <f t="shared" si="20"/>
        <v>0</v>
      </c>
      <c r="BO23" s="43">
        <f t="shared" si="21"/>
        <v>0</v>
      </c>
      <c r="BP23" s="43">
        <f t="shared" si="22"/>
        <v>0.56666666666666665</v>
      </c>
      <c r="BQ23" s="43">
        <f t="shared" si="23"/>
        <v>0.6</v>
      </c>
      <c r="BR23" s="43">
        <f t="shared" si="24"/>
        <v>0.6333333333333333</v>
      </c>
      <c r="BS23" s="43">
        <f t="shared" si="25"/>
        <v>0.66666666666666674</v>
      </c>
      <c r="BT23" s="43">
        <f t="shared" si="26"/>
        <v>0.7</v>
      </c>
      <c r="BU23" s="43">
        <f t="shared" si="27"/>
        <v>0.73333333333333339</v>
      </c>
      <c r="BV23" s="43">
        <f t="shared" si="28"/>
        <v>0.76666666666666661</v>
      </c>
      <c r="BW23" s="43">
        <f t="shared" si="29"/>
        <v>0.8</v>
      </c>
      <c r="BX23" s="43">
        <f t="shared" si="30"/>
        <v>0.83333333333333337</v>
      </c>
      <c r="BY23" s="43">
        <f t="shared" si="31"/>
        <v>0.8666666666666667</v>
      </c>
      <c r="BZ23" s="43">
        <f t="shared" si="32"/>
        <v>0.9</v>
      </c>
      <c r="CA23" s="43">
        <f t="shared" si="33"/>
        <v>0.93333333333333335</v>
      </c>
      <c r="CB23" s="43">
        <f t="shared" si="34"/>
        <v>0.96666666666666667</v>
      </c>
      <c r="CC23" s="43">
        <f t="shared" si="35"/>
        <v>0</v>
      </c>
      <c r="CD23" s="43">
        <f t="shared" si="36"/>
        <v>1</v>
      </c>
      <c r="CE23" s="239">
        <f t="shared" si="37"/>
        <v>1313962.1534853117</v>
      </c>
      <c r="CF23" s="239">
        <f t="shared" si="38"/>
        <v>-54.536848663818091</v>
      </c>
      <c r="CG23" s="239">
        <f t="shared" si="39"/>
        <v>1141528.484630337</v>
      </c>
    </row>
    <row r="24" spans="1:88" ht="12.75" customHeight="1" x14ac:dyDescent="0.25">
      <c r="A24" s="6"/>
      <c r="B24" s="3" t="s">
        <v>25</v>
      </c>
      <c r="C24" s="7">
        <v>30</v>
      </c>
      <c r="D24" s="37">
        <v>0</v>
      </c>
      <c r="E24" s="151"/>
      <c r="F24" s="152">
        <v>0</v>
      </c>
      <c r="G24" s="87">
        <v>0</v>
      </c>
      <c r="H24" s="88"/>
      <c r="I24" s="127"/>
      <c r="J24" s="88"/>
      <c r="K24" s="89">
        <v>0</v>
      </c>
      <c r="L24" s="90">
        <v>0</v>
      </c>
      <c r="M24" s="153"/>
      <c r="N24" s="91"/>
      <c r="O24" s="95">
        <v>0</v>
      </c>
      <c r="P24" s="93"/>
      <c r="Q24" s="94"/>
      <c r="R24" s="93"/>
      <c r="S24" s="154">
        <v>0</v>
      </c>
      <c r="T24" s="114"/>
      <c r="U24" s="154"/>
      <c r="V24" s="155"/>
      <c r="W24" s="58">
        <v>0</v>
      </c>
      <c r="X24" s="58">
        <v>0</v>
      </c>
      <c r="Y24" s="58"/>
      <c r="Z24" s="59"/>
      <c r="AA24" s="76">
        <v>0</v>
      </c>
      <c r="AB24" s="156">
        <v>0</v>
      </c>
      <c r="AC24" s="157"/>
      <c r="AD24" s="61"/>
      <c r="AE24" s="63">
        <v>0</v>
      </c>
      <c r="AF24" s="63">
        <v>0</v>
      </c>
      <c r="AG24" s="158"/>
      <c r="AH24" s="62"/>
      <c r="AI24" s="154">
        <v>0</v>
      </c>
      <c r="AJ24" s="154">
        <v>0</v>
      </c>
      <c r="AK24" s="154"/>
      <c r="AL24" s="155"/>
      <c r="AM24" s="49">
        <v>0</v>
      </c>
      <c r="AN24" s="49">
        <v>0</v>
      </c>
      <c r="AO24" s="49"/>
      <c r="AP24" s="50"/>
      <c r="AQ24" s="159">
        <v>0</v>
      </c>
      <c r="AR24" s="198">
        <v>0</v>
      </c>
      <c r="AS24" s="198"/>
      <c r="AT24" s="198"/>
      <c r="AU24" s="210">
        <v>0</v>
      </c>
      <c r="AV24" s="210">
        <v>0</v>
      </c>
      <c r="AW24" s="210"/>
      <c r="AX24" s="210"/>
      <c r="AY24" s="129">
        <v>0</v>
      </c>
      <c r="AZ24" s="129">
        <v>0</v>
      </c>
      <c r="BA24" s="129"/>
      <c r="BB24" s="129"/>
      <c r="BC24" s="146">
        <v>0</v>
      </c>
      <c r="BD24" s="136"/>
      <c r="BE24" s="136"/>
      <c r="BF24" s="136"/>
      <c r="BG24" s="252"/>
      <c r="BH24" s="252"/>
      <c r="BI24" s="252"/>
      <c r="BJ24" s="226">
        <v>0</v>
      </c>
      <c r="BK24" s="226"/>
      <c r="BL24" s="226"/>
      <c r="BM24" s="226"/>
      <c r="BN24" s="26">
        <f t="shared" si="20"/>
        <v>0</v>
      </c>
      <c r="BO24" s="43">
        <f t="shared" si="21"/>
        <v>0</v>
      </c>
      <c r="BP24" s="43">
        <f t="shared" si="22"/>
        <v>0.56666666666666665</v>
      </c>
      <c r="BQ24" s="43">
        <f t="shared" si="23"/>
        <v>0.6</v>
      </c>
      <c r="BR24" s="43">
        <f t="shared" si="24"/>
        <v>0.6333333333333333</v>
      </c>
      <c r="BS24" s="43">
        <f t="shared" si="25"/>
        <v>0.66666666666666674</v>
      </c>
      <c r="BT24" s="43">
        <f t="shared" si="26"/>
        <v>0.7</v>
      </c>
      <c r="BU24" s="43">
        <f t="shared" si="27"/>
        <v>0.73333333333333339</v>
      </c>
      <c r="BV24" s="43">
        <f t="shared" si="28"/>
        <v>0.76666666666666661</v>
      </c>
      <c r="BW24" s="43">
        <f t="shared" si="29"/>
        <v>0.8</v>
      </c>
      <c r="BX24" s="43">
        <f t="shared" si="30"/>
        <v>0.83333333333333337</v>
      </c>
      <c r="BY24" s="43">
        <f t="shared" si="31"/>
        <v>0.8666666666666667</v>
      </c>
      <c r="BZ24" s="43">
        <f t="shared" si="32"/>
        <v>0.9</v>
      </c>
      <c r="CA24" s="43">
        <f t="shared" si="33"/>
        <v>0.93333333333333335</v>
      </c>
      <c r="CB24" s="43">
        <f t="shared" si="34"/>
        <v>0.96666666666666667</v>
      </c>
      <c r="CC24" s="43">
        <f t="shared" si="35"/>
        <v>0</v>
      </c>
      <c r="CD24" s="43">
        <f t="shared" si="36"/>
        <v>1</v>
      </c>
      <c r="CE24" s="239">
        <f t="shared" si="37"/>
        <v>0</v>
      </c>
      <c r="CF24" s="239">
        <f t="shared" si="38"/>
        <v>0</v>
      </c>
      <c r="CG24" s="239">
        <f t="shared" si="39"/>
        <v>0</v>
      </c>
    </row>
    <row r="25" spans="1:88" ht="12.75" customHeight="1" x14ac:dyDescent="0.25">
      <c r="A25" s="6"/>
      <c r="B25" s="3" t="s">
        <v>26</v>
      </c>
      <c r="C25" s="7">
        <v>30</v>
      </c>
      <c r="D25" s="37">
        <v>5501374.3444445133</v>
      </c>
      <c r="E25" s="151"/>
      <c r="F25" s="152">
        <v>2211179.1957926331</v>
      </c>
      <c r="G25" s="87">
        <v>246248.65</v>
      </c>
      <c r="H25" s="88"/>
      <c r="I25" s="127"/>
      <c r="J25" s="88"/>
      <c r="K25" s="89">
        <v>0</v>
      </c>
      <c r="L25" s="90">
        <v>0</v>
      </c>
      <c r="M25" s="153"/>
      <c r="N25" s="91"/>
      <c r="O25" s="95">
        <v>73556.03</v>
      </c>
      <c r="P25" s="93"/>
      <c r="Q25" s="94"/>
      <c r="R25" s="93"/>
      <c r="S25" s="154">
        <v>34597</v>
      </c>
      <c r="T25" s="114"/>
      <c r="U25" s="154"/>
      <c r="V25" s="155"/>
      <c r="W25" s="58">
        <v>13668.23</v>
      </c>
      <c r="X25" s="58">
        <v>0</v>
      </c>
      <c r="Y25" s="58"/>
      <c r="Z25" s="59"/>
      <c r="AA25" s="76">
        <v>92007</v>
      </c>
      <c r="AB25" s="156">
        <v>0</v>
      </c>
      <c r="AC25" s="157"/>
      <c r="AD25" s="61"/>
      <c r="AE25" s="63">
        <v>14698</v>
      </c>
      <c r="AF25" s="63">
        <v>0</v>
      </c>
      <c r="AG25" s="158"/>
      <c r="AH25" s="62"/>
      <c r="AI25" s="154">
        <v>1190332.1199999999</v>
      </c>
      <c r="AJ25" s="154">
        <v>0</v>
      </c>
      <c r="AK25" s="154"/>
      <c r="AL25" s="155"/>
      <c r="AM25" s="49">
        <v>61476</v>
      </c>
      <c r="AN25" s="49">
        <v>0</v>
      </c>
      <c r="AO25" s="49"/>
      <c r="AP25" s="50"/>
      <c r="AQ25" s="159">
        <v>736704.62000000011</v>
      </c>
      <c r="AR25" s="198">
        <v>0</v>
      </c>
      <c r="AS25" s="198"/>
      <c r="AT25" s="198"/>
      <c r="AU25" s="210">
        <v>142747</v>
      </c>
      <c r="AV25" s="210">
        <v>0</v>
      </c>
      <c r="AW25" s="210"/>
      <c r="AX25" s="210"/>
      <c r="AY25" s="129">
        <v>72665.05</v>
      </c>
      <c r="AZ25" s="129">
        <v>0</v>
      </c>
      <c r="BA25" s="129"/>
      <c r="BB25" s="129"/>
      <c r="BC25" s="146">
        <v>78936.5</v>
      </c>
      <c r="BD25" s="136"/>
      <c r="BE25" s="136"/>
      <c r="BF25" s="136"/>
      <c r="BG25" s="252">
        <f>+BH25+240211+130000</f>
        <v>407143.26455643016</v>
      </c>
      <c r="BH25" s="252">
        <v>36932.264556430164</v>
      </c>
      <c r="BI25" s="252">
        <f>27851.51+106065.67+91000</f>
        <v>224917.18</v>
      </c>
      <c r="BJ25" s="226">
        <v>52811.259999999995</v>
      </c>
      <c r="BK25" s="226"/>
      <c r="BL25" s="226"/>
      <c r="BM25" s="226"/>
      <c r="BN25" s="26">
        <f t="shared" si="20"/>
        <v>1983.0579643777135</v>
      </c>
      <c r="BO25" s="43">
        <f t="shared" si="21"/>
        <v>0</v>
      </c>
      <c r="BP25" s="43">
        <f t="shared" si="22"/>
        <v>0.56666666666666665</v>
      </c>
      <c r="BQ25" s="43">
        <f t="shared" si="23"/>
        <v>0.6</v>
      </c>
      <c r="BR25" s="43">
        <f t="shared" si="24"/>
        <v>0.6333333333333333</v>
      </c>
      <c r="BS25" s="43">
        <f t="shared" si="25"/>
        <v>0.66666666666666674</v>
      </c>
      <c r="BT25" s="43">
        <f t="shared" si="26"/>
        <v>0.7</v>
      </c>
      <c r="BU25" s="43">
        <f t="shared" si="27"/>
        <v>0.73333333333333339</v>
      </c>
      <c r="BV25" s="43">
        <f t="shared" si="28"/>
        <v>0.76666666666666661</v>
      </c>
      <c r="BW25" s="43">
        <f t="shared" si="29"/>
        <v>0.8</v>
      </c>
      <c r="BX25" s="43">
        <f t="shared" si="30"/>
        <v>0.83333333333333337</v>
      </c>
      <c r="BY25" s="43">
        <f t="shared" si="31"/>
        <v>0.8666666666666667</v>
      </c>
      <c r="BZ25" s="43">
        <f t="shared" si="32"/>
        <v>0.9</v>
      </c>
      <c r="CA25" s="43">
        <f t="shared" si="33"/>
        <v>0.93333333333333335</v>
      </c>
      <c r="CB25" s="43">
        <f t="shared" si="34"/>
        <v>0.96666666666666667</v>
      </c>
      <c r="CC25" s="43">
        <f t="shared" si="35"/>
        <v>0.53576094194191537</v>
      </c>
      <c r="CD25" s="43">
        <f t="shared" si="36"/>
        <v>1</v>
      </c>
      <c r="CE25" s="239">
        <f t="shared" si="37"/>
        <v>8248999.3679702803</v>
      </c>
      <c r="CF25" s="239">
        <f t="shared" si="38"/>
        <v>5501368.7056256551</v>
      </c>
      <c r="CG25" s="239">
        <f t="shared" si="39"/>
        <v>2077102.4531860284</v>
      </c>
    </row>
    <row r="26" spans="1:88" ht="12.75" customHeight="1" x14ac:dyDescent="0.25">
      <c r="A26" s="6"/>
      <c r="B26" s="3" t="s">
        <v>27</v>
      </c>
      <c r="C26" s="7">
        <v>30</v>
      </c>
      <c r="D26" s="37">
        <v>0</v>
      </c>
      <c r="E26" s="151"/>
      <c r="F26" s="152">
        <v>0</v>
      </c>
      <c r="G26" s="87">
        <v>0</v>
      </c>
      <c r="H26" s="88"/>
      <c r="I26" s="127"/>
      <c r="J26" s="88"/>
      <c r="K26" s="89">
        <v>0</v>
      </c>
      <c r="L26" s="90">
        <v>0</v>
      </c>
      <c r="M26" s="153"/>
      <c r="N26" s="91"/>
      <c r="O26" s="95">
        <v>0</v>
      </c>
      <c r="P26" s="93"/>
      <c r="Q26" s="94"/>
      <c r="R26" s="93"/>
      <c r="S26" s="154">
        <v>0</v>
      </c>
      <c r="T26" s="114"/>
      <c r="U26" s="154"/>
      <c r="V26" s="155"/>
      <c r="W26" s="58">
        <v>0</v>
      </c>
      <c r="X26" s="58">
        <v>0</v>
      </c>
      <c r="Y26" s="58"/>
      <c r="Z26" s="59"/>
      <c r="AA26" s="76">
        <v>0</v>
      </c>
      <c r="AB26" s="156">
        <v>0</v>
      </c>
      <c r="AC26" s="157"/>
      <c r="AD26" s="61"/>
      <c r="AE26" s="63">
        <v>0</v>
      </c>
      <c r="AF26" s="63">
        <v>0</v>
      </c>
      <c r="AG26" s="158"/>
      <c r="AH26" s="62"/>
      <c r="AI26" s="154">
        <v>0</v>
      </c>
      <c r="AJ26" s="154">
        <v>0</v>
      </c>
      <c r="AK26" s="154"/>
      <c r="AL26" s="155"/>
      <c r="AM26" s="49">
        <v>0</v>
      </c>
      <c r="AN26" s="49">
        <v>0</v>
      </c>
      <c r="AO26" s="49"/>
      <c r="AP26" s="50"/>
      <c r="AQ26" s="159">
        <v>0</v>
      </c>
      <c r="AR26" s="198">
        <v>0</v>
      </c>
      <c r="AS26" s="198"/>
      <c r="AT26" s="198"/>
      <c r="AU26" s="210">
        <v>0</v>
      </c>
      <c r="AV26" s="210">
        <v>0</v>
      </c>
      <c r="AW26" s="210"/>
      <c r="AX26" s="210"/>
      <c r="AY26" s="129">
        <v>0</v>
      </c>
      <c r="AZ26" s="129">
        <v>0</v>
      </c>
      <c r="BA26" s="129"/>
      <c r="BB26" s="129"/>
      <c r="BC26" s="146">
        <v>0</v>
      </c>
      <c r="BD26" s="136"/>
      <c r="BE26" s="136"/>
      <c r="BF26" s="136"/>
      <c r="BG26" s="252">
        <f>+BH26</f>
        <v>2503042.5259680757</v>
      </c>
      <c r="BH26" s="252">
        <v>2503042.5259680757</v>
      </c>
      <c r="BI26" s="252">
        <v>1887604.64</v>
      </c>
      <c r="BJ26" s="226">
        <v>0</v>
      </c>
      <c r="BK26" s="226"/>
      <c r="BL26" s="226"/>
      <c r="BM26" s="226"/>
      <c r="BN26" s="26">
        <f t="shared" si="20"/>
        <v>0</v>
      </c>
      <c r="BO26" s="43">
        <f t="shared" si="21"/>
        <v>0</v>
      </c>
      <c r="BP26" s="43">
        <f t="shared" si="22"/>
        <v>0.56666666666666665</v>
      </c>
      <c r="BQ26" s="43">
        <f t="shared" si="23"/>
        <v>0.6</v>
      </c>
      <c r="BR26" s="43">
        <f t="shared" si="24"/>
        <v>0.6333333333333333</v>
      </c>
      <c r="BS26" s="43">
        <f t="shared" si="25"/>
        <v>0.66666666666666674</v>
      </c>
      <c r="BT26" s="43">
        <f t="shared" si="26"/>
        <v>0.7</v>
      </c>
      <c r="BU26" s="43">
        <f t="shared" si="27"/>
        <v>0.73333333333333339</v>
      </c>
      <c r="BV26" s="43">
        <f t="shared" si="28"/>
        <v>0.76666666666666661</v>
      </c>
      <c r="BW26" s="43">
        <f t="shared" si="29"/>
        <v>0.8</v>
      </c>
      <c r="BX26" s="43">
        <f t="shared" si="30"/>
        <v>0.83333333333333337</v>
      </c>
      <c r="BY26" s="43">
        <f t="shared" si="31"/>
        <v>0.8666666666666667</v>
      </c>
      <c r="BZ26" s="43">
        <f t="shared" si="32"/>
        <v>0.9</v>
      </c>
      <c r="CA26" s="43">
        <f t="shared" si="33"/>
        <v>0.93333333333333335</v>
      </c>
      <c r="CB26" s="43">
        <f t="shared" si="34"/>
        <v>0.96666666666666667</v>
      </c>
      <c r="CC26" s="43">
        <f t="shared" si="35"/>
        <v>0.73745741249573105</v>
      </c>
      <c r="CD26" s="43">
        <f t="shared" si="36"/>
        <v>1</v>
      </c>
      <c r="CE26" s="239">
        <f t="shared" si="37"/>
        <v>2503042.5259680757</v>
      </c>
      <c r="CF26" s="239">
        <f t="shared" si="38"/>
        <v>0</v>
      </c>
      <c r="CG26" s="239">
        <f t="shared" si="39"/>
        <v>0</v>
      </c>
    </row>
    <row r="27" spans="1:88" ht="12.75" customHeight="1" x14ac:dyDescent="0.25">
      <c r="A27" s="6"/>
      <c r="B27" s="3" t="s">
        <v>28</v>
      </c>
      <c r="C27" s="7">
        <v>30</v>
      </c>
      <c r="D27" s="37">
        <v>0</v>
      </c>
      <c r="E27" s="151"/>
      <c r="F27" s="152">
        <v>0</v>
      </c>
      <c r="G27" s="87">
        <v>0</v>
      </c>
      <c r="H27" s="88"/>
      <c r="I27" s="127"/>
      <c r="J27" s="88"/>
      <c r="K27" s="89">
        <v>0</v>
      </c>
      <c r="L27" s="90">
        <v>0</v>
      </c>
      <c r="M27" s="153"/>
      <c r="N27" s="91"/>
      <c r="O27" s="95">
        <v>0</v>
      </c>
      <c r="P27" s="93"/>
      <c r="Q27" s="94"/>
      <c r="R27" s="93"/>
      <c r="S27" s="154">
        <v>0</v>
      </c>
      <c r="T27" s="114"/>
      <c r="U27" s="154"/>
      <c r="V27" s="155"/>
      <c r="W27" s="58">
        <v>0</v>
      </c>
      <c r="X27" s="58">
        <v>0</v>
      </c>
      <c r="Y27" s="58"/>
      <c r="Z27" s="59"/>
      <c r="AA27" s="76">
        <v>0</v>
      </c>
      <c r="AB27" s="156">
        <v>0</v>
      </c>
      <c r="AC27" s="157"/>
      <c r="AD27" s="61"/>
      <c r="AE27" s="63">
        <v>0</v>
      </c>
      <c r="AF27" s="63">
        <v>0</v>
      </c>
      <c r="AG27" s="158"/>
      <c r="AH27" s="62"/>
      <c r="AI27" s="154">
        <v>0</v>
      </c>
      <c r="AJ27" s="154">
        <v>0</v>
      </c>
      <c r="AK27" s="154"/>
      <c r="AL27" s="155"/>
      <c r="AM27" s="49">
        <v>0</v>
      </c>
      <c r="AN27" s="49">
        <v>0</v>
      </c>
      <c r="AO27" s="49"/>
      <c r="AP27" s="50"/>
      <c r="AQ27" s="159">
        <v>0</v>
      </c>
      <c r="AR27" s="198">
        <v>0</v>
      </c>
      <c r="AS27" s="198"/>
      <c r="AT27" s="198"/>
      <c r="AU27" s="210">
        <v>0</v>
      </c>
      <c r="AV27" s="210">
        <v>0</v>
      </c>
      <c r="AW27" s="210"/>
      <c r="AX27" s="210"/>
      <c r="AY27" s="129">
        <v>0</v>
      </c>
      <c r="AZ27" s="129">
        <v>0</v>
      </c>
      <c r="BA27" s="129"/>
      <c r="BB27" s="129"/>
      <c r="BC27" s="146">
        <v>0</v>
      </c>
      <c r="BD27" s="136"/>
      <c r="BE27" s="136"/>
      <c r="BF27" s="136"/>
      <c r="BG27" s="252"/>
      <c r="BH27" s="252"/>
      <c r="BI27" s="252"/>
      <c r="BJ27" s="226">
        <v>0</v>
      </c>
      <c r="BK27" s="226"/>
      <c r="BL27" s="226"/>
      <c r="BM27" s="226"/>
      <c r="BN27" s="26">
        <f t="shared" si="20"/>
        <v>0</v>
      </c>
      <c r="BO27" s="43">
        <f t="shared" si="21"/>
        <v>0</v>
      </c>
      <c r="BP27" s="43">
        <f t="shared" si="22"/>
        <v>0.56666666666666665</v>
      </c>
      <c r="BQ27" s="43">
        <f t="shared" si="23"/>
        <v>0.6</v>
      </c>
      <c r="BR27" s="43">
        <f t="shared" si="24"/>
        <v>0.6333333333333333</v>
      </c>
      <c r="BS27" s="43">
        <f t="shared" si="25"/>
        <v>0.66666666666666674</v>
      </c>
      <c r="BT27" s="43">
        <f t="shared" si="26"/>
        <v>0.7</v>
      </c>
      <c r="BU27" s="43">
        <f t="shared" si="27"/>
        <v>0.73333333333333339</v>
      </c>
      <c r="BV27" s="43">
        <f t="shared" si="28"/>
        <v>0.76666666666666661</v>
      </c>
      <c r="BW27" s="43">
        <f t="shared" si="29"/>
        <v>0.8</v>
      </c>
      <c r="BX27" s="43">
        <f t="shared" si="30"/>
        <v>0.83333333333333337</v>
      </c>
      <c r="BY27" s="43">
        <f t="shared" si="31"/>
        <v>0.8666666666666667</v>
      </c>
      <c r="BZ27" s="43">
        <f t="shared" si="32"/>
        <v>0.9</v>
      </c>
      <c r="CA27" s="43">
        <f t="shared" si="33"/>
        <v>0.93333333333333335</v>
      </c>
      <c r="CB27" s="43">
        <f t="shared" si="34"/>
        <v>0.96666666666666667</v>
      </c>
      <c r="CC27" s="43">
        <f t="shared" si="35"/>
        <v>0</v>
      </c>
      <c r="CD27" s="43">
        <f t="shared" si="36"/>
        <v>1</v>
      </c>
      <c r="CE27" s="239">
        <f t="shared" si="37"/>
        <v>0</v>
      </c>
      <c r="CF27" s="239">
        <f t="shared" si="38"/>
        <v>0</v>
      </c>
      <c r="CG27" s="239">
        <f t="shared" si="39"/>
        <v>0</v>
      </c>
    </row>
    <row r="28" spans="1:88" ht="12.75" customHeight="1" x14ac:dyDescent="0.25">
      <c r="A28" s="6"/>
      <c r="B28" s="3" t="s">
        <v>53</v>
      </c>
      <c r="C28" s="7">
        <v>30</v>
      </c>
      <c r="D28" s="37">
        <v>0</v>
      </c>
      <c r="E28" s="151"/>
      <c r="F28" s="152">
        <v>0</v>
      </c>
      <c r="G28" s="87">
        <v>0</v>
      </c>
      <c r="H28" s="88"/>
      <c r="I28" s="127"/>
      <c r="J28" s="88"/>
      <c r="K28" s="89">
        <v>0</v>
      </c>
      <c r="L28" s="90">
        <v>0</v>
      </c>
      <c r="M28" s="153"/>
      <c r="N28" s="91"/>
      <c r="O28" s="95">
        <v>0</v>
      </c>
      <c r="P28" s="93"/>
      <c r="Q28" s="94"/>
      <c r="R28" s="93"/>
      <c r="S28" s="154">
        <v>0</v>
      </c>
      <c r="T28" s="114"/>
      <c r="U28" s="154"/>
      <c r="V28" s="155"/>
      <c r="W28" s="58">
        <v>0</v>
      </c>
      <c r="X28" s="58">
        <v>0</v>
      </c>
      <c r="Y28" s="58"/>
      <c r="Z28" s="59"/>
      <c r="AA28" s="76">
        <v>0</v>
      </c>
      <c r="AB28" s="156">
        <v>0</v>
      </c>
      <c r="AC28" s="157"/>
      <c r="AD28" s="61"/>
      <c r="AE28" s="63">
        <v>0</v>
      </c>
      <c r="AF28" s="63">
        <v>0</v>
      </c>
      <c r="AG28" s="158"/>
      <c r="AH28" s="62"/>
      <c r="AI28" s="154">
        <v>0</v>
      </c>
      <c r="AJ28" s="154">
        <v>0</v>
      </c>
      <c r="AK28" s="154"/>
      <c r="AL28" s="155"/>
      <c r="AM28" s="49">
        <v>0</v>
      </c>
      <c r="AN28" s="49">
        <v>0</v>
      </c>
      <c r="AO28" s="49"/>
      <c r="AP28" s="50"/>
      <c r="AQ28" s="159">
        <v>0</v>
      </c>
      <c r="AR28" s="198">
        <v>0</v>
      </c>
      <c r="AS28" s="198"/>
      <c r="AT28" s="198"/>
      <c r="AU28" s="210">
        <v>0</v>
      </c>
      <c r="AV28" s="210">
        <v>0</v>
      </c>
      <c r="AW28" s="210"/>
      <c r="AX28" s="210"/>
      <c r="AY28" s="129">
        <v>21877.608</v>
      </c>
      <c r="AZ28" s="129">
        <v>0</v>
      </c>
      <c r="BA28" s="129"/>
      <c r="BB28" s="129"/>
      <c r="BC28" s="146"/>
      <c r="BD28" s="136"/>
      <c r="BE28" s="136"/>
      <c r="BF28" s="136"/>
      <c r="BG28" s="252"/>
      <c r="BH28" s="252"/>
      <c r="BI28" s="252"/>
      <c r="BJ28" s="226"/>
      <c r="BK28" s="226"/>
      <c r="BL28" s="226"/>
      <c r="BM28" s="226"/>
      <c r="BN28" s="26">
        <f t="shared" si="20"/>
        <v>0</v>
      </c>
      <c r="BO28" s="43">
        <f t="shared" si="21"/>
        <v>0</v>
      </c>
      <c r="BP28" s="43">
        <f t="shared" si="22"/>
        <v>0.56666666666666665</v>
      </c>
      <c r="BQ28" s="43">
        <f t="shared" si="23"/>
        <v>0.6</v>
      </c>
      <c r="BR28" s="43">
        <f t="shared" si="24"/>
        <v>0.6333333333333333</v>
      </c>
      <c r="BS28" s="43">
        <f t="shared" si="25"/>
        <v>0.66666666666666674</v>
      </c>
      <c r="BT28" s="43">
        <f t="shared" si="26"/>
        <v>0.7</v>
      </c>
      <c r="BU28" s="43">
        <f t="shared" si="27"/>
        <v>0.73333333333333339</v>
      </c>
      <c r="BV28" s="43">
        <f t="shared" si="28"/>
        <v>0.76666666666666661</v>
      </c>
      <c r="BW28" s="43">
        <f t="shared" si="29"/>
        <v>0.8</v>
      </c>
      <c r="BX28" s="43">
        <f t="shared" si="30"/>
        <v>0.83333333333333337</v>
      </c>
      <c r="BY28" s="43">
        <f t="shared" si="31"/>
        <v>0.8666666666666667</v>
      </c>
      <c r="BZ28" s="43">
        <f t="shared" si="32"/>
        <v>0.9</v>
      </c>
      <c r="CA28" s="43">
        <f t="shared" si="33"/>
        <v>0.93333333333333335</v>
      </c>
      <c r="CB28" s="43">
        <f t="shared" si="34"/>
        <v>0.96666666666666667</v>
      </c>
      <c r="CC28" s="43">
        <f t="shared" si="35"/>
        <v>0</v>
      </c>
      <c r="CD28" s="43">
        <f t="shared" si="36"/>
        <v>1</v>
      </c>
      <c r="CE28" s="239">
        <f t="shared" si="37"/>
        <v>12610.54608680449</v>
      </c>
      <c r="CF28" s="239">
        <f t="shared" si="38"/>
        <v>0</v>
      </c>
      <c r="CG28" s="239">
        <f t="shared" si="39"/>
        <v>11769.843014350858</v>
      </c>
    </row>
    <row r="29" spans="1:88" ht="12.75" customHeight="1" x14ac:dyDescent="0.25">
      <c r="A29" s="6"/>
      <c r="B29" s="3" t="s">
        <v>47</v>
      </c>
      <c r="C29" s="7">
        <v>30</v>
      </c>
      <c r="D29" s="37">
        <v>3799108.6462719133</v>
      </c>
      <c r="E29" s="151"/>
      <c r="F29" s="152">
        <v>2411549.8125453922</v>
      </c>
      <c r="G29" s="87">
        <v>47185.65</v>
      </c>
      <c r="H29" s="88"/>
      <c r="I29" s="127"/>
      <c r="J29" s="88"/>
      <c r="K29" s="89">
        <v>121565.18</v>
      </c>
      <c r="L29" s="90">
        <v>42230</v>
      </c>
      <c r="M29" s="153"/>
      <c r="N29" s="91"/>
      <c r="O29" s="95">
        <v>114271.26085397454</v>
      </c>
      <c r="P29" s="93"/>
      <c r="Q29" s="94"/>
      <c r="R29" s="93"/>
      <c r="S29" s="154">
        <v>315516</v>
      </c>
      <c r="T29" s="114"/>
      <c r="U29" s="154"/>
      <c r="V29" s="155"/>
      <c r="W29" s="58">
        <v>246969.46</v>
      </c>
      <c r="X29" s="58">
        <v>0</v>
      </c>
      <c r="Y29" s="58"/>
      <c r="Z29" s="59"/>
      <c r="AA29" s="76">
        <v>746934.4</v>
      </c>
      <c r="AB29" s="156">
        <v>111277</v>
      </c>
      <c r="AC29" s="157"/>
      <c r="AD29" s="61"/>
      <c r="AE29" s="63">
        <v>819508.73</v>
      </c>
      <c r="AF29" s="63">
        <v>0</v>
      </c>
      <c r="AG29" s="158"/>
      <c r="AH29" s="62"/>
      <c r="AI29" s="154">
        <v>396123.05</v>
      </c>
      <c r="AJ29" s="154">
        <v>0</v>
      </c>
      <c r="AK29" s="154"/>
      <c r="AL29" s="155"/>
      <c r="AM29" s="49">
        <v>616394.63</v>
      </c>
      <c r="AN29" s="49">
        <v>0</v>
      </c>
      <c r="AO29" s="49"/>
      <c r="AP29" s="50"/>
      <c r="AQ29" s="159">
        <v>924534.3600000008</v>
      </c>
      <c r="AR29" s="198">
        <v>0</v>
      </c>
      <c r="AS29" s="198"/>
      <c r="AT29" s="198"/>
      <c r="AU29" s="210">
        <v>984613.09999999939</v>
      </c>
      <c r="AV29" s="210">
        <v>0</v>
      </c>
      <c r="AW29" s="210"/>
      <c r="AX29" s="210"/>
      <c r="AY29" s="129">
        <v>1229523.2699999996</v>
      </c>
      <c r="AZ29" s="129">
        <v>0</v>
      </c>
      <c r="BA29" s="129"/>
      <c r="BB29" s="129"/>
      <c r="BC29" s="146">
        <v>1413716.5399999991</v>
      </c>
      <c r="BD29" s="136"/>
      <c r="BE29" s="136"/>
      <c r="BF29" s="136"/>
      <c r="BG29" s="252">
        <f>+BH29</f>
        <v>687191.74247239612</v>
      </c>
      <c r="BH29" s="252">
        <v>687191.74247239612</v>
      </c>
      <c r="BI29" s="252">
        <v>518227.84</v>
      </c>
      <c r="BJ29" s="226">
        <v>1731874.7700000009</v>
      </c>
      <c r="BK29" s="226"/>
      <c r="BL29" s="226"/>
      <c r="BM29" s="226"/>
      <c r="BN29" s="26">
        <f t="shared" si="20"/>
        <v>1990.0430180109104</v>
      </c>
      <c r="BO29" s="43">
        <f t="shared" si="21"/>
        <v>0.16810060036367913</v>
      </c>
      <c r="BP29" s="43">
        <f t="shared" si="22"/>
        <v>0.56666666666666665</v>
      </c>
      <c r="BQ29" s="43">
        <f t="shared" si="23"/>
        <v>0.6</v>
      </c>
      <c r="BR29" s="43">
        <f t="shared" si="24"/>
        <v>0.6333333333333333</v>
      </c>
      <c r="BS29" s="43">
        <f t="shared" si="25"/>
        <v>0.66666666666666674</v>
      </c>
      <c r="BT29" s="43">
        <f t="shared" si="26"/>
        <v>0.7</v>
      </c>
      <c r="BU29" s="43">
        <f t="shared" si="27"/>
        <v>0.73333333333333339</v>
      </c>
      <c r="BV29" s="43">
        <f t="shared" si="28"/>
        <v>0.76666666666666661</v>
      </c>
      <c r="BW29" s="43">
        <f t="shared" si="29"/>
        <v>0.8</v>
      </c>
      <c r="BX29" s="43">
        <f t="shared" si="30"/>
        <v>0.83333333333333337</v>
      </c>
      <c r="BY29" s="43">
        <f t="shared" si="31"/>
        <v>0.8666666666666667</v>
      </c>
      <c r="BZ29" s="43">
        <f t="shared" si="32"/>
        <v>0.9</v>
      </c>
      <c r="CA29" s="43">
        <f t="shared" si="33"/>
        <v>0.93333333333333335</v>
      </c>
      <c r="CB29" s="43">
        <f t="shared" si="34"/>
        <v>0.96666666666666667</v>
      </c>
      <c r="CC29" s="43">
        <f t="shared" si="35"/>
        <v>0.73745741249573105</v>
      </c>
      <c r="CD29" s="43">
        <f t="shared" si="36"/>
        <v>1</v>
      </c>
      <c r="CE29" s="239">
        <f t="shared" si="37"/>
        <v>12183744.648422644</v>
      </c>
      <c r="CF29" s="239">
        <f t="shared" si="38"/>
        <v>-184.91753672063351</v>
      </c>
      <c r="CG29" s="239">
        <f t="shared" si="39"/>
        <v>7254928.8466391126</v>
      </c>
    </row>
    <row r="30" spans="1:88" ht="12.75" customHeight="1" x14ac:dyDescent="0.25">
      <c r="A30" s="6"/>
      <c r="B30" s="3" t="s">
        <v>48</v>
      </c>
      <c r="C30" s="7">
        <v>30</v>
      </c>
      <c r="D30" s="37">
        <v>3801860.6462719133</v>
      </c>
      <c r="E30" s="151"/>
      <c r="F30" s="152">
        <v>2413152.2195853922</v>
      </c>
      <c r="G30" s="87">
        <v>86766.887999999992</v>
      </c>
      <c r="H30" s="88"/>
      <c r="I30" s="127"/>
      <c r="J30" s="88"/>
      <c r="K30" s="89">
        <v>135558.54513805523</v>
      </c>
      <c r="L30" s="90">
        <v>0</v>
      </c>
      <c r="M30" s="153"/>
      <c r="N30" s="91"/>
      <c r="O30" s="95">
        <v>115214.17914602546</v>
      </c>
      <c r="P30" s="93"/>
      <c r="Q30" s="94"/>
      <c r="R30" s="93"/>
      <c r="S30" s="154">
        <v>115420</v>
      </c>
      <c r="T30" s="114"/>
      <c r="U30" s="154"/>
      <c r="V30" s="155"/>
      <c r="W30" s="58">
        <v>129961</v>
      </c>
      <c r="X30" s="58">
        <v>0</v>
      </c>
      <c r="Y30" s="58"/>
      <c r="Z30" s="59"/>
      <c r="AA30" s="76">
        <v>333192</v>
      </c>
      <c r="AB30" s="156">
        <v>0</v>
      </c>
      <c r="AC30" s="157"/>
      <c r="AD30" s="61"/>
      <c r="AE30" s="63">
        <v>515266.79</v>
      </c>
      <c r="AF30" s="63">
        <v>0</v>
      </c>
      <c r="AG30" s="158"/>
      <c r="AH30" s="62"/>
      <c r="AI30" s="154">
        <v>330540.90999999997</v>
      </c>
      <c r="AJ30" s="154">
        <v>0</v>
      </c>
      <c r="AK30" s="154"/>
      <c r="AL30" s="155"/>
      <c r="AM30" s="49">
        <v>462363.19000000018</v>
      </c>
      <c r="AN30" s="49">
        <v>0</v>
      </c>
      <c r="AO30" s="49"/>
      <c r="AP30" s="50"/>
      <c r="AQ30" s="159">
        <v>804704.21999999986</v>
      </c>
      <c r="AR30" s="198">
        <v>0</v>
      </c>
      <c r="AS30" s="198"/>
      <c r="AT30" s="198"/>
      <c r="AU30" s="210">
        <v>708124.1399999999</v>
      </c>
      <c r="AV30" s="210">
        <v>0</v>
      </c>
      <c r="AW30" s="210"/>
      <c r="AX30" s="210"/>
      <c r="AY30" s="129">
        <v>950598.12999999837</v>
      </c>
      <c r="AZ30" s="129">
        <v>0</v>
      </c>
      <c r="BA30" s="129"/>
      <c r="BB30" s="129"/>
      <c r="BC30" s="146">
        <v>542518.81999999972</v>
      </c>
      <c r="BD30" s="136"/>
      <c r="BE30" s="136"/>
      <c r="BF30" s="136"/>
      <c r="BG30" s="252"/>
      <c r="BH30" s="252"/>
      <c r="BI30" s="252"/>
      <c r="BJ30" s="226">
        <v>1106379.0500000003</v>
      </c>
      <c r="BK30" s="226"/>
      <c r="BL30" s="226"/>
      <c r="BM30" s="226"/>
      <c r="BN30" s="26">
        <f t="shared" si="20"/>
        <v>1990.0418779969095</v>
      </c>
      <c r="BO30" s="43">
        <f t="shared" si="21"/>
        <v>0.16806259989698447</v>
      </c>
      <c r="BP30" s="43">
        <f t="shared" si="22"/>
        <v>0.56666666666666665</v>
      </c>
      <c r="BQ30" s="43">
        <f t="shared" si="23"/>
        <v>0.6</v>
      </c>
      <c r="BR30" s="43">
        <f t="shared" si="24"/>
        <v>0.6333333333333333</v>
      </c>
      <c r="BS30" s="43">
        <f t="shared" si="25"/>
        <v>0.66666666666666674</v>
      </c>
      <c r="BT30" s="43">
        <f t="shared" si="26"/>
        <v>0.7</v>
      </c>
      <c r="BU30" s="43">
        <f t="shared" si="27"/>
        <v>0.73333333333333339</v>
      </c>
      <c r="BV30" s="43">
        <f t="shared" si="28"/>
        <v>0.76666666666666661</v>
      </c>
      <c r="BW30" s="43">
        <f t="shared" si="29"/>
        <v>0.8</v>
      </c>
      <c r="BX30" s="43">
        <f t="shared" si="30"/>
        <v>0.83333333333333337</v>
      </c>
      <c r="BY30" s="43">
        <f t="shared" si="31"/>
        <v>0.8666666666666667</v>
      </c>
      <c r="BZ30" s="43">
        <f t="shared" si="32"/>
        <v>0.9</v>
      </c>
      <c r="CA30" s="43">
        <f t="shared" si="33"/>
        <v>0.93333333333333335</v>
      </c>
      <c r="CB30" s="43">
        <f t="shared" si="34"/>
        <v>0.96666666666666667</v>
      </c>
      <c r="CC30" s="43">
        <f t="shared" si="35"/>
        <v>0</v>
      </c>
      <c r="CD30" s="43">
        <f t="shared" si="36"/>
        <v>1</v>
      </c>
      <c r="CE30" s="239">
        <f t="shared" si="37"/>
        <v>8783515.3691231702</v>
      </c>
      <c r="CF30" s="239">
        <f t="shared" si="38"/>
        <v>-118.13145624101162</v>
      </c>
      <c r="CG30" s="239">
        <f t="shared" si="39"/>
        <v>4952063.9180219388</v>
      </c>
    </row>
    <row r="31" spans="1:88" ht="12.75" customHeight="1" x14ac:dyDescent="0.25">
      <c r="A31" s="6"/>
      <c r="B31" s="3" t="s">
        <v>49</v>
      </c>
      <c r="C31" s="7">
        <v>30</v>
      </c>
      <c r="D31" s="37">
        <v>0</v>
      </c>
      <c r="E31" s="151"/>
      <c r="F31" s="152">
        <v>0</v>
      </c>
      <c r="G31" s="87">
        <v>0</v>
      </c>
      <c r="H31" s="88"/>
      <c r="I31" s="127"/>
      <c r="J31" s="88"/>
      <c r="K31" s="89">
        <v>0</v>
      </c>
      <c r="L31" s="90">
        <v>0</v>
      </c>
      <c r="M31" s="153"/>
      <c r="N31" s="91"/>
      <c r="O31" s="95">
        <v>0</v>
      </c>
      <c r="P31" s="93"/>
      <c r="Q31" s="94"/>
      <c r="R31" s="93"/>
      <c r="S31" s="154">
        <v>0</v>
      </c>
      <c r="T31" s="114"/>
      <c r="U31" s="154"/>
      <c r="V31" s="155"/>
      <c r="W31" s="58">
        <v>0</v>
      </c>
      <c r="X31" s="58">
        <v>0</v>
      </c>
      <c r="Y31" s="58"/>
      <c r="Z31" s="59"/>
      <c r="AA31" s="76">
        <v>0</v>
      </c>
      <c r="AB31" s="156">
        <v>0</v>
      </c>
      <c r="AC31" s="157"/>
      <c r="AD31" s="61"/>
      <c r="AE31" s="63">
        <v>0</v>
      </c>
      <c r="AF31" s="63">
        <v>0</v>
      </c>
      <c r="AG31" s="158"/>
      <c r="AH31" s="62"/>
      <c r="AI31" s="154">
        <v>0</v>
      </c>
      <c r="AJ31" s="154">
        <v>0</v>
      </c>
      <c r="AK31" s="154"/>
      <c r="AL31" s="155"/>
      <c r="AM31" s="49">
        <v>0</v>
      </c>
      <c r="AN31" s="49">
        <v>0</v>
      </c>
      <c r="AO31" s="49"/>
      <c r="AP31" s="53"/>
      <c r="AQ31" s="159">
        <v>0</v>
      </c>
      <c r="AR31" s="198">
        <v>0</v>
      </c>
      <c r="AS31" s="198"/>
      <c r="AT31" s="198"/>
      <c r="AU31" s="210">
        <v>0</v>
      </c>
      <c r="AV31" s="210">
        <v>0</v>
      </c>
      <c r="AW31" s="210"/>
      <c r="AX31" s="210"/>
      <c r="AY31" s="129">
        <v>0</v>
      </c>
      <c r="AZ31" s="129">
        <v>0</v>
      </c>
      <c r="BA31" s="129"/>
      <c r="BB31" s="129"/>
      <c r="BC31" s="146">
        <v>103431.25</v>
      </c>
      <c r="BD31" s="136"/>
      <c r="BE31" s="136"/>
      <c r="BF31" s="136"/>
      <c r="BG31" s="252"/>
      <c r="BH31" s="252"/>
      <c r="BI31" s="252"/>
      <c r="BJ31" s="226">
        <v>200492.75999999998</v>
      </c>
      <c r="BK31" s="226"/>
      <c r="BL31" s="226"/>
      <c r="BM31" s="226"/>
      <c r="BN31" s="26">
        <f t="shared" si="20"/>
        <v>0</v>
      </c>
      <c r="BO31" s="43">
        <f t="shared" si="21"/>
        <v>0</v>
      </c>
      <c r="BP31" s="43">
        <f t="shared" si="22"/>
        <v>0.56666666666666665</v>
      </c>
      <c r="BQ31" s="43">
        <f t="shared" si="23"/>
        <v>0.6</v>
      </c>
      <c r="BR31" s="43">
        <f t="shared" si="24"/>
        <v>0.6333333333333333</v>
      </c>
      <c r="BS31" s="43">
        <f t="shared" si="25"/>
        <v>0.66666666666666674</v>
      </c>
      <c r="BT31" s="43">
        <f t="shared" si="26"/>
        <v>0.7</v>
      </c>
      <c r="BU31" s="43">
        <f t="shared" si="27"/>
        <v>0.73333333333333339</v>
      </c>
      <c r="BV31" s="43">
        <f t="shared" si="28"/>
        <v>0.76666666666666661</v>
      </c>
      <c r="BW31" s="43">
        <f t="shared" si="29"/>
        <v>0.8</v>
      </c>
      <c r="BX31" s="43">
        <f t="shared" si="30"/>
        <v>0.83333333333333337</v>
      </c>
      <c r="BY31" s="43">
        <f t="shared" si="31"/>
        <v>0.8666666666666667</v>
      </c>
      <c r="BZ31" s="43">
        <f t="shared" si="32"/>
        <v>0.9</v>
      </c>
      <c r="CA31" s="43">
        <f t="shared" si="33"/>
        <v>0.93333333333333335</v>
      </c>
      <c r="CB31" s="43">
        <f t="shared" si="34"/>
        <v>0.96666666666666667</v>
      </c>
      <c r="CC31" s="43">
        <f t="shared" si="35"/>
        <v>0</v>
      </c>
      <c r="CD31" s="43">
        <f t="shared" si="36"/>
        <v>1</v>
      </c>
      <c r="CE31" s="239">
        <f t="shared" si="37"/>
        <v>251291.19412780832</v>
      </c>
      <c r="CF31" s="239">
        <f t="shared" si="38"/>
        <v>-21.407221787550952</v>
      </c>
      <c r="CG31" s="239">
        <f t="shared" si="39"/>
        <v>248461.71586034258</v>
      </c>
    </row>
    <row r="32" spans="1:88" ht="12.75" customHeight="1" x14ac:dyDescent="0.35">
      <c r="A32" s="6"/>
      <c r="B32" s="4" t="s">
        <v>29</v>
      </c>
      <c r="C32" s="15"/>
      <c r="D32" s="77">
        <v>0</v>
      </c>
      <c r="E32" s="109"/>
      <c r="F32" s="77">
        <v>0</v>
      </c>
      <c r="G32" s="104"/>
      <c r="H32" s="104"/>
      <c r="I32" s="104"/>
      <c r="J32" s="104"/>
      <c r="K32" s="105"/>
      <c r="L32" s="106">
        <v>0</v>
      </c>
      <c r="M32" s="106"/>
      <c r="N32" s="105"/>
      <c r="O32" s="107"/>
      <c r="P32" s="107"/>
      <c r="Q32" s="107"/>
      <c r="R32" s="107"/>
      <c r="S32" s="168"/>
      <c r="T32" s="168"/>
      <c r="U32" s="169"/>
      <c r="V32" s="170"/>
      <c r="W32" s="74"/>
      <c r="X32" s="73"/>
      <c r="Y32" s="74"/>
      <c r="Z32" s="73"/>
      <c r="AA32" s="75"/>
      <c r="AB32" s="75"/>
      <c r="AC32" s="171"/>
      <c r="AD32" s="75"/>
      <c r="AE32" s="50"/>
      <c r="AF32" s="50"/>
      <c r="AG32" s="53"/>
      <c r="AH32" s="50"/>
      <c r="AI32" s="169"/>
      <c r="AJ32" s="170"/>
      <c r="AK32" s="170"/>
      <c r="AL32" s="170"/>
      <c r="AM32" s="190">
        <v>0</v>
      </c>
      <c r="AN32" s="85">
        <v>0</v>
      </c>
      <c r="AO32" s="85"/>
      <c r="AP32" s="86"/>
      <c r="AQ32" s="207">
        <v>0</v>
      </c>
      <c r="AR32" s="202">
        <v>0</v>
      </c>
      <c r="AS32" s="202"/>
      <c r="AT32" s="202"/>
      <c r="AU32" s="218">
        <v>0</v>
      </c>
      <c r="AV32" s="214">
        <v>0</v>
      </c>
      <c r="AW32" s="214"/>
      <c r="AX32" s="219"/>
      <c r="AY32" s="128">
        <v>0</v>
      </c>
      <c r="AZ32" s="128">
        <v>0</v>
      </c>
      <c r="BA32" s="128"/>
      <c r="BB32" s="128"/>
      <c r="BC32" s="147"/>
      <c r="BD32" s="143"/>
      <c r="BE32" s="143"/>
      <c r="BF32" s="143"/>
      <c r="BG32" s="252"/>
      <c r="BH32" s="252"/>
      <c r="BI32" s="252"/>
      <c r="BJ32" s="226"/>
      <c r="BK32" s="226"/>
      <c r="BL32" s="226"/>
      <c r="BM32" s="226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241"/>
      <c r="CF32" s="241"/>
      <c r="CG32" s="241"/>
    </row>
    <row r="33" spans="1:85" ht="12.75" customHeight="1" x14ac:dyDescent="0.25">
      <c r="A33" s="6"/>
      <c r="B33" s="3" t="s">
        <v>30</v>
      </c>
      <c r="C33" s="7">
        <v>30</v>
      </c>
      <c r="D33" s="37">
        <v>0</v>
      </c>
      <c r="E33" s="151"/>
      <c r="F33" s="152">
        <v>0</v>
      </c>
      <c r="G33" s="87">
        <v>357372.88</v>
      </c>
      <c r="H33" s="88"/>
      <c r="I33" s="127"/>
      <c r="J33" s="88"/>
      <c r="K33" s="89">
        <v>543253.56000000006</v>
      </c>
      <c r="L33" s="90">
        <v>0</v>
      </c>
      <c r="M33" s="153"/>
      <c r="N33" s="91"/>
      <c r="O33" s="95">
        <v>737930</v>
      </c>
      <c r="P33" s="93"/>
      <c r="Q33" s="94"/>
      <c r="R33" s="93"/>
      <c r="S33" s="154">
        <v>616404</v>
      </c>
      <c r="T33" s="114"/>
      <c r="U33" s="154"/>
      <c r="V33" s="155"/>
      <c r="W33" s="58">
        <v>908729</v>
      </c>
      <c r="X33" s="58">
        <v>0</v>
      </c>
      <c r="Y33" s="58"/>
      <c r="Z33" s="59"/>
      <c r="AA33" s="76">
        <v>1034380.58</v>
      </c>
      <c r="AB33" s="156">
        <v>55639</v>
      </c>
      <c r="AC33" s="157"/>
      <c r="AD33" s="61"/>
      <c r="AE33" s="63">
        <v>1297534</v>
      </c>
      <c r="AF33" s="63">
        <v>0</v>
      </c>
      <c r="AG33" s="158"/>
      <c r="AH33" s="62"/>
      <c r="AI33" s="154">
        <v>1402601.7</v>
      </c>
      <c r="AJ33" s="154">
        <v>0</v>
      </c>
      <c r="AK33" s="154"/>
      <c r="AL33" s="155"/>
      <c r="AM33" s="49">
        <v>1130909.5199999993</v>
      </c>
      <c r="AN33" s="49">
        <v>0</v>
      </c>
      <c r="AO33" s="49"/>
      <c r="AP33" s="50"/>
      <c r="AQ33" s="159">
        <v>1272704.2400000021</v>
      </c>
      <c r="AR33" s="198">
        <v>0</v>
      </c>
      <c r="AS33" s="198"/>
      <c r="AT33" s="198"/>
      <c r="AU33" s="210">
        <v>1171005.9999999995</v>
      </c>
      <c r="AV33" s="210">
        <v>0</v>
      </c>
      <c r="AW33" s="210"/>
      <c r="AX33" s="210"/>
      <c r="AY33" s="129">
        <v>1787672.0399999998</v>
      </c>
      <c r="AZ33" s="129">
        <v>0</v>
      </c>
      <c r="BA33" s="129"/>
      <c r="BB33" s="129"/>
      <c r="BC33" s="146">
        <v>1674946.8199999996</v>
      </c>
      <c r="BD33" s="136"/>
      <c r="BE33" s="136"/>
      <c r="BF33" s="136"/>
      <c r="BG33" s="252">
        <f>+BH33</f>
        <v>260770.20404708656</v>
      </c>
      <c r="BH33" s="252">
        <v>260770.20404708656</v>
      </c>
      <c r="BI33" s="252">
        <f>0.6*327755.15</f>
        <v>196653.09</v>
      </c>
      <c r="BJ33" s="226">
        <v>2241612.7600000002</v>
      </c>
      <c r="BK33" s="226"/>
      <c r="BL33" s="226"/>
      <c r="BM33" s="226"/>
      <c r="BN33" s="26">
        <f>IF(D33=0,0,2001-(D33-F33)*C33/D33)</f>
        <v>0</v>
      </c>
      <c r="BO33" s="43">
        <f>IF((1-($CE$2-$BN33)/$C33)&gt;0,(1-($CE$2-$BN33)/$C33),0)</f>
        <v>0</v>
      </c>
      <c r="BP33" s="43">
        <f>IF((1-($CE$2-G$2)/$C33)&gt;0,(1-($CE$2-G$2)/$C33),0)</f>
        <v>0.56666666666666665</v>
      </c>
      <c r="BQ33" s="43">
        <f>IF((1-($CE$2-K$2)/$C33)&gt;0,(1-($CE$2-K$2)/$C33),0)</f>
        <v>0.6</v>
      </c>
      <c r="BR33" s="43">
        <f>IF((1-($CE$2-O$2)/$C33)&gt;0,(1-($CE$2-O$2)/$C33),0)</f>
        <v>0.6333333333333333</v>
      </c>
      <c r="BS33" s="43">
        <f>IF((1-($CE$2-S$2)/$C33)&gt;0,(1-($CE$2-S$2)/$C33),0)</f>
        <v>0.66666666666666674</v>
      </c>
      <c r="BT33" s="43">
        <f>IF((1-($CE$2-W$2)/$C33)&gt;0,(1-($CE$2-W$2)/$C33),0)</f>
        <v>0.7</v>
      </c>
      <c r="BU33" s="43">
        <f>IF((1-($CE$2-AA$2)/$C33)&gt;0,(1-($CE$2-AA$2)/$C33),0)</f>
        <v>0.73333333333333339</v>
      </c>
      <c r="BV33" s="43">
        <f>IF((1-($CE$2-AE$2)/$C33)&gt;0,(1-($CE$2-AE$2)/$C33),0)</f>
        <v>0.76666666666666661</v>
      </c>
      <c r="BW33" s="43">
        <f>IF((1-($CE$2-AI$2)/$C33)&gt;0,(1-($CE$2-AI$2)/$C33),0)</f>
        <v>0.8</v>
      </c>
      <c r="BX33" s="43">
        <f>IF((1-($CE$2-AM$2)/$C33)&gt;0,(1-($CE$2-AM$2)/$C33),0)</f>
        <v>0.83333333333333337</v>
      </c>
      <c r="BY33" s="43">
        <f>IF((1-($CE$2-AQ$2)/$C33)&gt;0,(1-($CE$2-AQ$2)/$C33),0)</f>
        <v>0.8666666666666667</v>
      </c>
      <c r="BZ33" s="43">
        <f>IF((1-($CE$2-AU$2)/$C33)&gt;0,(1-($CE$2-AU$2)/$C33),0)</f>
        <v>0.9</v>
      </c>
      <c r="CA33" s="43">
        <f>IF((1-($CE$2-AY$2)/$C33)&gt;0,(1-($CE$2-AY$2)/$C33),0)</f>
        <v>0.93333333333333335</v>
      </c>
      <c r="CB33" s="43">
        <f>IF((1-($CE$2-BC$2)/$C33)&gt;0,(1-($CE$2-BC$2)/$C33),0)</f>
        <v>0.96666666666666667</v>
      </c>
      <c r="CC33" s="43">
        <f>IF(BG33=0,0,1-($CE$2-(2014.5-(BG33-BI33)*C33/BG33))/C33)</f>
        <v>0.73745741249573105</v>
      </c>
      <c r="CD33" s="43">
        <f>IF((1-($CE$2-BJ$2)/$C33)&gt;0,(1-($CE$2-BJ$2)/$C33),0)</f>
        <v>1</v>
      </c>
      <c r="CE33" s="239">
        <f>+D33-E33+(G33-I33)*G$61+(K33-M33)*K$61+(O33-Q33)*O$61+(S33-U33)*S$61+(W33-Y33)*W$61+(AA33-AC33)*AA$61+(AE33-AG33)*AE$61+(AI33-AK33)*AI$61+(AM33-AO33)*AM$61+(AQ33-AS33)*$AQ$61+(AU33-AW33)*$AU$61+(AY33-BA33)*$AY$61+(BC33-BE33)*$BC$61+BG33+(BJ33-BL33)*$BJ$61</f>
        <v>13225221.307401333</v>
      </c>
      <c r="CF33" s="239">
        <f>CE33-(IF(BO33=0,0,D33-E33)+IF(BP33=0,0,(G33-I33)*G$61)+IF(BQ33=0,0,(K33-M33)*K$61)+IF(BR33=0,0,(O33-Q33)*O$61)+IF(BS33=0,0,(S33-U33)*S$61)+IF(BT33=0,0,(W33-Y33)*W$61)+IF(BU33=0,0,(AA33-AC33)*AA$61)+IF(BV33=0,0,(AE33-AG33)*AE$61)+IF(BW33=0,0,(AI33-AK33)*AI$61)+IF(BX33=0,0,(AM33-AO33)*AM$61)+IF(BY33=0,0,(AQ33-AS33)*$AQ$61)+IF(BZ33=0,0,(AU33-AW33)*$AU$61)+IF(CA33=0,0,(AY33-BA33)*$AY$61)++IF(CB33=0,0,(BC33-BE33)*$BC$61)+IF(CC33=0,0,BG33)+IF(CD33=0,0,(BJ33-BL33)*$BC$61))</f>
        <v>-239.34381229057908</v>
      </c>
      <c r="CG33" s="239">
        <f>(D33-E33)*BO33+((G33-H33-(I33-J33))*G$61)*BP33+((K33-L33-(M33-N33))*K$61)*BQ33+((O33-P33-(Q33-R33))*O$61)*BR33+((S33-T33-(U33-V33))*S$61)*BS33+((W33-X33-(Y33-Z33))*W$61)*BT33+((AA33-AB33-(AC33-AD33))*AA$61)*BU33+((AE33-AF33-(AG33-AH33))*AE$61)*BV33+((AI33-AJ33-(AK33-AL33))*AI$61)*BW33+((AM33-AN33)*BX33-(AO33-AP33))*$AM$61+((AQ33-AR33)*BY33-(AS33-AT33))*$AQ$61+((AU33-AV33)*BZ33-(AW33-AX33))*$AU$61+((AY33-AZ33)*CA33-(BA33-BB33))*$AY$61+((BC33-BD33)*CB33-(BF33-BN33))*$BC$61+(BG33-BH33)*CC33+((BJ33-BK33)*CD33-(BL33-BM33))*$BC$61</f>
        <v>10746297.225567946</v>
      </c>
    </row>
    <row r="34" spans="1:85" ht="12.75" customHeight="1" x14ac:dyDescent="0.25">
      <c r="A34" s="6"/>
      <c r="B34" s="3" t="s">
        <v>31</v>
      </c>
      <c r="C34" s="7">
        <v>30</v>
      </c>
      <c r="D34" s="37">
        <v>0</v>
      </c>
      <c r="E34" s="151"/>
      <c r="F34" s="152">
        <v>0</v>
      </c>
      <c r="G34" s="87">
        <v>20855.34</v>
      </c>
      <c r="H34" s="88"/>
      <c r="I34" s="127"/>
      <c r="J34" s="88"/>
      <c r="K34" s="89">
        <v>31716.79</v>
      </c>
      <c r="L34" s="90">
        <v>0</v>
      </c>
      <c r="M34" s="153"/>
      <c r="N34" s="91"/>
      <c r="O34" s="95">
        <v>45392.1</v>
      </c>
      <c r="P34" s="93"/>
      <c r="Q34" s="94"/>
      <c r="R34" s="93"/>
      <c r="S34" s="154">
        <v>55532</v>
      </c>
      <c r="T34" s="114"/>
      <c r="U34" s="154"/>
      <c r="V34" s="155"/>
      <c r="W34" s="58">
        <v>21527.58</v>
      </c>
      <c r="X34" s="58">
        <v>0</v>
      </c>
      <c r="Y34" s="58"/>
      <c r="Z34" s="59"/>
      <c r="AA34" s="76">
        <v>69879.69</v>
      </c>
      <c r="AB34" s="156">
        <v>0</v>
      </c>
      <c r="AC34" s="157"/>
      <c r="AD34" s="61"/>
      <c r="AE34" s="63">
        <v>167603.6</v>
      </c>
      <c r="AF34" s="63">
        <v>0</v>
      </c>
      <c r="AG34" s="158"/>
      <c r="AH34" s="62"/>
      <c r="AI34" s="154">
        <v>114363.29</v>
      </c>
      <c r="AJ34" s="154">
        <v>0</v>
      </c>
      <c r="AK34" s="154"/>
      <c r="AL34" s="155"/>
      <c r="AM34" s="49">
        <v>128319.80999999997</v>
      </c>
      <c r="AN34" s="49">
        <v>0</v>
      </c>
      <c r="AO34" s="49"/>
      <c r="AP34" s="50"/>
      <c r="AQ34" s="159">
        <v>45878.89</v>
      </c>
      <c r="AR34" s="198">
        <v>0</v>
      </c>
      <c r="AS34" s="198"/>
      <c r="AT34" s="198"/>
      <c r="AU34" s="210">
        <v>78988.76999999999</v>
      </c>
      <c r="AV34" s="210">
        <v>0</v>
      </c>
      <c r="AW34" s="210"/>
      <c r="AX34" s="210"/>
      <c r="AY34" s="129">
        <v>165321.32</v>
      </c>
      <c r="AZ34" s="129">
        <v>0</v>
      </c>
      <c r="BA34" s="129"/>
      <c r="BB34" s="129"/>
      <c r="BC34" s="146">
        <v>329359.53999999998</v>
      </c>
      <c r="BD34" s="136"/>
      <c r="BE34" s="136"/>
      <c r="BF34" s="136"/>
      <c r="BG34" s="252"/>
      <c r="BH34" s="252"/>
      <c r="BI34" s="252"/>
      <c r="BJ34" s="226">
        <v>502319.06999999995</v>
      </c>
      <c r="BK34" s="226"/>
      <c r="BL34" s="226"/>
      <c r="BM34" s="226"/>
      <c r="BN34" s="26">
        <f>IF(D34=0,0,2001-(D34-F34)*C34/D34)</f>
        <v>0</v>
      </c>
      <c r="BO34" s="43">
        <f>IF((1-($CE$2-$BN34)/$C34)&gt;0,(1-($CE$2-$BN34)/$C34),0)</f>
        <v>0</v>
      </c>
      <c r="BP34" s="43">
        <f>IF((1-($CE$2-G$2)/$C34)&gt;0,(1-($CE$2-G$2)/$C34),0)</f>
        <v>0.56666666666666665</v>
      </c>
      <c r="BQ34" s="43">
        <f>IF((1-($CE$2-K$2)/$C34)&gt;0,(1-($CE$2-K$2)/$C34),0)</f>
        <v>0.6</v>
      </c>
      <c r="BR34" s="43">
        <f>IF((1-($CE$2-O$2)/$C34)&gt;0,(1-($CE$2-O$2)/$C34),0)</f>
        <v>0.6333333333333333</v>
      </c>
      <c r="BS34" s="43">
        <f>IF((1-($CE$2-S$2)/$C34)&gt;0,(1-($CE$2-S$2)/$C34),0)</f>
        <v>0.66666666666666674</v>
      </c>
      <c r="BT34" s="43">
        <f>IF((1-($CE$2-W$2)/$C34)&gt;0,(1-($CE$2-W$2)/$C34),0)</f>
        <v>0.7</v>
      </c>
      <c r="BU34" s="43">
        <f>IF((1-($CE$2-AA$2)/$C34)&gt;0,(1-($CE$2-AA$2)/$C34),0)</f>
        <v>0.73333333333333339</v>
      </c>
      <c r="BV34" s="43">
        <f>IF((1-($CE$2-AE$2)/$C34)&gt;0,(1-($CE$2-AE$2)/$C34),0)</f>
        <v>0.76666666666666661</v>
      </c>
      <c r="BW34" s="43">
        <f>IF((1-($CE$2-AI$2)/$C34)&gt;0,(1-($CE$2-AI$2)/$C34),0)</f>
        <v>0.8</v>
      </c>
      <c r="BX34" s="43">
        <f>IF((1-($CE$2-AM$2)/$C34)&gt;0,(1-($CE$2-AM$2)/$C34),0)</f>
        <v>0.83333333333333337</v>
      </c>
      <c r="BY34" s="43">
        <f>IF((1-($CE$2-AQ$2)/$C34)&gt;0,(1-($CE$2-AQ$2)/$C34),0)</f>
        <v>0.8666666666666667</v>
      </c>
      <c r="BZ34" s="43">
        <f>IF((1-($CE$2-AU$2)/$C34)&gt;0,(1-($CE$2-AU$2)/$C34),0)</f>
        <v>0.9</v>
      </c>
      <c r="CA34" s="43">
        <f>IF((1-($CE$2-AY$2)/$C34)&gt;0,(1-($CE$2-AY$2)/$C34),0)</f>
        <v>0.93333333333333335</v>
      </c>
      <c r="CB34" s="43">
        <f>IF((1-($CE$2-BC$2)/$C34)&gt;0,(1-($CE$2-BC$2)/$C34),0)</f>
        <v>0.96666666666666667</v>
      </c>
      <c r="CC34" s="43">
        <f>IF(BG34=0,0,1-($CE$2-(2014.5-(BG34-BI34)*C34/BG34))/C34)</f>
        <v>0</v>
      </c>
      <c r="CD34" s="43">
        <f>IF((1-($CE$2-BJ$2)/$C34)&gt;0,(1-($CE$2-BJ$2)/$C34),0)</f>
        <v>1</v>
      </c>
      <c r="CE34" s="239">
        <f>+D34-E34+(G34-I34)*G$61+(K34-M34)*K$61+(O34-Q34)*O$61+(S34-U34)*S$61+(W34-Y34)*W$61+(AA34-AC34)*AA$61+(AE34-AG34)*AE$61+(AI34-AK34)*AI$61+(AM34-AO34)*AM$61+(AQ34-AS34)*$AQ$61+(AU34-AW34)*$AU$61+(AY34-BA34)*$AY$61+(BC34-BE34)*$BC$61+BG34+(BJ34-BL34)*$BJ$61</f>
        <v>1425779.9467686999</v>
      </c>
      <c r="CF34" s="239">
        <f>CE34-(IF(BO34=0,0,D34-E34)+IF(BP34=0,0,(G34-I34)*G$61)+IF(BQ34=0,0,(K34-M34)*K$61)+IF(BR34=0,0,(O34-Q34)*O$61)+IF(BS34=0,0,(S34-U34)*S$61)+IF(BT34=0,0,(W34-Y34)*W$61)+IF(BU34=0,0,(AA34-AC34)*AA$61)+IF(BV34=0,0,(AE34-AG34)*AE$61)+IF(BW34=0,0,(AI34-AK34)*AI$61)+IF(BX34=0,0,(AM34-AO34)*AM$61)+IF(BY34=0,0,(AQ34-AS34)*$AQ$61)+IF(BZ34=0,0,(AU34-AW34)*$AU$61)+IF(CA34=0,0,(AY34-BA34)*$AY$61)++IF(CB34=0,0,(BC34-BE34)*$BC$61)+IF(CC34=0,0,BG34)+IF(CD34=0,0,(BJ34-BL34)*$BC$61))</f>
        <v>-53.634134916588664</v>
      </c>
      <c r="CG34" s="239">
        <f>(D34-E34)*BO34+((G34-H34-(I34-J34))*G$61)*BP34+((K34-L34-(M34-N34))*K$61)*BQ34+((O34-P34-(Q34-R34))*O$61)*BR34+((S34-T34-(U34-V34))*S$61)*BS34+((W34-X34-(Y34-Z34))*W$61)*BT34+((AA34-AB34-(AC34-AD34))*AA$61)*BU34+((AE34-AF34-(AG34-AH34))*AE$61)*BV34+((AI34-AJ34-(AK34-AL34))*AI$61)*BW34+((AM34-AN34)*BX34-(AO34-AP34))*$AM$61+((AQ34-AR34)*BY34-(AS34-AT34))*$AQ$61+((AU34-AV34)*BZ34-(AW34-AX34))*$AU$61+((AY34-AZ34)*CA34-(BA34-BB34))*$AY$61+((BC34-BD34)*CB34-(BF34-BN34))*$BC$61+(BG34-BH34)*CC34+((BJ34-BK34)*CD34-(BL34-BM34))*$BC$61</f>
        <v>1260419.7039527048</v>
      </c>
    </row>
    <row r="35" spans="1:85" ht="12.75" customHeight="1" x14ac:dyDescent="0.25">
      <c r="A35" s="6"/>
      <c r="B35" s="3" t="s">
        <v>50</v>
      </c>
      <c r="C35" s="7">
        <v>30</v>
      </c>
      <c r="D35" s="37">
        <v>10109999.26940603</v>
      </c>
      <c r="E35" s="151"/>
      <c r="F35" s="152">
        <v>6944775.122452748</v>
      </c>
      <c r="G35" s="87">
        <v>110095.16</v>
      </c>
      <c r="H35" s="88"/>
      <c r="I35" s="127"/>
      <c r="J35" s="88"/>
      <c r="K35" s="89">
        <v>147527.42000000001</v>
      </c>
      <c r="L35" s="90">
        <v>20984</v>
      </c>
      <c r="M35" s="153"/>
      <c r="N35" s="91"/>
      <c r="O35" s="95">
        <v>202095.11</v>
      </c>
      <c r="P35" s="93"/>
      <c r="Q35" s="94"/>
      <c r="R35" s="93"/>
      <c r="S35" s="154">
        <v>159017</v>
      </c>
      <c r="T35" s="114"/>
      <c r="U35" s="154"/>
      <c r="V35" s="155"/>
      <c r="W35" s="58">
        <v>103233.12</v>
      </c>
      <c r="X35" s="58">
        <v>0</v>
      </c>
      <c r="Y35" s="58"/>
      <c r="Z35" s="59"/>
      <c r="AA35" s="76">
        <v>228601</v>
      </c>
      <c r="AB35" s="156">
        <v>0</v>
      </c>
      <c r="AC35" s="157"/>
      <c r="AD35" s="61"/>
      <c r="AE35" s="63">
        <v>200982</v>
      </c>
      <c r="AF35" s="63">
        <v>0</v>
      </c>
      <c r="AG35" s="158"/>
      <c r="AH35" s="62"/>
      <c r="AI35" s="154">
        <v>317412.78999999998</v>
      </c>
      <c r="AJ35" s="154">
        <v>0</v>
      </c>
      <c r="AK35" s="154"/>
      <c r="AL35" s="155"/>
      <c r="AM35" s="49">
        <v>385355</v>
      </c>
      <c r="AN35" s="49">
        <v>0</v>
      </c>
      <c r="AO35" s="49"/>
      <c r="AP35" s="50"/>
      <c r="AQ35" s="159">
        <v>616660.66</v>
      </c>
      <c r="AR35" s="198">
        <v>0</v>
      </c>
      <c r="AS35" s="198"/>
      <c r="AT35" s="198"/>
      <c r="AU35" s="210">
        <v>343937.51999999996</v>
      </c>
      <c r="AV35" s="210">
        <v>0</v>
      </c>
      <c r="AW35" s="210"/>
      <c r="AX35" s="210"/>
      <c r="AY35" s="129">
        <v>322760.92000000004</v>
      </c>
      <c r="AZ35" s="129">
        <v>0</v>
      </c>
      <c r="BA35" s="129"/>
      <c r="BB35" s="129"/>
      <c r="BC35" s="146">
        <v>379311.01</v>
      </c>
      <c r="BD35" s="136"/>
      <c r="BE35" s="136"/>
      <c r="BF35" s="136"/>
      <c r="BG35" s="252">
        <f>+BH35</f>
        <v>173846.80269805776</v>
      </c>
      <c r="BH35" s="252">
        <v>173846.80269805776</v>
      </c>
      <c r="BI35" s="252">
        <f>0.4*327755.15</f>
        <v>131102.06000000003</v>
      </c>
      <c r="BJ35" s="226">
        <v>336121.92999999993</v>
      </c>
      <c r="BK35" s="226"/>
      <c r="BL35" s="226"/>
      <c r="BM35" s="226"/>
      <c r="BN35" s="26">
        <f>IF(D35=0,0,2001-(D35-F35)*C35/D35)</f>
        <v>1991.607642802117</v>
      </c>
      <c r="BO35" s="43">
        <f>IF((1-($CE$2-$BN35)/$C35)&gt;0,(1-($CE$2-$BN35)/$C35),0)</f>
        <v>0.22025476007056566</v>
      </c>
      <c r="BP35" s="43">
        <f>IF((1-($CE$2-G$2)/$C35)&gt;0,(1-($CE$2-G$2)/$C35),0)</f>
        <v>0.56666666666666665</v>
      </c>
      <c r="BQ35" s="43">
        <f>IF((1-($CE$2-K$2)/$C35)&gt;0,(1-($CE$2-K$2)/$C35),0)</f>
        <v>0.6</v>
      </c>
      <c r="BR35" s="43">
        <f>IF((1-($CE$2-O$2)/$C35)&gt;0,(1-($CE$2-O$2)/$C35),0)</f>
        <v>0.6333333333333333</v>
      </c>
      <c r="BS35" s="43">
        <f>IF((1-($CE$2-S$2)/$C35)&gt;0,(1-($CE$2-S$2)/$C35),0)</f>
        <v>0.66666666666666674</v>
      </c>
      <c r="BT35" s="43">
        <f>IF((1-($CE$2-W$2)/$C35)&gt;0,(1-($CE$2-W$2)/$C35),0)</f>
        <v>0.7</v>
      </c>
      <c r="BU35" s="43">
        <f>IF((1-($CE$2-AA$2)/$C35)&gt;0,(1-($CE$2-AA$2)/$C35),0)</f>
        <v>0.73333333333333339</v>
      </c>
      <c r="BV35" s="43">
        <f>IF((1-($CE$2-AE$2)/$C35)&gt;0,(1-($CE$2-AE$2)/$C35),0)</f>
        <v>0.76666666666666661</v>
      </c>
      <c r="BW35" s="43">
        <f>IF((1-($CE$2-AI$2)/$C35)&gt;0,(1-($CE$2-AI$2)/$C35),0)</f>
        <v>0.8</v>
      </c>
      <c r="BX35" s="43">
        <f>IF((1-($CE$2-AM$2)/$C35)&gt;0,(1-($CE$2-AM$2)/$C35),0)</f>
        <v>0.83333333333333337</v>
      </c>
      <c r="BY35" s="43">
        <f>IF((1-($CE$2-AQ$2)/$C35)&gt;0,(1-($CE$2-AQ$2)/$C35),0)</f>
        <v>0.8666666666666667</v>
      </c>
      <c r="BZ35" s="43">
        <f>IF((1-($CE$2-AU$2)/$C35)&gt;0,(1-($CE$2-AU$2)/$C35),0)</f>
        <v>0.9</v>
      </c>
      <c r="CA35" s="43">
        <f>IF((1-($CE$2-AY$2)/$C35)&gt;0,(1-($CE$2-AY$2)/$C35),0)</f>
        <v>0.93333333333333335</v>
      </c>
      <c r="CB35" s="43">
        <f>IF((1-($CE$2-BC$2)/$C35)&gt;0,(1-($CE$2-BC$2)/$C35),0)</f>
        <v>0.96666666666666667</v>
      </c>
      <c r="CC35" s="43">
        <f>IF(BG35=0,0,1-($CE$2-(2014.5-(BG35-BI35)*C35/BG35))/C35)</f>
        <v>0.73745741249573105</v>
      </c>
      <c r="CD35" s="43">
        <f>IF((1-($CE$2-BJ$2)/$C35)&gt;0,(1-($CE$2-BJ$2)/$C35),0)</f>
        <v>1</v>
      </c>
      <c r="CE35" s="239">
        <f>+D35-E35+(G35-I35)*G$61+(K35-M35)*K$61+(O35-Q35)*O$61+(S35-U35)*S$61+(W35-Y35)*W$61+(AA35-AC35)*AA$61+(AE35-AG35)*AE$61+(AI35-AK35)*AI$61+(AM35-AO35)*AM$61+(AQ35-AS35)*$AQ$61+(AU35-AW35)*$AU$61+(AY35-BA35)*$AY$61+(BC35-BE35)*$BC$61+BG35+(BJ35-BL35)*$BJ$61</f>
        <v>13378276.03812181</v>
      </c>
      <c r="CF35" s="239">
        <f>CE35-(IF(BO35=0,0,D35-E35)+IF(BP35=0,0,(G35-I35)*G$61)+IF(BQ35=0,0,(K35-M35)*K$61)+IF(BR35=0,0,(O35-Q35)*O$61)+IF(BS35=0,0,(S35-U35)*S$61)+IF(BT35=0,0,(W35-Y35)*W$61)+IF(BU35=0,0,(AA35-AC35)*AA$61)+IF(BV35=0,0,(AE35-AG35)*AE$61)+IF(BW35=0,0,(AI35-AK35)*AI$61)+IF(BX35=0,0,(AM35-AO35)*AM$61)+IF(BY35=0,0,(AQ35-AS35)*$AQ$61)+IF(BZ35=0,0,(AU35-AW35)*$AU$61)+IF(CA35=0,0,(AY35-BA35)*$AY$61)++IF(CB35=0,0,(BC35-BE35)*$BC$61)+IF(CC35=0,0,BG35)+IF(CD35=0,0,(BJ35-BL35)*$BC$61))</f>
        <v>-35.888760786503553</v>
      </c>
      <c r="CG35" s="239">
        <f>(D35-E35)*BO35+((G35-H35-(I35-J35))*G$61)*BP35+((K35-L35-(M35-N35))*K$61)*BQ35+((O35-P35-(Q35-R35))*O$61)*BR35+((S35-T35-(U35-V35))*S$61)*BS35+((W35-X35-(Y35-Z35))*W$61)*BT35+((AA35-AB35-(AC35-AD35))*AA$61)*BU35+((AE35-AF35-(AG35-AH35))*AE$61)*BV35+((AI35-AJ35-(AK35-AL35))*AI$61)*BW35+((AM35-AN35)*BX35-(AO35-AP35))*$AM$61+((AQ35-AR35)*BY35-(AS35-AT35))*$AQ$61+((AU35-AV35)*BZ35-(AW35-AX35))*$AU$61+((AY35-AZ35)*CA35-(BA35-BB35))*$AY$61+((BC35-BD35)*CB35-(BF35-BN35))*$BC$61+(BG35-BH35)*CC35+((BJ35-BK35)*CD35-(BL35-BM35))*$BC$61</f>
        <v>4771515.4100070847</v>
      </c>
    </row>
    <row r="36" spans="1:85" ht="12.75" customHeight="1" x14ac:dyDescent="0.35">
      <c r="A36" s="6"/>
      <c r="B36" s="5" t="s">
        <v>32</v>
      </c>
      <c r="C36" s="16"/>
      <c r="D36" s="77">
        <v>0</v>
      </c>
      <c r="E36" s="109"/>
      <c r="F36" s="77">
        <v>0</v>
      </c>
      <c r="G36" s="104"/>
      <c r="H36" s="104"/>
      <c r="I36" s="104"/>
      <c r="J36" s="104"/>
      <c r="K36" s="105"/>
      <c r="L36" s="106">
        <v>0</v>
      </c>
      <c r="M36" s="106"/>
      <c r="N36" s="105"/>
      <c r="O36" s="107"/>
      <c r="P36" s="107"/>
      <c r="Q36" s="107"/>
      <c r="R36" s="107"/>
      <c r="S36" s="168"/>
      <c r="T36" s="168"/>
      <c r="U36" s="169"/>
      <c r="V36" s="170"/>
      <c r="W36" s="74"/>
      <c r="X36" s="73"/>
      <c r="Y36" s="74"/>
      <c r="Z36" s="73"/>
      <c r="AA36" s="75"/>
      <c r="AB36" s="75"/>
      <c r="AC36" s="171"/>
      <c r="AD36" s="75"/>
      <c r="AE36" s="50"/>
      <c r="AF36" s="50"/>
      <c r="AG36" s="53"/>
      <c r="AH36" s="50"/>
      <c r="AI36" s="169"/>
      <c r="AJ36" s="170"/>
      <c r="AK36" s="170"/>
      <c r="AL36" s="170"/>
      <c r="AM36" s="190">
        <v>0</v>
      </c>
      <c r="AN36" s="85">
        <v>0</v>
      </c>
      <c r="AO36" s="85"/>
      <c r="AP36" s="86"/>
      <c r="AQ36" s="207">
        <v>0</v>
      </c>
      <c r="AR36" s="202">
        <v>0</v>
      </c>
      <c r="AS36" s="202"/>
      <c r="AT36" s="202"/>
      <c r="AU36" s="218">
        <v>0</v>
      </c>
      <c r="AV36" s="214">
        <v>0</v>
      </c>
      <c r="AW36" s="214"/>
      <c r="AX36" s="219"/>
      <c r="AY36" s="128">
        <v>0</v>
      </c>
      <c r="AZ36" s="128">
        <v>0</v>
      </c>
      <c r="BA36" s="128"/>
      <c r="BB36" s="128"/>
      <c r="BC36" s="147"/>
      <c r="BD36" s="143"/>
      <c r="BE36" s="143"/>
      <c r="BF36" s="143"/>
      <c r="BG36" s="252"/>
      <c r="BH36" s="252"/>
      <c r="BI36" s="252"/>
      <c r="BJ36" s="226"/>
      <c r="BK36" s="226"/>
      <c r="BL36" s="226"/>
      <c r="BM36" s="226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241"/>
      <c r="CF36" s="241"/>
      <c r="CG36" s="241"/>
    </row>
    <row r="37" spans="1:85" ht="12.75" customHeight="1" x14ac:dyDescent="0.25">
      <c r="A37" s="6"/>
      <c r="B37" s="24" t="s">
        <v>59</v>
      </c>
      <c r="C37" s="7">
        <v>10</v>
      </c>
      <c r="D37" s="37">
        <v>0</v>
      </c>
      <c r="E37" s="151"/>
      <c r="F37" s="37">
        <v>0</v>
      </c>
      <c r="G37" s="87">
        <v>0</v>
      </c>
      <c r="H37" s="87"/>
      <c r="I37" s="127"/>
      <c r="J37" s="87"/>
      <c r="K37" s="89">
        <v>0</v>
      </c>
      <c r="L37" s="108">
        <v>0</v>
      </c>
      <c r="M37" s="153"/>
      <c r="N37" s="89"/>
      <c r="O37" s="95">
        <v>0</v>
      </c>
      <c r="P37" s="172"/>
      <c r="Q37" s="94"/>
      <c r="R37" s="172"/>
      <c r="S37" s="154">
        <v>0</v>
      </c>
      <c r="T37" s="114"/>
      <c r="U37" s="154"/>
      <c r="V37" s="155"/>
      <c r="W37" s="58">
        <v>0</v>
      </c>
      <c r="X37" s="58">
        <v>0</v>
      </c>
      <c r="Y37" s="58"/>
      <c r="Z37" s="59"/>
      <c r="AA37" s="76">
        <v>0</v>
      </c>
      <c r="AB37" s="156">
        <v>0</v>
      </c>
      <c r="AC37" s="157"/>
      <c r="AD37" s="61"/>
      <c r="AE37" s="63">
        <v>0</v>
      </c>
      <c r="AF37" s="63">
        <v>0</v>
      </c>
      <c r="AG37" s="158"/>
      <c r="AH37" s="62"/>
      <c r="AI37" s="154">
        <v>0</v>
      </c>
      <c r="AJ37" s="154">
        <v>0</v>
      </c>
      <c r="AK37" s="154"/>
      <c r="AL37" s="155"/>
      <c r="AM37" s="49">
        <v>0</v>
      </c>
      <c r="AN37" s="49">
        <v>0</v>
      </c>
      <c r="AO37" s="49"/>
      <c r="AP37" s="50"/>
      <c r="AQ37" s="159">
        <v>0</v>
      </c>
      <c r="AR37" s="198">
        <v>0</v>
      </c>
      <c r="AS37" s="198"/>
      <c r="AT37" s="198"/>
      <c r="AU37" s="210">
        <v>0</v>
      </c>
      <c r="AV37" s="210">
        <v>0</v>
      </c>
      <c r="AW37" s="210"/>
      <c r="AX37" s="210"/>
      <c r="AY37" s="129">
        <v>0</v>
      </c>
      <c r="AZ37" s="129">
        <v>0</v>
      </c>
      <c r="BA37" s="129"/>
      <c r="BB37" s="129"/>
      <c r="BC37" s="146">
        <v>0</v>
      </c>
      <c r="BD37" s="136"/>
      <c r="BE37" s="136"/>
      <c r="BF37" s="136"/>
      <c r="BG37" s="252"/>
      <c r="BH37" s="252"/>
      <c r="BI37" s="252"/>
      <c r="BJ37" s="226">
        <v>0</v>
      </c>
      <c r="BK37" s="226"/>
      <c r="BL37" s="226"/>
      <c r="BM37" s="226"/>
      <c r="BN37" s="26">
        <f t="shared" ref="BN37:BN44" si="40">IF(D37=0,0,2001-(D37-F37)*C37/D37)</f>
        <v>0</v>
      </c>
      <c r="BO37" s="43">
        <f t="shared" ref="BO37:BO44" si="41">IF((1-($CE$2-$BN37)/$C37)&gt;0,(1-($CE$2-$BN37)/$C37),0)</f>
        <v>0</v>
      </c>
      <c r="BP37" s="43">
        <f t="shared" ref="BP37:BP44" si="42">IF((1-($CE$2-G$2)/$C37)&gt;0,(1-($CE$2-G$2)/$C37),0)</f>
        <v>0</v>
      </c>
      <c r="BQ37" s="43">
        <f t="shared" ref="BQ37:BQ44" si="43">IF((1-($CE$2-K$2)/$C37)&gt;0,(1-($CE$2-K$2)/$C37),0)</f>
        <v>0</v>
      </c>
      <c r="BR37" s="43">
        <f t="shared" ref="BR37:BR44" si="44">IF((1-($CE$2-O$2)/$C37)&gt;0,(1-($CE$2-O$2)/$C37),0)</f>
        <v>0</v>
      </c>
      <c r="BS37" s="43">
        <f t="shared" ref="BS37:BS44" si="45">IF((1-($CE$2-S$2)/$C37)&gt;0,(1-($CE$2-S$2)/$C37),0)</f>
        <v>0</v>
      </c>
      <c r="BT37" s="43">
        <f t="shared" ref="BT37:BT44" si="46">IF((1-($CE$2-W$2)/$C37)&gt;0,(1-($CE$2-W$2)/$C37),0)</f>
        <v>9.9999999999999978E-2</v>
      </c>
      <c r="BU37" s="43">
        <f t="shared" ref="BU37:BU44" si="47">IF((1-($CE$2-AA$2)/$C37)&gt;0,(1-($CE$2-AA$2)/$C37),0)</f>
        <v>0.19999999999999996</v>
      </c>
      <c r="BV37" s="43">
        <f t="shared" ref="BV37:BV44" si="48">IF((1-($CE$2-AE$2)/$C37)&gt;0,(1-($CE$2-AE$2)/$C37),0)</f>
        <v>0.30000000000000004</v>
      </c>
      <c r="BW37" s="43">
        <f t="shared" ref="BW37:BW44" si="49">IF((1-($CE$2-AI$2)/$C37)&gt;0,(1-($CE$2-AI$2)/$C37),0)</f>
        <v>0.4</v>
      </c>
      <c r="BX37" s="43">
        <f t="shared" ref="BX37:BX44" si="50">IF((1-($CE$2-AM$2)/$C37)&gt;0,(1-($CE$2-AM$2)/$C37),0)</f>
        <v>0.5</v>
      </c>
      <c r="BY37" s="43">
        <f t="shared" ref="BY37:BY44" si="51">IF((1-($CE$2-AQ$2)/$C37)&gt;0,(1-($CE$2-AQ$2)/$C37),0)</f>
        <v>0.6</v>
      </c>
      <c r="BZ37" s="43">
        <f t="shared" ref="BZ37:BZ44" si="52">IF((1-($CE$2-AU$2)/$C37)&gt;0,(1-($CE$2-AU$2)/$C37),0)</f>
        <v>0.7</v>
      </c>
      <c r="CA37" s="43">
        <f t="shared" ref="CA37:CA44" si="53">IF((1-($CE$2-AY$2)/$C37)&gt;0,(1-($CE$2-AY$2)/$C37),0)</f>
        <v>0.8</v>
      </c>
      <c r="CB37" s="43">
        <f t="shared" ref="CB37:CB44" si="54">IF((1-($CE$2-BC$2)/$C37)&gt;0,(1-($CE$2-BC$2)/$C37),0)</f>
        <v>0.9</v>
      </c>
      <c r="CC37" s="43">
        <f t="shared" ref="CC37:CC44" si="55">IF(BG37=0,0,1-($CE$2-(2014.5-(BG37-BI37)*C37/BG37))/C37)</f>
        <v>0</v>
      </c>
      <c r="CD37" s="43">
        <f t="shared" ref="CD37:CD44" si="56">IF((1-($CE$2-BJ$2)/$C37)&gt;0,(1-($CE$2-BJ$2)/$C37),0)</f>
        <v>1</v>
      </c>
      <c r="CE37" s="239">
        <f t="shared" ref="CE37:CE44" si="57">+D37-E37+(G37-I37)*G$61+(K37-M37)*K$61+(O37-Q37)*O$61+(S37-U37)*S$61+(W37-Y37)*W$61+(AA37-AC37)*AA$61+(AE37-AG37)*AE$61+(AI37-AK37)*AI$61+(AM37-AO37)*AM$61+(AQ37-AS37)*$AQ$61+(AU37-AW37)*$AU$61+(AY37-BA37)*$AY$61+(BC37-BE37)*$BC$61+BG37+(BJ37-BL37)*$BJ$61</f>
        <v>0</v>
      </c>
      <c r="CF37" s="239">
        <f t="shared" ref="CF37:CF44" si="58">CE37-(IF(BO37=0,0,D37-E37)+IF(BP37=0,0,(G37-I37)*G$61)+IF(BQ37=0,0,(K37-M37)*K$61)+IF(BR37=0,0,(O37-Q37)*O$61)+IF(BS37=0,0,(S37-U37)*S$61)+IF(BT37=0,0,(W37-Y37)*W$61)+IF(BU37=0,0,(AA37-AC37)*AA$61)+IF(BV37=0,0,(AE37-AG37)*AE$61)+IF(BW37=0,0,(AI37-AK37)*AI$61)+IF(BX37=0,0,(AM37-AO37)*AM$61)+IF(BY37=0,0,(AQ37-AS37)*$AQ$61)+IF(BZ37=0,0,(AU37-AW37)*$AU$61)+IF(CA37=0,0,(AY37-BA37)*$AY$61)++IF(CB37=0,0,(BC37-BE37)*$BC$61)+IF(CC37=0,0,BG37)+IF(CD37=0,0,(BJ37-BL37)*$BC$61))</f>
        <v>0</v>
      </c>
      <c r="CG37" s="239">
        <f t="shared" ref="CG37:CG44" si="59">(D37-E37)*BO37+((G37-H37-(I37-J37))*G$61)*BP37+((K37-L37-(M37-N37))*K$61)*BQ37+((O37-P37-(Q37-R37))*O$61)*BR37+((S37-T37-(U37-V37))*S$61)*BS37+((W37-X37-(Y37-Z37))*W$61)*BT37+((AA37-AB37-(AC37-AD37))*AA$61)*BU37+((AE37-AF37-(AG37-AH37))*AE$61)*BV37+((AI37-AJ37-(AK37-AL37))*AI$61)*BW37+((AM37-AN37)*BX37-(AO37-AP37))*$AM$61+((AQ37-AR37)*BY37-(AS37-AT37))*$AQ$61+((AU37-AV37)*BZ37-(AW37-AX37))*$AU$61+((AY37-AZ37)*CA37-(BA37-BB37))*$AY$61+((BC37-BD37)*CB37-(BF37-BN37))*$BC$61+(BG37-BH37)*CC37+((BJ37-BK37)*CD37-(BL37-BM37))*$BC$61</f>
        <v>0</v>
      </c>
    </row>
    <row r="38" spans="1:85" ht="12.75" customHeight="1" x14ac:dyDescent="0.25">
      <c r="A38" s="6"/>
      <c r="B38" s="24" t="s">
        <v>12</v>
      </c>
      <c r="C38" s="7">
        <v>5</v>
      </c>
      <c r="D38" s="37">
        <v>0</v>
      </c>
      <c r="E38" s="151"/>
      <c r="F38" s="37">
        <v>0</v>
      </c>
      <c r="G38" s="87">
        <v>0</v>
      </c>
      <c r="H38" s="87"/>
      <c r="I38" s="127"/>
      <c r="J38" s="87"/>
      <c r="K38" s="89">
        <v>0</v>
      </c>
      <c r="L38" s="108">
        <v>0</v>
      </c>
      <c r="M38" s="153"/>
      <c r="N38" s="89"/>
      <c r="O38" s="95">
        <v>0</v>
      </c>
      <c r="P38" s="172"/>
      <c r="Q38" s="94"/>
      <c r="R38" s="172"/>
      <c r="S38" s="154">
        <v>0</v>
      </c>
      <c r="T38" s="114"/>
      <c r="U38" s="154"/>
      <c r="V38" s="155"/>
      <c r="W38" s="58">
        <v>0</v>
      </c>
      <c r="X38" s="58">
        <v>0</v>
      </c>
      <c r="Y38" s="58"/>
      <c r="Z38" s="59"/>
      <c r="AA38" s="76">
        <v>0</v>
      </c>
      <c r="AB38" s="156">
        <v>0</v>
      </c>
      <c r="AC38" s="157"/>
      <c r="AD38" s="61"/>
      <c r="AE38" s="63">
        <v>0</v>
      </c>
      <c r="AF38" s="63">
        <v>0</v>
      </c>
      <c r="AG38" s="158"/>
      <c r="AH38" s="62"/>
      <c r="AI38" s="154">
        <v>0</v>
      </c>
      <c r="AJ38" s="154">
        <v>0</v>
      </c>
      <c r="AK38" s="154"/>
      <c r="AL38" s="155"/>
      <c r="AM38" s="49">
        <v>0</v>
      </c>
      <c r="AN38" s="49">
        <v>0</v>
      </c>
      <c r="AO38" s="49"/>
      <c r="AP38" s="50"/>
      <c r="AQ38" s="159">
        <v>0</v>
      </c>
      <c r="AR38" s="198">
        <v>0</v>
      </c>
      <c r="AS38" s="198"/>
      <c r="AT38" s="198"/>
      <c r="AU38" s="210">
        <v>0</v>
      </c>
      <c r="AV38" s="210">
        <v>0</v>
      </c>
      <c r="AW38" s="210"/>
      <c r="AX38" s="210"/>
      <c r="AY38" s="129">
        <v>13307.93</v>
      </c>
      <c r="AZ38" s="129">
        <v>0</v>
      </c>
      <c r="BA38" s="129"/>
      <c r="BB38" s="129"/>
      <c r="BC38" s="146"/>
      <c r="BD38" s="136"/>
      <c r="BE38" s="136"/>
      <c r="BF38" s="136"/>
      <c r="BG38" s="252"/>
      <c r="BH38" s="252"/>
      <c r="BI38" s="252"/>
      <c r="BJ38" s="226"/>
      <c r="BK38" s="226"/>
      <c r="BL38" s="226"/>
      <c r="BM38" s="226"/>
      <c r="BN38" s="26">
        <f t="shared" si="40"/>
        <v>0</v>
      </c>
      <c r="BO38" s="43">
        <f t="shared" si="41"/>
        <v>0</v>
      </c>
      <c r="BP38" s="43">
        <f t="shared" si="42"/>
        <v>0</v>
      </c>
      <c r="BQ38" s="43">
        <f t="shared" si="43"/>
        <v>0</v>
      </c>
      <c r="BR38" s="43">
        <f t="shared" si="44"/>
        <v>0</v>
      </c>
      <c r="BS38" s="43">
        <f t="shared" si="45"/>
        <v>0</v>
      </c>
      <c r="BT38" s="43">
        <f t="shared" si="46"/>
        <v>0</v>
      </c>
      <c r="BU38" s="43">
        <f t="shared" si="47"/>
        <v>0</v>
      </c>
      <c r="BV38" s="43">
        <f t="shared" si="48"/>
        <v>0</v>
      </c>
      <c r="BW38" s="43">
        <f t="shared" si="49"/>
        <v>0</v>
      </c>
      <c r="BX38" s="43">
        <f t="shared" si="50"/>
        <v>0</v>
      </c>
      <c r="BY38" s="43">
        <f t="shared" si="51"/>
        <v>0.19999999999999996</v>
      </c>
      <c r="BZ38" s="43">
        <f t="shared" si="52"/>
        <v>0.4</v>
      </c>
      <c r="CA38" s="43">
        <f t="shared" si="53"/>
        <v>0.6</v>
      </c>
      <c r="CB38" s="43">
        <f t="shared" si="54"/>
        <v>0.8</v>
      </c>
      <c r="CC38" s="43">
        <f t="shared" si="55"/>
        <v>0</v>
      </c>
      <c r="CD38" s="43">
        <f t="shared" si="56"/>
        <v>1</v>
      </c>
      <c r="CE38" s="239">
        <f t="shared" si="57"/>
        <v>7670.8689809675761</v>
      </c>
      <c r="CF38" s="239">
        <f t="shared" si="58"/>
        <v>0</v>
      </c>
      <c r="CG38" s="239">
        <f t="shared" si="59"/>
        <v>4602.5213885805451</v>
      </c>
    </row>
    <row r="39" spans="1:85" ht="12.75" customHeight="1" x14ac:dyDescent="0.25">
      <c r="A39" s="6"/>
      <c r="B39" s="24" t="s">
        <v>39</v>
      </c>
      <c r="C39" s="7">
        <v>1000</v>
      </c>
      <c r="D39" s="37">
        <v>0</v>
      </c>
      <c r="E39" s="151"/>
      <c r="F39" s="37">
        <v>0</v>
      </c>
      <c r="G39" s="87">
        <v>0</v>
      </c>
      <c r="H39" s="87"/>
      <c r="I39" s="127"/>
      <c r="J39" s="87"/>
      <c r="K39" s="89">
        <v>0</v>
      </c>
      <c r="L39" s="108">
        <v>0</v>
      </c>
      <c r="M39" s="153"/>
      <c r="N39" s="89"/>
      <c r="O39" s="95">
        <v>0</v>
      </c>
      <c r="P39" s="172"/>
      <c r="Q39" s="94"/>
      <c r="R39" s="172"/>
      <c r="S39" s="154">
        <v>0</v>
      </c>
      <c r="T39" s="114"/>
      <c r="U39" s="154"/>
      <c r="V39" s="155"/>
      <c r="W39" s="58">
        <v>0</v>
      </c>
      <c r="X39" s="58">
        <v>0</v>
      </c>
      <c r="Y39" s="58"/>
      <c r="Z39" s="59"/>
      <c r="AA39" s="76">
        <v>0</v>
      </c>
      <c r="AB39" s="156">
        <v>0</v>
      </c>
      <c r="AC39" s="157"/>
      <c r="AD39" s="61"/>
      <c r="AE39" s="63">
        <v>0</v>
      </c>
      <c r="AF39" s="63">
        <v>0</v>
      </c>
      <c r="AG39" s="158"/>
      <c r="AH39" s="62"/>
      <c r="AI39" s="154">
        <v>0</v>
      </c>
      <c r="AJ39" s="154">
        <v>0</v>
      </c>
      <c r="AK39" s="154"/>
      <c r="AL39" s="155"/>
      <c r="AM39" s="49">
        <v>0</v>
      </c>
      <c r="AN39" s="49">
        <v>0</v>
      </c>
      <c r="AO39" s="49"/>
      <c r="AP39" s="50"/>
      <c r="AQ39" s="159">
        <v>0</v>
      </c>
      <c r="AR39" s="198">
        <v>0</v>
      </c>
      <c r="AS39" s="198"/>
      <c r="AT39" s="198"/>
      <c r="AU39" s="210">
        <v>0</v>
      </c>
      <c r="AV39" s="210">
        <v>0</v>
      </c>
      <c r="AW39" s="210"/>
      <c r="AX39" s="210"/>
      <c r="AY39" s="129">
        <v>0</v>
      </c>
      <c r="AZ39" s="129">
        <v>0</v>
      </c>
      <c r="BA39" s="129"/>
      <c r="BB39" s="129"/>
      <c r="BC39" s="146"/>
      <c r="BD39" s="136"/>
      <c r="BE39" s="136"/>
      <c r="BF39" s="136"/>
      <c r="BG39" s="252"/>
      <c r="BH39" s="252"/>
      <c r="BI39" s="252"/>
      <c r="BJ39" s="226"/>
      <c r="BK39" s="226"/>
      <c r="BL39" s="226"/>
      <c r="BM39" s="226"/>
      <c r="BN39" s="26">
        <f t="shared" si="40"/>
        <v>0</v>
      </c>
      <c r="BO39" s="43">
        <f t="shared" si="41"/>
        <v>0</v>
      </c>
      <c r="BP39" s="43">
        <f t="shared" si="42"/>
        <v>0.98699999999999999</v>
      </c>
      <c r="BQ39" s="43">
        <f t="shared" si="43"/>
        <v>0.98799999999999999</v>
      </c>
      <c r="BR39" s="43">
        <f t="shared" si="44"/>
        <v>0.98899999999999999</v>
      </c>
      <c r="BS39" s="43">
        <f t="shared" si="45"/>
        <v>0.99</v>
      </c>
      <c r="BT39" s="43">
        <f t="shared" si="46"/>
        <v>0.99099999999999999</v>
      </c>
      <c r="BU39" s="43">
        <f t="shared" si="47"/>
        <v>0.99199999999999999</v>
      </c>
      <c r="BV39" s="43">
        <f t="shared" si="48"/>
        <v>0.99299999999999999</v>
      </c>
      <c r="BW39" s="43">
        <f t="shared" si="49"/>
        <v>0.99399999999999999</v>
      </c>
      <c r="BX39" s="43">
        <f t="shared" si="50"/>
        <v>0.995</v>
      </c>
      <c r="BY39" s="43">
        <f t="shared" si="51"/>
        <v>0.996</v>
      </c>
      <c r="BZ39" s="43">
        <f t="shared" si="52"/>
        <v>0.997</v>
      </c>
      <c r="CA39" s="43">
        <f t="shared" si="53"/>
        <v>0.998</v>
      </c>
      <c r="CB39" s="43">
        <f t="shared" si="54"/>
        <v>0.999</v>
      </c>
      <c r="CC39" s="43">
        <f t="shared" si="55"/>
        <v>0</v>
      </c>
      <c r="CD39" s="43">
        <f t="shared" si="56"/>
        <v>1</v>
      </c>
      <c r="CE39" s="239">
        <f t="shared" si="57"/>
        <v>0</v>
      </c>
      <c r="CF39" s="239">
        <f t="shared" si="58"/>
        <v>0</v>
      </c>
      <c r="CG39" s="239">
        <f t="shared" si="59"/>
        <v>0</v>
      </c>
    </row>
    <row r="40" spans="1:85" ht="12.75" customHeight="1" x14ac:dyDescent="0.25">
      <c r="A40" s="6"/>
      <c r="B40" s="24" t="s">
        <v>9</v>
      </c>
      <c r="C40" s="7">
        <v>40</v>
      </c>
      <c r="D40" s="37">
        <v>0</v>
      </c>
      <c r="E40" s="151"/>
      <c r="F40" s="37">
        <v>0</v>
      </c>
      <c r="G40" s="87">
        <v>0</v>
      </c>
      <c r="H40" s="87"/>
      <c r="I40" s="127"/>
      <c r="J40" s="87"/>
      <c r="K40" s="89">
        <v>0</v>
      </c>
      <c r="L40" s="108">
        <v>0</v>
      </c>
      <c r="M40" s="153"/>
      <c r="N40" s="89"/>
      <c r="O40" s="95">
        <v>0</v>
      </c>
      <c r="P40" s="172"/>
      <c r="Q40" s="94"/>
      <c r="R40" s="172"/>
      <c r="S40" s="154">
        <v>0</v>
      </c>
      <c r="T40" s="114"/>
      <c r="U40" s="154"/>
      <c r="V40" s="155"/>
      <c r="W40" s="58">
        <v>0</v>
      </c>
      <c r="X40" s="58">
        <v>0</v>
      </c>
      <c r="Y40" s="58"/>
      <c r="Z40" s="59"/>
      <c r="AA40" s="76">
        <v>0</v>
      </c>
      <c r="AB40" s="156">
        <v>0</v>
      </c>
      <c r="AC40" s="157"/>
      <c r="AD40" s="61"/>
      <c r="AE40" s="63">
        <v>0</v>
      </c>
      <c r="AF40" s="63">
        <v>0</v>
      </c>
      <c r="AG40" s="158"/>
      <c r="AH40" s="62"/>
      <c r="AI40" s="154">
        <v>0</v>
      </c>
      <c r="AJ40" s="154">
        <v>0</v>
      </c>
      <c r="AK40" s="154"/>
      <c r="AL40" s="155"/>
      <c r="AM40" s="49">
        <v>0</v>
      </c>
      <c r="AN40" s="49">
        <v>0</v>
      </c>
      <c r="AO40" s="49"/>
      <c r="AP40" s="50"/>
      <c r="AQ40" s="159">
        <v>0</v>
      </c>
      <c r="AR40" s="198">
        <v>0</v>
      </c>
      <c r="AS40" s="198"/>
      <c r="AT40" s="198"/>
      <c r="AU40" s="210">
        <v>0</v>
      </c>
      <c r="AV40" s="210">
        <v>0</v>
      </c>
      <c r="AW40" s="210"/>
      <c r="AX40" s="210"/>
      <c r="AY40" s="129">
        <v>0</v>
      </c>
      <c r="AZ40" s="129">
        <v>0</v>
      </c>
      <c r="BA40" s="129"/>
      <c r="BB40" s="129"/>
      <c r="BC40" s="146"/>
      <c r="BD40" s="136"/>
      <c r="BE40" s="136"/>
      <c r="BF40" s="136"/>
      <c r="BG40" s="252"/>
      <c r="BH40" s="252"/>
      <c r="BI40" s="252"/>
      <c r="BJ40" s="226"/>
      <c r="BK40" s="226"/>
      <c r="BL40" s="226"/>
      <c r="BM40" s="226"/>
      <c r="BN40" s="26">
        <f t="shared" si="40"/>
        <v>0</v>
      </c>
      <c r="BO40" s="43">
        <f t="shared" si="41"/>
        <v>0</v>
      </c>
      <c r="BP40" s="43">
        <f t="shared" si="42"/>
        <v>0.67500000000000004</v>
      </c>
      <c r="BQ40" s="43">
        <f t="shared" si="43"/>
        <v>0.7</v>
      </c>
      <c r="BR40" s="43">
        <f t="shared" si="44"/>
        <v>0.72499999999999998</v>
      </c>
      <c r="BS40" s="43">
        <f t="shared" si="45"/>
        <v>0.75</v>
      </c>
      <c r="BT40" s="43">
        <f t="shared" si="46"/>
        <v>0.77500000000000002</v>
      </c>
      <c r="BU40" s="43">
        <f t="shared" si="47"/>
        <v>0.8</v>
      </c>
      <c r="BV40" s="43">
        <f t="shared" si="48"/>
        <v>0.82499999999999996</v>
      </c>
      <c r="BW40" s="43">
        <f t="shared" si="49"/>
        <v>0.85</v>
      </c>
      <c r="BX40" s="43">
        <f t="shared" si="50"/>
        <v>0.875</v>
      </c>
      <c r="BY40" s="43">
        <f t="shared" si="51"/>
        <v>0.9</v>
      </c>
      <c r="BZ40" s="43">
        <f t="shared" si="52"/>
        <v>0.92500000000000004</v>
      </c>
      <c r="CA40" s="43">
        <f t="shared" si="53"/>
        <v>0.95</v>
      </c>
      <c r="CB40" s="43">
        <f t="shared" si="54"/>
        <v>0.97499999999999998</v>
      </c>
      <c r="CC40" s="43">
        <f t="shared" si="55"/>
        <v>0</v>
      </c>
      <c r="CD40" s="43">
        <f t="shared" si="56"/>
        <v>1</v>
      </c>
      <c r="CE40" s="239">
        <f t="shared" si="57"/>
        <v>0</v>
      </c>
      <c r="CF40" s="239">
        <f t="shared" si="58"/>
        <v>0</v>
      </c>
      <c r="CG40" s="239">
        <f t="shared" si="59"/>
        <v>0</v>
      </c>
    </row>
    <row r="41" spans="1:85" ht="12.75" customHeight="1" x14ac:dyDescent="0.25">
      <c r="A41" s="6"/>
      <c r="B41" s="3" t="s">
        <v>51</v>
      </c>
      <c r="C41" s="7">
        <v>10</v>
      </c>
      <c r="D41" s="37">
        <v>68012.532297795682</v>
      </c>
      <c r="E41" s="151"/>
      <c r="F41" s="152">
        <v>0</v>
      </c>
      <c r="G41" s="87">
        <v>8156.81</v>
      </c>
      <c r="H41" s="88"/>
      <c r="I41" s="127"/>
      <c r="J41" s="88"/>
      <c r="K41" s="89">
        <v>72957</v>
      </c>
      <c r="L41" s="90">
        <v>0</v>
      </c>
      <c r="M41" s="153"/>
      <c r="N41" s="91"/>
      <c r="O41" s="95">
        <v>70981</v>
      </c>
      <c r="P41" s="93"/>
      <c r="Q41" s="94"/>
      <c r="R41" s="93"/>
      <c r="S41" s="154">
        <v>43325</v>
      </c>
      <c r="T41" s="114"/>
      <c r="U41" s="154"/>
      <c r="V41" s="155"/>
      <c r="W41" s="58">
        <v>0</v>
      </c>
      <c r="X41" s="58">
        <v>0</v>
      </c>
      <c r="Y41" s="58"/>
      <c r="Z41" s="59"/>
      <c r="AA41" s="76">
        <v>0</v>
      </c>
      <c r="AB41" s="156">
        <v>0</v>
      </c>
      <c r="AC41" s="157"/>
      <c r="AD41" s="61"/>
      <c r="AE41" s="63">
        <v>48894</v>
      </c>
      <c r="AF41" s="63">
        <v>0</v>
      </c>
      <c r="AG41" s="158"/>
      <c r="AH41" s="62"/>
      <c r="AI41" s="154">
        <v>43891.280000000006</v>
      </c>
      <c r="AJ41" s="154">
        <v>0</v>
      </c>
      <c r="AK41" s="154"/>
      <c r="AL41" s="155"/>
      <c r="AM41" s="49">
        <v>15184</v>
      </c>
      <c r="AN41" s="49">
        <v>0</v>
      </c>
      <c r="AO41" s="49"/>
      <c r="AP41" s="50"/>
      <c r="AQ41" s="159">
        <v>15539.74</v>
      </c>
      <c r="AR41" s="198">
        <v>0</v>
      </c>
      <c r="AS41" s="198"/>
      <c r="AT41" s="198"/>
      <c r="AU41" s="210">
        <v>11462.5</v>
      </c>
      <c r="AV41" s="210">
        <v>0</v>
      </c>
      <c r="AW41" s="210"/>
      <c r="AX41" s="210"/>
      <c r="AY41" s="129">
        <v>13307.93</v>
      </c>
      <c r="AZ41" s="129">
        <v>0</v>
      </c>
      <c r="BA41" s="129"/>
      <c r="BB41" s="129"/>
      <c r="BC41" s="146">
        <v>326558.83</v>
      </c>
      <c r="BD41" s="136"/>
      <c r="BE41" s="136"/>
      <c r="BF41" s="136"/>
      <c r="BG41" s="252"/>
      <c r="BH41" s="252"/>
      <c r="BI41" s="252"/>
      <c r="BJ41" s="226">
        <v>848385</v>
      </c>
      <c r="BK41" s="226"/>
      <c r="BL41" s="226"/>
      <c r="BM41" s="226"/>
      <c r="BN41" s="26">
        <f t="shared" si="40"/>
        <v>1991</v>
      </c>
      <c r="BO41" s="43">
        <f t="shared" si="41"/>
        <v>0</v>
      </c>
      <c r="BP41" s="43">
        <f t="shared" si="42"/>
        <v>0</v>
      </c>
      <c r="BQ41" s="43">
        <f t="shared" si="43"/>
        <v>0</v>
      </c>
      <c r="BR41" s="43">
        <f t="shared" si="44"/>
        <v>0</v>
      </c>
      <c r="BS41" s="43">
        <f t="shared" si="45"/>
        <v>0</v>
      </c>
      <c r="BT41" s="43">
        <f t="shared" si="46"/>
        <v>9.9999999999999978E-2</v>
      </c>
      <c r="BU41" s="43">
        <f t="shared" si="47"/>
        <v>0.19999999999999996</v>
      </c>
      <c r="BV41" s="43">
        <f t="shared" si="48"/>
        <v>0.30000000000000004</v>
      </c>
      <c r="BW41" s="43">
        <f t="shared" si="49"/>
        <v>0.4</v>
      </c>
      <c r="BX41" s="43">
        <f t="shared" si="50"/>
        <v>0.5</v>
      </c>
      <c r="BY41" s="43">
        <f t="shared" si="51"/>
        <v>0.6</v>
      </c>
      <c r="BZ41" s="43">
        <f t="shared" si="52"/>
        <v>0.7</v>
      </c>
      <c r="CA41" s="43">
        <f t="shared" si="53"/>
        <v>0.8</v>
      </c>
      <c r="CB41" s="43">
        <f t="shared" si="54"/>
        <v>0.9</v>
      </c>
      <c r="CC41" s="43">
        <f t="shared" si="55"/>
        <v>0</v>
      </c>
      <c r="CD41" s="43">
        <f t="shared" si="56"/>
        <v>1</v>
      </c>
      <c r="CE41" s="239">
        <f t="shared" si="57"/>
        <v>1329119.1435706569</v>
      </c>
      <c r="CF41" s="239">
        <f t="shared" si="58"/>
        <v>238370.74358504219</v>
      </c>
      <c r="CG41" s="239">
        <f t="shared" si="59"/>
        <v>999198.05188223335</v>
      </c>
    </row>
    <row r="42" spans="1:85" ht="12.75" customHeight="1" x14ac:dyDescent="0.25">
      <c r="A42" s="6"/>
      <c r="B42" s="3" t="s">
        <v>52</v>
      </c>
      <c r="C42" s="7">
        <v>22</v>
      </c>
      <c r="D42" s="37">
        <v>0</v>
      </c>
      <c r="E42" s="151"/>
      <c r="F42" s="83">
        <v>0</v>
      </c>
      <c r="G42" s="87">
        <v>0</v>
      </c>
      <c r="H42" s="88"/>
      <c r="I42" s="127"/>
      <c r="J42" s="88"/>
      <c r="K42" s="89">
        <v>0</v>
      </c>
      <c r="L42" s="90">
        <v>0</v>
      </c>
      <c r="M42" s="153"/>
      <c r="N42" s="91"/>
      <c r="O42" s="95">
        <v>0</v>
      </c>
      <c r="P42" s="93"/>
      <c r="Q42" s="94"/>
      <c r="R42" s="93"/>
      <c r="S42" s="154">
        <v>0</v>
      </c>
      <c r="T42" s="114"/>
      <c r="U42" s="154"/>
      <c r="V42" s="155"/>
      <c r="W42" s="58">
        <v>0</v>
      </c>
      <c r="X42" s="58">
        <v>0</v>
      </c>
      <c r="Y42" s="58"/>
      <c r="Z42" s="59"/>
      <c r="AA42" s="76">
        <v>0</v>
      </c>
      <c r="AB42" s="156">
        <v>0</v>
      </c>
      <c r="AC42" s="157"/>
      <c r="AD42" s="61"/>
      <c r="AE42" s="63">
        <v>21889</v>
      </c>
      <c r="AF42" s="63">
        <v>0</v>
      </c>
      <c r="AG42" s="158"/>
      <c r="AH42" s="62"/>
      <c r="AI42" s="154">
        <v>0</v>
      </c>
      <c r="AJ42" s="154">
        <v>0</v>
      </c>
      <c r="AK42" s="154"/>
      <c r="AL42" s="155"/>
      <c r="AM42" s="49">
        <v>0</v>
      </c>
      <c r="AN42" s="49">
        <v>0</v>
      </c>
      <c r="AO42" s="49"/>
      <c r="AP42" s="50"/>
      <c r="AQ42" s="159">
        <v>0</v>
      </c>
      <c r="AR42" s="198">
        <v>0</v>
      </c>
      <c r="AS42" s="198"/>
      <c r="AT42" s="198"/>
      <c r="AU42" s="210">
        <v>2142</v>
      </c>
      <c r="AV42" s="210">
        <v>0</v>
      </c>
      <c r="AW42" s="210"/>
      <c r="AX42" s="210"/>
      <c r="AY42" s="129">
        <v>48264.98</v>
      </c>
      <c r="AZ42" s="129">
        <v>0</v>
      </c>
      <c r="BA42" s="129"/>
      <c r="BB42" s="129"/>
      <c r="BC42" s="146">
        <v>285524.53000000003</v>
      </c>
      <c r="BD42" s="136"/>
      <c r="BE42" s="136"/>
      <c r="BF42" s="136"/>
      <c r="BG42" s="252"/>
      <c r="BH42" s="252"/>
      <c r="BI42" s="252"/>
      <c r="BJ42" s="226">
        <v>23834.440000000002</v>
      </c>
      <c r="BK42" s="226"/>
      <c r="BL42" s="226"/>
      <c r="BM42" s="226"/>
      <c r="BN42" s="26">
        <f t="shared" si="40"/>
        <v>0</v>
      </c>
      <c r="BO42" s="43">
        <f t="shared" si="41"/>
        <v>0</v>
      </c>
      <c r="BP42" s="43">
        <f t="shared" si="42"/>
        <v>0.40909090909090906</v>
      </c>
      <c r="BQ42" s="43">
        <f t="shared" si="43"/>
        <v>0.45454545454545459</v>
      </c>
      <c r="BR42" s="43">
        <f t="shared" si="44"/>
        <v>0.5</v>
      </c>
      <c r="BS42" s="43">
        <f t="shared" si="45"/>
        <v>0.54545454545454541</v>
      </c>
      <c r="BT42" s="43">
        <f t="shared" si="46"/>
        <v>0.59090909090909083</v>
      </c>
      <c r="BU42" s="43">
        <f t="shared" si="47"/>
        <v>0.63636363636363635</v>
      </c>
      <c r="BV42" s="43">
        <f t="shared" si="48"/>
        <v>0.68181818181818188</v>
      </c>
      <c r="BW42" s="43">
        <f t="shared" si="49"/>
        <v>0.72727272727272729</v>
      </c>
      <c r="BX42" s="43">
        <f t="shared" si="50"/>
        <v>0.77272727272727271</v>
      </c>
      <c r="BY42" s="43">
        <f t="shared" si="51"/>
        <v>0.81818181818181812</v>
      </c>
      <c r="BZ42" s="43">
        <f t="shared" si="52"/>
        <v>0.86363636363636365</v>
      </c>
      <c r="CA42" s="43">
        <f t="shared" si="53"/>
        <v>0.90909090909090906</v>
      </c>
      <c r="CB42" s="43">
        <f t="shared" si="54"/>
        <v>0.95454545454545459</v>
      </c>
      <c r="CC42" s="43">
        <f t="shared" si="55"/>
        <v>0</v>
      </c>
      <c r="CD42" s="43">
        <f t="shared" si="56"/>
        <v>1</v>
      </c>
      <c r="CE42" s="239">
        <f t="shared" si="57"/>
        <v>303951.87617893808</v>
      </c>
      <c r="CF42" s="239">
        <f t="shared" si="58"/>
        <v>-2.5448756516561843</v>
      </c>
      <c r="CG42" s="239">
        <f t="shared" si="59"/>
        <v>284544.02461224288</v>
      </c>
    </row>
    <row r="43" spans="1:85" ht="12.75" customHeight="1" x14ac:dyDescent="0.25">
      <c r="A43" s="6"/>
      <c r="B43" s="3" t="s">
        <v>33</v>
      </c>
      <c r="C43" s="7">
        <v>4</v>
      </c>
      <c r="D43" s="37">
        <v>0</v>
      </c>
      <c r="E43" s="151"/>
      <c r="F43" s="152">
        <v>0</v>
      </c>
      <c r="G43" s="87">
        <v>0</v>
      </c>
      <c r="H43" s="88"/>
      <c r="I43" s="127"/>
      <c r="J43" s="88"/>
      <c r="K43" s="89">
        <v>0</v>
      </c>
      <c r="L43" s="90">
        <v>0</v>
      </c>
      <c r="M43" s="153"/>
      <c r="N43" s="91"/>
      <c r="O43" s="95">
        <v>0</v>
      </c>
      <c r="P43" s="93"/>
      <c r="Q43" s="94"/>
      <c r="R43" s="93"/>
      <c r="S43" s="154">
        <v>0</v>
      </c>
      <c r="T43" s="114"/>
      <c r="U43" s="154"/>
      <c r="V43" s="155"/>
      <c r="W43" s="58">
        <v>0</v>
      </c>
      <c r="X43" s="58">
        <v>0</v>
      </c>
      <c r="Y43" s="58"/>
      <c r="Z43" s="59"/>
      <c r="AA43" s="76">
        <v>0</v>
      </c>
      <c r="AB43" s="156">
        <v>0</v>
      </c>
      <c r="AC43" s="157"/>
      <c r="AD43" s="61"/>
      <c r="AE43" s="63">
        <v>0</v>
      </c>
      <c r="AF43" s="63">
        <v>0</v>
      </c>
      <c r="AG43" s="158"/>
      <c r="AH43" s="62"/>
      <c r="AI43" s="154">
        <v>0</v>
      </c>
      <c r="AJ43" s="154">
        <v>0</v>
      </c>
      <c r="AK43" s="154"/>
      <c r="AL43" s="155"/>
      <c r="AM43" s="49">
        <v>0</v>
      </c>
      <c r="AN43" s="49">
        <v>0</v>
      </c>
      <c r="AO43" s="49"/>
      <c r="AP43" s="50"/>
      <c r="AQ43" s="159">
        <v>0</v>
      </c>
      <c r="AR43" s="198">
        <v>0</v>
      </c>
      <c r="AS43" s="198"/>
      <c r="AT43" s="198"/>
      <c r="AU43" s="210">
        <v>0</v>
      </c>
      <c r="AV43" s="210">
        <v>0</v>
      </c>
      <c r="AW43" s="210"/>
      <c r="AX43" s="210"/>
      <c r="AY43" s="129">
        <v>0</v>
      </c>
      <c r="AZ43" s="129">
        <v>0</v>
      </c>
      <c r="BA43" s="129"/>
      <c r="BB43" s="129"/>
      <c r="BC43" s="146"/>
      <c r="BD43" s="136"/>
      <c r="BE43" s="136"/>
      <c r="BF43" s="136"/>
      <c r="BG43" s="252"/>
      <c r="BH43" s="252"/>
      <c r="BI43" s="252"/>
      <c r="BJ43" s="226"/>
      <c r="BK43" s="226"/>
      <c r="BL43" s="226"/>
      <c r="BM43" s="226"/>
      <c r="BN43" s="26">
        <f t="shared" si="40"/>
        <v>0</v>
      </c>
      <c r="BO43" s="43">
        <f t="shared" si="41"/>
        <v>0</v>
      </c>
      <c r="BP43" s="43">
        <f t="shared" si="42"/>
        <v>0</v>
      </c>
      <c r="BQ43" s="43">
        <f t="shared" si="43"/>
        <v>0</v>
      </c>
      <c r="BR43" s="43">
        <f t="shared" si="44"/>
        <v>0</v>
      </c>
      <c r="BS43" s="43">
        <f t="shared" si="45"/>
        <v>0</v>
      </c>
      <c r="BT43" s="43">
        <f t="shared" si="46"/>
        <v>0</v>
      </c>
      <c r="BU43" s="43">
        <f t="shared" si="47"/>
        <v>0</v>
      </c>
      <c r="BV43" s="43">
        <f t="shared" si="48"/>
        <v>0</v>
      </c>
      <c r="BW43" s="43">
        <f t="shared" si="49"/>
        <v>0</v>
      </c>
      <c r="BX43" s="43">
        <f t="shared" si="50"/>
        <v>0</v>
      </c>
      <c r="BY43" s="43">
        <f t="shared" si="51"/>
        <v>0</v>
      </c>
      <c r="BZ43" s="43">
        <f t="shared" si="52"/>
        <v>0.25</v>
      </c>
      <c r="CA43" s="43">
        <f t="shared" si="53"/>
        <v>0.5</v>
      </c>
      <c r="CB43" s="43">
        <f t="shared" si="54"/>
        <v>0.75</v>
      </c>
      <c r="CC43" s="43">
        <f t="shared" si="55"/>
        <v>0</v>
      </c>
      <c r="CD43" s="43">
        <f t="shared" si="56"/>
        <v>1</v>
      </c>
      <c r="CE43" s="239">
        <f t="shared" si="57"/>
        <v>0</v>
      </c>
      <c r="CF43" s="239">
        <f t="shared" si="58"/>
        <v>0</v>
      </c>
      <c r="CG43" s="239">
        <f t="shared" si="59"/>
        <v>0</v>
      </c>
    </row>
    <row r="44" spans="1:85" ht="12.75" customHeight="1" thickBot="1" x14ac:dyDescent="0.3">
      <c r="A44" s="6"/>
      <c r="B44" s="10" t="s">
        <v>13</v>
      </c>
      <c r="C44" s="11">
        <v>8</v>
      </c>
      <c r="D44" s="41">
        <v>0</v>
      </c>
      <c r="E44" s="151"/>
      <c r="F44" s="162">
        <v>0</v>
      </c>
      <c r="G44" s="87">
        <v>28201.54</v>
      </c>
      <c r="H44" s="96"/>
      <c r="I44" s="127"/>
      <c r="J44" s="96"/>
      <c r="K44" s="89">
        <v>40330.749936</v>
      </c>
      <c r="L44" s="97">
        <v>0</v>
      </c>
      <c r="M44" s="153"/>
      <c r="N44" s="98"/>
      <c r="O44" s="92">
        <v>24699.62</v>
      </c>
      <c r="P44" s="99"/>
      <c r="Q44" s="94"/>
      <c r="R44" s="99"/>
      <c r="S44" s="173">
        <v>0</v>
      </c>
      <c r="T44" s="114"/>
      <c r="U44" s="154"/>
      <c r="V44" s="174"/>
      <c r="W44" s="58">
        <v>30771.72</v>
      </c>
      <c r="X44" s="58">
        <v>0</v>
      </c>
      <c r="Y44" s="58"/>
      <c r="Z44" s="64"/>
      <c r="AA44" s="78">
        <v>26890.07</v>
      </c>
      <c r="AB44" s="156">
        <v>0</v>
      </c>
      <c r="AC44" s="157"/>
      <c r="AD44" s="65"/>
      <c r="AE44" s="63">
        <v>24056.720000000001</v>
      </c>
      <c r="AF44" s="63">
        <v>0</v>
      </c>
      <c r="AG44" s="158"/>
      <c r="AH44" s="66"/>
      <c r="AI44" s="173">
        <v>0</v>
      </c>
      <c r="AJ44" s="154">
        <v>0</v>
      </c>
      <c r="AK44" s="154"/>
      <c r="AL44" s="174"/>
      <c r="AM44" s="49">
        <v>0</v>
      </c>
      <c r="AN44" s="49">
        <v>0</v>
      </c>
      <c r="AO44" s="49"/>
      <c r="AP44" s="51"/>
      <c r="AQ44" s="159">
        <v>0</v>
      </c>
      <c r="AR44" s="199">
        <v>0</v>
      </c>
      <c r="AS44" s="199"/>
      <c r="AT44" s="199"/>
      <c r="AU44" s="211">
        <v>0</v>
      </c>
      <c r="AV44" s="211">
        <v>0</v>
      </c>
      <c r="AW44" s="211"/>
      <c r="AX44" s="211"/>
      <c r="AY44" s="130">
        <v>0</v>
      </c>
      <c r="AZ44" s="130">
        <v>0</v>
      </c>
      <c r="BA44" s="130"/>
      <c r="BB44" s="130"/>
      <c r="BC44" s="146"/>
      <c r="BD44" s="137"/>
      <c r="BE44" s="137"/>
      <c r="BF44" s="137"/>
      <c r="BG44" s="253"/>
      <c r="BH44" s="253"/>
      <c r="BI44" s="253"/>
      <c r="BJ44" s="227"/>
      <c r="BK44" s="227"/>
      <c r="BL44" s="227"/>
      <c r="BM44" s="227"/>
      <c r="BN44" s="26">
        <f t="shared" si="40"/>
        <v>0</v>
      </c>
      <c r="BO44" s="44">
        <f t="shared" si="41"/>
        <v>0</v>
      </c>
      <c r="BP44" s="43">
        <f t="shared" si="42"/>
        <v>0</v>
      </c>
      <c r="BQ44" s="43">
        <f t="shared" si="43"/>
        <v>0</v>
      </c>
      <c r="BR44" s="43">
        <f t="shared" si="44"/>
        <v>0</v>
      </c>
      <c r="BS44" s="43">
        <f t="shared" si="45"/>
        <v>0</v>
      </c>
      <c r="BT44" s="43">
        <f t="shared" si="46"/>
        <v>0</v>
      </c>
      <c r="BU44" s="43">
        <f t="shared" si="47"/>
        <v>0</v>
      </c>
      <c r="BV44" s="43">
        <f t="shared" si="48"/>
        <v>0.125</v>
      </c>
      <c r="BW44" s="43">
        <f t="shared" si="49"/>
        <v>0.25</v>
      </c>
      <c r="BX44" s="43">
        <f t="shared" si="50"/>
        <v>0.375</v>
      </c>
      <c r="BY44" s="43">
        <f t="shared" si="51"/>
        <v>0.5</v>
      </c>
      <c r="BZ44" s="43">
        <f t="shared" si="52"/>
        <v>0.625</v>
      </c>
      <c r="CA44" s="43">
        <f t="shared" si="53"/>
        <v>0.75</v>
      </c>
      <c r="CB44" s="43">
        <f t="shared" si="54"/>
        <v>0.875</v>
      </c>
      <c r="CC44" s="43">
        <f t="shared" si="55"/>
        <v>0</v>
      </c>
      <c r="CD44" s="43">
        <f t="shared" si="56"/>
        <v>1</v>
      </c>
      <c r="CE44" s="239">
        <f t="shared" si="57"/>
        <v>153091.81329945009</v>
      </c>
      <c r="CF44" s="239">
        <f t="shared" si="58"/>
        <v>132675.08030027515</v>
      </c>
      <c r="CG44" s="239">
        <f t="shared" si="59"/>
        <v>2552.0916248968683</v>
      </c>
    </row>
    <row r="45" spans="1:85" s="1" customFormat="1" ht="12.75" customHeight="1" thickBot="1" x14ac:dyDescent="0.35">
      <c r="A45" s="9"/>
      <c r="B45" s="13" t="s">
        <v>34</v>
      </c>
      <c r="C45" s="18"/>
      <c r="D45" s="38">
        <v>64380215.578287996</v>
      </c>
      <c r="E45" s="38"/>
      <c r="F45" s="38">
        <v>36745444.950886555</v>
      </c>
      <c r="G45" s="67">
        <v>1262365.3598000002</v>
      </c>
      <c r="H45" s="67">
        <v>0</v>
      </c>
      <c r="I45" s="67"/>
      <c r="J45" s="67"/>
      <c r="K45" s="116">
        <v>2422005.5850740555</v>
      </c>
      <c r="L45" s="116">
        <v>315949</v>
      </c>
      <c r="M45" s="116"/>
      <c r="N45" s="116"/>
      <c r="O45" s="68">
        <v>2468106.6800000002</v>
      </c>
      <c r="P45" s="68">
        <v>0</v>
      </c>
      <c r="Q45" s="68"/>
      <c r="R45" s="68"/>
      <c r="S45" s="120">
        <v>2636963</v>
      </c>
      <c r="T45" s="121">
        <v>0</v>
      </c>
      <c r="U45" s="121"/>
      <c r="V45" s="122"/>
      <c r="W45" s="67">
        <v>2901614.0900000003</v>
      </c>
      <c r="X45" s="67">
        <v>0</v>
      </c>
      <c r="Y45" s="67"/>
      <c r="Z45" s="67"/>
      <c r="AA45" s="116">
        <v>4650052.8100000005</v>
      </c>
      <c r="AB45" s="116">
        <v>556386.07000000007</v>
      </c>
      <c r="AC45" s="116"/>
      <c r="AD45" s="116"/>
      <c r="AE45" s="68">
        <v>5437854.6999999993</v>
      </c>
      <c r="AF45" s="68">
        <v>0</v>
      </c>
      <c r="AG45" s="68"/>
      <c r="AH45" s="117"/>
      <c r="AI45" s="120">
        <v>7755169.0999999968</v>
      </c>
      <c r="AJ45" s="121">
        <v>0</v>
      </c>
      <c r="AK45" s="121"/>
      <c r="AL45" s="122"/>
      <c r="AM45" s="52">
        <v>5445007.6719999984</v>
      </c>
      <c r="AN45" s="52">
        <v>0</v>
      </c>
      <c r="AO45" s="52"/>
      <c r="AP45" s="52"/>
      <c r="AQ45" s="208">
        <v>6483412.9600000028</v>
      </c>
      <c r="AR45" s="203">
        <v>0</v>
      </c>
      <c r="AS45" s="203"/>
      <c r="AT45" s="203"/>
      <c r="AU45" s="215">
        <v>4744163.7299999967</v>
      </c>
      <c r="AV45" s="215">
        <v>0</v>
      </c>
      <c r="AW45" s="215"/>
      <c r="AX45" s="215"/>
      <c r="AY45" s="133">
        <v>8655575.7579999957</v>
      </c>
      <c r="AZ45" s="133">
        <v>0</v>
      </c>
      <c r="BA45" s="133"/>
      <c r="BB45" s="133"/>
      <c r="BC45" s="148">
        <f>+SUM(BC14:BC44)</f>
        <v>8595478.4899999984</v>
      </c>
      <c r="BD45" s="140"/>
      <c r="BE45" s="140"/>
      <c r="BF45" s="140"/>
      <c r="BG45" s="255">
        <f>+SUM(BG14:BG44)</f>
        <v>6931047.2479580687</v>
      </c>
      <c r="BH45" s="255">
        <f>+SUM(BH14:BH44)</f>
        <v>5763524.5579580693</v>
      </c>
      <c r="BI45" s="255">
        <f>+SUM(BI14:BI44)</f>
        <v>4907911.2199999988</v>
      </c>
      <c r="BJ45" s="229">
        <f>+SUM(BJ14:BJ44)</f>
        <v>10289030.280000001</v>
      </c>
      <c r="BK45" s="229">
        <f>+SUM(BK14:BK44)</f>
        <v>0</v>
      </c>
      <c r="BL45" s="229"/>
      <c r="BM45" s="229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240">
        <f>SUM(CE14:CE44)</f>
        <v>130204302.14460266</v>
      </c>
      <c r="CF45" s="240">
        <f>SUM(CF14:CF44)</f>
        <v>5871412.1619193871</v>
      </c>
      <c r="CG45" s="240">
        <f>SUM(CG14:CG44)</f>
        <v>56538625.57850568</v>
      </c>
    </row>
    <row r="46" spans="1:85" ht="12.75" customHeight="1" thickBot="1" x14ac:dyDescent="0.3">
      <c r="A46" s="478" t="s">
        <v>35</v>
      </c>
      <c r="B46" s="19" t="s">
        <v>36</v>
      </c>
      <c r="C46" s="20">
        <v>22</v>
      </c>
      <c r="D46" s="42">
        <v>2957226.5007306808</v>
      </c>
      <c r="E46" s="151"/>
      <c r="F46" s="175">
        <v>1915114.0768671127</v>
      </c>
      <c r="G46" s="87">
        <v>383603.42</v>
      </c>
      <c r="H46" s="110"/>
      <c r="I46" s="127"/>
      <c r="J46" s="110"/>
      <c r="K46" s="89">
        <v>723366.95</v>
      </c>
      <c r="L46" s="111"/>
      <c r="M46" s="153"/>
      <c r="N46" s="112"/>
      <c r="O46" s="92">
        <v>345218.57</v>
      </c>
      <c r="P46" s="113"/>
      <c r="Q46" s="94"/>
      <c r="R46" s="113"/>
      <c r="S46" s="176">
        <v>343113</v>
      </c>
      <c r="T46" s="177"/>
      <c r="U46" s="154"/>
      <c r="V46" s="178"/>
      <c r="W46" s="58">
        <v>288347.67</v>
      </c>
      <c r="X46" s="58">
        <v>0</v>
      </c>
      <c r="Y46" s="58"/>
      <c r="Z46" s="79"/>
      <c r="AA46" s="76">
        <v>301261.25000000006</v>
      </c>
      <c r="AB46" s="156">
        <v>0</v>
      </c>
      <c r="AC46" s="157"/>
      <c r="AD46" s="80"/>
      <c r="AE46" s="81">
        <v>418664.33</v>
      </c>
      <c r="AF46" s="63">
        <v>0</v>
      </c>
      <c r="AG46" s="158"/>
      <c r="AH46" s="82"/>
      <c r="AI46" s="176">
        <v>191547.63</v>
      </c>
      <c r="AJ46" s="154">
        <v>0</v>
      </c>
      <c r="AK46" s="154"/>
      <c r="AL46" s="178"/>
      <c r="AM46" s="49">
        <v>284788.3</v>
      </c>
      <c r="AN46" s="49">
        <v>0</v>
      </c>
      <c r="AO46" s="49"/>
      <c r="AP46" s="179"/>
      <c r="AQ46" s="159">
        <v>417455.78889137268</v>
      </c>
      <c r="AR46" s="204">
        <v>0</v>
      </c>
      <c r="AS46" s="204"/>
      <c r="AT46" s="204"/>
      <c r="AU46" s="216">
        <v>846640.63000000012</v>
      </c>
      <c r="AV46" s="216">
        <v>0</v>
      </c>
      <c r="AW46" s="216"/>
      <c r="AX46" s="216"/>
      <c r="AY46" s="134">
        <v>696982</v>
      </c>
      <c r="AZ46" s="134">
        <v>0</v>
      </c>
      <c r="BA46" s="134"/>
      <c r="BB46" s="134"/>
      <c r="BC46" s="149">
        <v>611593.03</v>
      </c>
      <c r="BD46" s="141"/>
      <c r="BE46" s="141"/>
      <c r="BF46" s="141"/>
      <c r="BG46" s="256"/>
      <c r="BH46" s="256"/>
      <c r="BI46" s="256"/>
      <c r="BJ46" s="230">
        <v>717101.01</v>
      </c>
      <c r="BK46" s="230"/>
      <c r="BL46" s="230"/>
      <c r="BM46" s="230"/>
      <c r="BN46" s="26">
        <f>IF(D46=0,0,2001-(D46-F46)*C46/D46)</f>
        <v>1993.2473056022818</v>
      </c>
      <c r="BO46" s="48">
        <f>IF((1-($CE$2-$BN46)/$C46)&gt;0,(1-($CE$2-$BN46)/$C46),0)</f>
        <v>1.1241163740082438E-2</v>
      </c>
      <c r="BP46" s="43">
        <f>IF((1-($CE$2-G$2)/$C46)&gt;0,(1-($CE$2-G$2)/$C46),0)</f>
        <v>0.40909090909090906</v>
      </c>
      <c r="BQ46" s="43">
        <f>IF((1-($CE$2-K$2)/$C46)&gt;0,(1-($CE$2-K$2)/$C46),0)</f>
        <v>0.45454545454545459</v>
      </c>
      <c r="BR46" s="43">
        <f>IF((1-($CE$2-O$2)/$C46)&gt;0,(1-($CE$2-O$2)/$C46),0)</f>
        <v>0.5</v>
      </c>
      <c r="BS46" s="43">
        <f>IF((1-($CE$2-S$2)/$C46)&gt;0,(1-($CE$2-S$2)/$C46),0)</f>
        <v>0.54545454545454541</v>
      </c>
      <c r="BT46" s="43">
        <f>IF((1-($CE$2-W$2)/$C46)&gt;0,(1-($CE$2-W$2)/$C46),0)</f>
        <v>0.59090909090909083</v>
      </c>
      <c r="BU46" s="43">
        <f>IF((1-($CE$2-AA$2)/$C46)&gt;0,(1-($CE$2-AA$2)/$C46),0)</f>
        <v>0.63636363636363635</v>
      </c>
      <c r="BV46" s="43">
        <f>IF((1-($CE$2-AE$2)/$C46)&gt;0,(1-($CE$2-AE$2)/$C46),0)</f>
        <v>0.68181818181818188</v>
      </c>
      <c r="BW46" s="43">
        <f>IF((1-($CE$2-AI$2)/$C46)&gt;0,(1-($CE$2-AI$2)/$C46),0)</f>
        <v>0.72727272727272729</v>
      </c>
      <c r="BX46" s="43">
        <f>IF((1-($CE$2-AM$2)/$C46)&gt;0,(1-($CE$2-AM$2)/$C46),0)</f>
        <v>0.77272727272727271</v>
      </c>
      <c r="BY46" s="43">
        <f>IF((1-($CE$2-AQ$2)/$C46)&gt;0,(1-($CE$2-AQ$2)/$C46),0)</f>
        <v>0.81818181818181812</v>
      </c>
      <c r="BZ46" s="43">
        <f>IF((1-($CE$2-AU$2)/$C46)&gt;0,(1-($CE$2-AU$2)/$C46),0)</f>
        <v>0.86363636363636365</v>
      </c>
      <c r="CA46" s="43">
        <f>IF((1-($CE$2-AY$2)/$C46)&gt;0,(1-($CE$2-AY$2)/$C46),0)</f>
        <v>0.90909090909090906</v>
      </c>
      <c r="CB46" s="43">
        <f>IF((1-($CE$2-BC$2)/$C46)&gt;0,(1-($CE$2-BC$2)/$C46),0)</f>
        <v>0.95454545454545459</v>
      </c>
      <c r="CC46" s="43">
        <f>IF(BG46=0,0,1-($CE$2-(2014.5-(BG46-BI46)*C46/BG46))/C46)</f>
        <v>0</v>
      </c>
      <c r="CD46" s="43">
        <f>IF((1-($CE$2-BJ$2)/$C46)&gt;0,(1-($CE$2-BJ$2)/$C46),0)</f>
        <v>1</v>
      </c>
      <c r="CE46" s="239">
        <f>D46-E46+(G46-I46)*G$62+(K46-M46)*K$62+(O46-Q46)*O$62+(S46-U46)*S$62+(W46-Y46)*W$62+(AA46-AC46)*AA$62+(AE46-AG46)*AE$62+(AI46-AK46)*AI$62+(AM46-AO46)*AM$62+(AQ46-AR46)*$AQ$62+(AU46-AV46)*$AU$62+(AY46-AZ46)*$AY$62+(BC46-BD46)*$BC$62+BG46+(BJ46-BL46)*$BJ$62</f>
        <v>9298055.0052220542</v>
      </c>
      <c r="CF46" s="239">
        <f>CE46-(IF(BO46=0,0,D46-E46)+IF(BP46=0,0,(G46-I46)*G$62)+IF(BQ46=0,0,(K46-M46)*K$62)+IF(BR46=0,0,(O46-Q46)*O$62)+IF(BS46=0,0,(S46-U46)*S$62)+IF(BT46=0,0,(W46-Y46)*W$62)+IF(BU46=0,0,(AA46-AC46)*AA$62)+IF(BV46=0,0,(AE46-AG46)*AE$62)+IF(BW46=0,0,(AI46-AK46)*AI$62)+IF(BX46=0,0,(AM46-AO46)*AM$62)+IF(BY46=0,0,(AQ46-AS46)*$AQ$62)+IF(BZ46=0,0,(AU46-AW46)*$AU$62)+IF(CA46=0,0,(AY46-BA46)*$AY$62)+IF(CB46=0,0,(BC46-BE46)*$BC$62)+IF(CC46=0,0,BG46)+IF(CD46=0,0,(BJ46-BL46)*$BC$62))</f>
        <v>0</v>
      </c>
      <c r="CG46" s="239">
        <f>(D46-E46)*BO46+((G46-H46-(I46-J46))*G$62)*BP46+((K46-L46-(M46-N46))*K$62)*BQ46+((O46-P46-(Q46-R46))*O$62)*BR46+((S46-T46-(U46-V46))*S$62)*BS46+((W46-X46-(Y46-Z46))*W$62)*BT46+((AA46-AB46-(AC46-AD46))*AA$62)*BU46+((AE46-AF46-(AG46-AH46))*AE$62)*BV46+((AI46-AJ46-(AK46-AL46))*AI$62)*BW46+((AM46-AN46)*BX46-(AO46-AP46))*$AM$62+((AQ46-AR46)*BY46-(AS46-AT46))*$AQ$62+((AU46-AV46)*BZ46-(AW46-AX46))*$AU$62+((AY46-AZ46)*CA46-(BA46-BB46))*$AY$62+((BC46-BD46)*CB46-(BF46-BN46))*$BC$62+(BG46-BH46)*CC46+((BJ46-BK46)*CD46-(BL46-BM46))*$BC$62</f>
        <v>4701673.7710610265</v>
      </c>
    </row>
    <row r="47" spans="1:85" s="1" customFormat="1" ht="12.75" customHeight="1" thickBot="1" x14ac:dyDescent="0.35">
      <c r="A47" s="480"/>
      <c r="B47" s="13" t="s">
        <v>37</v>
      </c>
      <c r="C47" s="18"/>
      <c r="D47" s="38">
        <v>2957226.5007306808</v>
      </c>
      <c r="E47" s="38"/>
      <c r="F47" s="38">
        <v>1915114.0768671127</v>
      </c>
      <c r="G47" s="67">
        <v>383603.42</v>
      </c>
      <c r="H47" s="67">
        <v>0</v>
      </c>
      <c r="I47" s="67"/>
      <c r="J47" s="67"/>
      <c r="K47" s="116">
        <v>723366.95</v>
      </c>
      <c r="L47" s="116">
        <v>0</v>
      </c>
      <c r="M47" s="116"/>
      <c r="N47" s="116"/>
      <c r="O47" s="68">
        <v>345218.57</v>
      </c>
      <c r="P47" s="68">
        <v>0</v>
      </c>
      <c r="Q47" s="68"/>
      <c r="R47" s="68"/>
      <c r="S47" s="120">
        <v>343113</v>
      </c>
      <c r="T47" s="121">
        <v>0</v>
      </c>
      <c r="U47" s="121"/>
      <c r="V47" s="122"/>
      <c r="W47" s="67">
        <v>288347.67</v>
      </c>
      <c r="X47" s="67">
        <v>0</v>
      </c>
      <c r="Y47" s="67"/>
      <c r="Z47" s="67"/>
      <c r="AA47" s="116">
        <v>301261.25000000006</v>
      </c>
      <c r="AB47" s="116">
        <v>0</v>
      </c>
      <c r="AC47" s="116"/>
      <c r="AD47" s="116"/>
      <c r="AE47" s="68">
        <v>418664.33</v>
      </c>
      <c r="AF47" s="68">
        <v>0</v>
      </c>
      <c r="AG47" s="68"/>
      <c r="AH47" s="117"/>
      <c r="AI47" s="120">
        <v>191547.63</v>
      </c>
      <c r="AJ47" s="121">
        <v>0</v>
      </c>
      <c r="AK47" s="121"/>
      <c r="AL47" s="122"/>
      <c r="AM47" s="52">
        <v>284788.3</v>
      </c>
      <c r="AN47" s="52">
        <v>0</v>
      </c>
      <c r="AO47" s="52"/>
      <c r="AP47" s="52"/>
      <c r="AQ47" s="208">
        <v>417455.78889137268</v>
      </c>
      <c r="AR47" s="203">
        <v>0</v>
      </c>
      <c r="AS47" s="203"/>
      <c r="AT47" s="203"/>
      <c r="AU47" s="215">
        <v>846640.63000000012</v>
      </c>
      <c r="AV47" s="215">
        <v>0</v>
      </c>
      <c r="AW47" s="215"/>
      <c r="AX47" s="215"/>
      <c r="AY47" s="133">
        <v>696982</v>
      </c>
      <c r="AZ47" s="133">
        <v>0</v>
      </c>
      <c r="BA47" s="133"/>
      <c r="BB47" s="133"/>
      <c r="BC47" s="148">
        <f>+BC46</f>
        <v>611593.03</v>
      </c>
      <c r="BD47" s="140"/>
      <c r="BE47" s="140"/>
      <c r="BF47" s="140"/>
      <c r="BG47" s="255">
        <f>+BG46</f>
        <v>0</v>
      </c>
      <c r="BH47" s="255">
        <f>+BH46</f>
        <v>0</v>
      </c>
      <c r="BI47" s="255">
        <f>+BI46</f>
        <v>0</v>
      </c>
      <c r="BJ47" s="229">
        <f>+BJ46</f>
        <v>717101.01</v>
      </c>
      <c r="BK47" s="229">
        <f>+BK46</f>
        <v>0</v>
      </c>
      <c r="BL47" s="229"/>
      <c r="BM47" s="229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240">
        <f>CE46</f>
        <v>9298055.0052220542</v>
      </c>
      <c r="CF47" s="240">
        <f>CF46</f>
        <v>0</v>
      </c>
      <c r="CG47" s="240">
        <f>CG46</f>
        <v>4701673.7710610265</v>
      </c>
    </row>
    <row r="48" spans="1:85" ht="12.75" customHeight="1" x14ac:dyDescent="0.25">
      <c r="A48" s="478" t="s">
        <v>38</v>
      </c>
      <c r="B48" s="27" t="s">
        <v>17</v>
      </c>
      <c r="C48" s="12">
        <v>4</v>
      </c>
      <c r="D48" s="39">
        <v>0</v>
      </c>
      <c r="E48" s="151"/>
      <c r="F48" s="180">
        <v>0</v>
      </c>
      <c r="G48" s="87">
        <v>0</v>
      </c>
      <c r="H48" s="100"/>
      <c r="I48" s="127"/>
      <c r="J48" s="100"/>
      <c r="K48" s="89">
        <v>0</v>
      </c>
      <c r="L48" s="101"/>
      <c r="M48" s="153"/>
      <c r="N48" s="102"/>
      <c r="O48" s="92">
        <v>0</v>
      </c>
      <c r="P48" s="103"/>
      <c r="Q48" s="94"/>
      <c r="R48" s="103"/>
      <c r="S48" s="166">
        <v>0</v>
      </c>
      <c r="T48" s="181"/>
      <c r="U48" s="154"/>
      <c r="V48" s="167"/>
      <c r="W48" s="58">
        <v>0</v>
      </c>
      <c r="X48" s="58">
        <v>0</v>
      </c>
      <c r="Y48" s="58"/>
      <c r="Z48" s="69"/>
      <c r="AA48" s="76">
        <v>0</v>
      </c>
      <c r="AB48" s="156">
        <v>0</v>
      </c>
      <c r="AC48" s="157"/>
      <c r="AD48" s="71"/>
      <c r="AE48" s="63">
        <v>0</v>
      </c>
      <c r="AF48" s="63">
        <v>0</v>
      </c>
      <c r="AG48" s="158"/>
      <c r="AH48" s="72"/>
      <c r="AI48" s="166">
        <v>0</v>
      </c>
      <c r="AJ48" s="154">
        <v>0</v>
      </c>
      <c r="AK48" s="154"/>
      <c r="AL48" s="167"/>
      <c r="AM48" s="49">
        <v>0</v>
      </c>
      <c r="AN48" s="49">
        <v>0</v>
      </c>
      <c r="AO48" s="49"/>
      <c r="AP48" s="182"/>
      <c r="AQ48" s="159">
        <v>0</v>
      </c>
      <c r="AR48" s="201">
        <v>0</v>
      </c>
      <c r="AS48" s="201"/>
      <c r="AT48" s="201"/>
      <c r="AU48" s="213">
        <v>0</v>
      </c>
      <c r="AV48" s="213">
        <v>0</v>
      </c>
      <c r="AW48" s="213"/>
      <c r="AX48" s="213"/>
      <c r="AY48" s="132">
        <v>0</v>
      </c>
      <c r="AZ48" s="132">
        <v>0</v>
      </c>
      <c r="BA48" s="132"/>
      <c r="BB48" s="132"/>
      <c r="BC48" s="146"/>
      <c r="BD48" s="139"/>
      <c r="BE48" s="139"/>
      <c r="BF48" s="139"/>
      <c r="BG48" s="257"/>
      <c r="BH48" s="257"/>
      <c r="BI48" s="257"/>
      <c r="BJ48" s="231"/>
      <c r="BK48" s="231"/>
      <c r="BL48" s="231"/>
      <c r="BM48" s="231"/>
      <c r="BN48" s="26">
        <f t="shared" ref="BN48:BN57" si="60">IF(D48=0,0,2001-(D48-F48)*C48/D48)</f>
        <v>0</v>
      </c>
      <c r="BO48" s="46">
        <f t="shared" ref="BO48:BO57" si="61">IF((1-($CE$2-$BN48)/$C48)&gt;0,(1-($CE$2-$BN48)/$C48),0)</f>
        <v>0</v>
      </c>
      <c r="BP48" s="43">
        <f t="shared" ref="BP48:BP57" si="62">IF((1-($CE$2-G$2)/$C48)&gt;0,(1-($CE$2-G$2)/$C48),0)</f>
        <v>0</v>
      </c>
      <c r="BQ48" s="43">
        <f t="shared" ref="BQ48:BQ57" si="63">IF((1-($CE$2-K$2)/$C48)&gt;0,(1-($CE$2-K$2)/$C48),0)</f>
        <v>0</v>
      </c>
      <c r="BR48" s="43">
        <f t="shared" ref="BR48:BR57" si="64">IF((1-($CE$2-O$2)/$C48)&gt;0,(1-($CE$2-O$2)/$C48),0)</f>
        <v>0</v>
      </c>
      <c r="BS48" s="43">
        <f t="shared" ref="BS48:BS57" si="65">IF((1-($CE$2-S$2)/$C48)&gt;0,(1-($CE$2-S$2)/$C48),0)</f>
        <v>0</v>
      </c>
      <c r="BT48" s="43">
        <f t="shared" ref="BT48:BT57" si="66">IF((1-($CE$2-W$2)/$C48)&gt;0,(1-($CE$2-W$2)/$C48),0)</f>
        <v>0</v>
      </c>
      <c r="BU48" s="43">
        <f t="shared" ref="BU48:BU57" si="67">IF((1-($CE$2-AA$2)/$C48)&gt;0,(1-($CE$2-AA$2)/$C48),0)</f>
        <v>0</v>
      </c>
      <c r="BV48" s="43">
        <f t="shared" ref="BV48:BV57" si="68">IF((1-($CE$2-AE$2)/$C48)&gt;0,(1-($CE$2-AE$2)/$C48),0)</f>
        <v>0</v>
      </c>
      <c r="BW48" s="43">
        <f t="shared" ref="BW48:BW57" si="69">IF((1-($CE$2-AI$2)/$C48)&gt;0,(1-($CE$2-AI$2)/$C48),0)</f>
        <v>0</v>
      </c>
      <c r="BX48" s="43">
        <f t="shared" ref="BX48:BX57" si="70">IF((1-($CE$2-AM$2)/$C48)&gt;0,(1-($CE$2-AM$2)/$C48),0)</f>
        <v>0</v>
      </c>
      <c r="BY48" s="43">
        <f t="shared" ref="BY48:BY57" si="71">IF((1-($CE$2-AQ$2)/$C48)&gt;0,(1-($CE$2-AQ$2)/$C48),0)</f>
        <v>0</v>
      </c>
      <c r="BZ48" s="43">
        <f t="shared" ref="BZ48:BZ57" si="72">IF((1-($CE$2-AU$2)/$C48)&gt;0,(1-($CE$2-AU$2)/$C48),0)</f>
        <v>0.25</v>
      </c>
      <c r="CA48" s="43">
        <f t="shared" ref="CA48:CA57" si="73">IF((1-($CE$2-AY$2)/$C48)&gt;0,(1-($CE$2-AY$2)/$C48),0)</f>
        <v>0.5</v>
      </c>
      <c r="CB48" s="43">
        <f t="shared" ref="CB48:CB57" si="74">IF((1-($CE$2-BC$2)/$C48)&gt;0,(1-($CE$2-BC$2)/$C48),0)</f>
        <v>0.75</v>
      </c>
      <c r="CC48" s="43">
        <f t="shared" ref="CC48:CC57" si="75">IF(BG48=0,0,1-($CE$2-(2014.5-(BG48-BI48)*C48/BG48))/C48)</f>
        <v>0</v>
      </c>
      <c r="CD48" s="43">
        <f t="shared" ref="CD48:CD57" si="76">IF((1-($CE$2-BJ$2)/$C48)&gt;0,(1-($CE$2-BJ$2)/$C48),0)</f>
        <v>1</v>
      </c>
      <c r="CE48" s="239">
        <f>D48-E48+(G48-I48)*G$63+(K48-M48)*K$63+(O48-Q48)*O$63+(S48-U48)*S$63+(W48-Y48)*W$63+(AA48-AC48)*AA$63+(AE48-AG48)*AE$63+(AI48-AK48)*AI$63+(AM48-AO48)*AM$63+(AQ48-AS48)*$AQ$63+(AU48-AW48)*$AU$63+(AY48-BA48)*$AY$63+(BC48-BE48)*$BC$63+BG48+(BJ48-BL48)*$BJ$63</f>
        <v>0</v>
      </c>
      <c r="CF48" s="239">
        <f>CE48-(IF(BO48=0,0,D48-E48)+IF(BP48=0,0,(G48-I48)*G$63)+IF(BQ48=0,0,(K48-M48)*K$63)+IF(BR48=0,0,(O48-Q48)*O$63)+IF(BS48=0,0,(S48-U48)*S$63)+IF(BT48=0,0,(W48-Y48)*W$63)+IF(BU48=0,0,(AA48-AC48)*AA$63)+IF(BV48=0,0,(AE48-AG48)*AE$63)+IF(BW48=0,0,(AI48-AK48)*AI$63)+IF(BX48=0,0,(AM48-AO48)*AM$63)+IF(BY48=0,0,(AQ48-AS48)*$AQ$63)+IF(BZ48=0,0,(AU48-AW48)*$AU$63)+IF(CA48=0,0,(AY48-BA48)*$AY$63)+IF(CB48=0,0,(BC48-BE48)*$BC$63)+IF(CC48=0,0,BG48)+IF(CD48=0,0,(BJ48-BL48)*$BC$63))</f>
        <v>0</v>
      </c>
      <c r="CG48" s="239">
        <f>(D48-E48)*BO48+((G48-H48-(I48-J48))*G$63)*BP48+((K48-L48-(M48-N48))*K$63)*BQ48+((O48-P48-(Q48-R48))*O$63)*BR48+((S48-T48-(U48-V48))*S$63)*BS48+((W48-X48-(Y48-Z48))*W$63)*BT48+((AA48-AB48-(AC48-AD48))*AA$63)*BU48+((AE48-AF48-(AG48-AH48))*AE$63)*BV48+((AI48-AJ48-(AK48-AL48))*AI$63)*BW48+((AM48-AN48)*BX48-(AO48-AP48))*$AM$63+((AQ48-AR48)*BY48-(AS48-AT48))*$AQ$63+((AU48-AV48)*BZ48-(AW48-AX48))*$AU$63+((AY48-AZ48)*CA48-(BA48-BB48))*$AY$63+((BC48-BD48)*CB48-(BF48-BN48))*$BC$63+(BG48-BH48)*CC48+((BJ48-BK48)*CD48-(BL48-BM48))*$BC$63</f>
        <v>0</v>
      </c>
    </row>
    <row r="49" spans="1:85" ht="12.75" customHeight="1" x14ac:dyDescent="0.25">
      <c r="A49" s="479"/>
      <c r="B49" s="28" t="s">
        <v>39</v>
      </c>
      <c r="C49" s="17">
        <v>1000</v>
      </c>
      <c r="D49" s="37">
        <v>0</v>
      </c>
      <c r="E49" s="151"/>
      <c r="F49" s="160">
        <v>0</v>
      </c>
      <c r="G49" s="87">
        <v>0</v>
      </c>
      <c r="H49" s="88"/>
      <c r="I49" s="127"/>
      <c r="J49" s="88"/>
      <c r="K49" s="89">
        <v>0</v>
      </c>
      <c r="L49" s="90"/>
      <c r="M49" s="153"/>
      <c r="N49" s="91"/>
      <c r="O49" s="95">
        <v>0</v>
      </c>
      <c r="P49" s="93"/>
      <c r="Q49" s="94"/>
      <c r="R49" s="93"/>
      <c r="S49" s="154">
        <v>0</v>
      </c>
      <c r="T49" s="183"/>
      <c r="U49" s="154"/>
      <c r="V49" s="155"/>
      <c r="W49" s="58">
        <v>0</v>
      </c>
      <c r="X49" s="58">
        <v>0</v>
      </c>
      <c r="Y49" s="58"/>
      <c r="Z49" s="59"/>
      <c r="AA49" s="76">
        <v>0</v>
      </c>
      <c r="AB49" s="156">
        <v>0</v>
      </c>
      <c r="AC49" s="157"/>
      <c r="AD49" s="61"/>
      <c r="AE49" s="63">
        <v>0</v>
      </c>
      <c r="AF49" s="63">
        <v>0</v>
      </c>
      <c r="AG49" s="158"/>
      <c r="AH49" s="62"/>
      <c r="AI49" s="154">
        <v>0</v>
      </c>
      <c r="AJ49" s="154">
        <v>0</v>
      </c>
      <c r="AK49" s="154"/>
      <c r="AL49" s="155"/>
      <c r="AM49" s="49">
        <v>0</v>
      </c>
      <c r="AN49" s="49">
        <v>0</v>
      </c>
      <c r="AO49" s="49"/>
      <c r="AP49" s="184"/>
      <c r="AQ49" s="159">
        <v>0</v>
      </c>
      <c r="AR49" s="198">
        <v>0</v>
      </c>
      <c r="AS49" s="198"/>
      <c r="AT49" s="198"/>
      <c r="AU49" s="210">
        <v>0</v>
      </c>
      <c r="AV49" s="210">
        <v>0</v>
      </c>
      <c r="AW49" s="210"/>
      <c r="AX49" s="210"/>
      <c r="AY49" s="129">
        <v>0</v>
      </c>
      <c r="AZ49" s="129">
        <v>0</v>
      </c>
      <c r="BA49" s="129"/>
      <c r="BB49" s="129"/>
      <c r="BC49" s="146"/>
      <c r="BD49" s="136"/>
      <c r="BE49" s="136"/>
      <c r="BF49" s="136"/>
      <c r="BG49" s="252"/>
      <c r="BH49" s="252"/>
      <c r="BI49" s="252"/>
      <c r="BJ49" s="226"/>
      <c r="BK49" s="226"/>
      <c r="BL49" s="226"/>
      <c r="BM49" s="226"/>
      <c r="BN49" s="26">
        <f t="shared" si="60"/>
        <v>0</v>
      </c>
      <c r="BO49" s="46">
        <f t="shared" si="61"/>
        <v>0</v>
      </c>
      <c r="BP49" s="43">
        <f t="shared" si="62"/>
        <v>0.98699999999999999</v>
      </c>
      <c r="BQ49" s="43">
        <f t="shared" si="63"/>
        <v>0.98799999999999999</v>
      </c>
      <c r="BR49" s="43">
        <f t="shared" si="64"/>
        <v>0.98899999999999999</v>
      </c>
      <c r="BS49" s="43">
        <f t="shared" si="65"/>
        <v>0.99</v>
      </c>
      <c r="BT49" s="43">
        <f t="shared" si="66"/>
        <v>0.99099999999999999</v>
      </c>
      <c r="BU49" s="43">
        <f t="shared" si="67"/>
        <v>0.99199999999999999</v>
      </c>
      <c r="BV49" s="43">
        <f t="shared" si="68"/>
        <v>0.99299999999999999</v>
      </c>
      <c r="BW49" s="43">
        <f t="shared" si="69"/>
        <v>0.99399999999999999</v>
      </c>
      <c r="BX49" s="43">
        <f t="shared" si="70"/>
        <v>0.995</v>
      </c>
      <c r="BY49" s="43">
        <f t="shared" si="71"/>
        <v>0.996</v>
      </c>
      <c r="BZ49" s="43">
        <f t="shared" si="72"/>
        <v>0.997</v>
      </c>
      <c r="CA49" s="43">
        <f t="shared" si="73"/>
        <v>0.998</v>
      </c>
      <c r="CB49" s="43">
        <f t="shared" si="74"/>
        <v>0.999</v>
      </c>
      <c r="CC49" s="43">
        <f t="shared" si="75"/>
        <v>0</v>
      </c>
      <c r="CD49" s="43">
        <f t="shared" si="76"/>
        <v>1</v>
      </c>
      <c r="CE49" s="239">
        <f t="shared" ref="CE49:CE57" si="77">D49-E49+(G49-I49)*G$63+(K49-M49)*K$63+(O49-Q49)*O$63+(S49-U49)*S$63+(W49-Y49)*W$63+(AA49-AC49)*AA$63+(AE49-AG49)*AE$63+(AI49-AK49)*AI$63+(AM49-AO49)*AM$63+(AQ49-AS49)*$AQ$63+(AU49-AW49)*$AU$63+(AY49-BA49)*$AY$63+(BC49-BE49)*$BC$63+BG49+(BJ49-BL49)*$BJ$63</f>
        <v>0</v>
      </c>
      <c r="CF49" s="239">
        <f t="shared" ref="CF49:CF57" si="78">CE49-(IF(BO49=0,0,D49-E49)+IF(BP49=0,0,(G49-I49)*G$63)+IF(BQ49=0,0,(K49-M49)*K$63)+IF(BR49=0,0,(O49-Q49)*O$63)+IF(BS49=0,0,(S49-U49)*S$63)+IF(BT49=0,0,(W49-Y49)*W$63)+IF(BU49=0,0,(AA49-AC49)*AA$63)+IF(BV49=0,0,(AE49-AG49)*AE$63)+IF(BW49=0,0,(AI49-AK49)*AI$63)+IF(BX49=0,0,(AM49-AO49)*AM$63)+IF(BY49=0,0,(AQ49-AS49)*$AQ$63)+IF(BZ49=0,0,(AU49-AW49)*$AU$63)+IF(CA49=0,0,(AY49-BA49)*$AY$63)+IF(CB49=0,0,(BC49-BE49)*$BC$63)+IF(CC49=0,0,BG49)+IF(CD49=0,0,(BJ49-BL49)*$BC$63))</f>
        <v>0</v>
      </c>
      <c r="CG49" s="239">
        <f t="shared" ref="CG49:CG57" si="79">(D49-E49)*BO49+((G49-H49-(I49-J49))*G$63)*BP49+((K49-L49-(M49-N49))*K$63)*BQ49+((O49-P49-(Q49-R49))*O$63)*BR49+((S49-T49-(U49-V49))*S$63)*BS49+((W49-X49-(Y49-Z49))*W$63)*BT49+((AA49-AB49-(AC49-AD49))*AA$63)*BU49+((AE49-AF49-(AG49-AH49))*AE$63)*BV49+((AI49-AJ49-(AK49-AL49))*AI$63)*BW49+((AM49-AN49)*BX49-(AO49-AP49))*$AM$63+((AQ49-AR49)*BY49-(AS49-AT49))*$AQ$63+((AU49-AV49)*BZ49-(AW49-AX49))*$AU$63+((AY49-AZ49)*CA49-(BA49-BB49))*$AY$63+((BC49-BD49)*CB49-(BF49-BN49))*$BC$63+(BG49-BH49)*CC49+((BJ49-BK49)*CD49-(BL49-BM49))*$BC$63</f>
        <v>0</v>
      </c>
    </row>
    <row r="50" spans="1:85" ht="12.75" customHeight="1" x14ac:dyDescent="0.25">
      <c r="A50" s="479"/>
      <c r="B50" s="28" t="s">
        <v>9</v>
      </c>
      <c r="C50" s="7">
        <v>40</v>
      </c>
      <c r="D50" s="37">
        <v>1075230.2047875901</v>
      </c>
      <c r="E50" s="151"/>
      <c r="F50" s="152">
        <v>828035.68623603997</v>
      </c>
      <c r="G50" s="87">
        <v>0</v>
      </c>
      <c r="H50" s="88"/>
      <c r="I50" s="127"/>
      <c r="J50" s="88"/>
      <c r="K50" s="89">
        <v>0</v>
      </c>
      <c r="L50" s="90"/>
      <c r="M50" s="153"/>
      <c r="N50" s="91"/>
      <c r="O50" s="95">
        <v>0</v>
      </c>
      <c r="P50" s="93"/>
      <c r="Q50" s="94"/>
      <c r="R50" s="93"/>
      <c r="S50" s="154">
        <v>0</v>
      </c>
      <c r="T50" s="183"/>
      <c r="U50" s="154"/>
      <c r="V50" s="155"/>
      <c r="W50" s="58">
        <v>0</v>
      </c>
      <c r="X50" s="58">
        <v>0</v>
      </c>
      <c r="Y50" s="58"/>
      <c r="Z50" s="59"/>
      <c r="AA50" s="76">
        <v>26826.639999999999</v>
      </c>
      <c r="AB50" s="156">
        <v>0</v>
      </c>
      <c r="AC50" s="157"/>
      <c r="AD50" s="61"/>
      <c r="AE50" s="63">
        <v>0</v>
      </c>
      <c r="AF50" s="63">
        <v>0</v>
      </c>
      <c r="AG50" s="158"/>
      <c r="AH50" s="62"/>
      <c r="AI50" s="154">
        <v>0</v>
      </c>
      <c r="AJ50" s="154">
        <v>0</v>
      </c>
      <c r="AK50" s="154"/>
      <c r="AL50" s="155"/>
      <c r="AM50" s="49">
        <v>0</v>
      </c>
      <c r="AN50" s="49">
        <v>0</v>
      </c>
      <c r="AO50" s="49"/>
      <c r="AP50" s="184"/>
      <c r="AQ50" s="159">
        <v>0</v>
      </c>
      <c r="AR50" s="198">
        <v>0</v>
      </c>
      <c r="AS50" s="198"/>
      <c r="AT50" s="198"/>
      <c r="AU50" s="210">
        <v>0</v>
      </c>
      <c r="AV50" s="210">
        <v>0</v>
      </c>
      <c r="AW50" s="210"/>
      <c r="AX50" s="210"/>
      <c r="AY50" s="129">
        <v>0</v>
      </c>
      <c r="AZ50" s="129">
        <v>0</v>
      </c>
      <c r="BA50" s="129"/>
      <c r="BB50" s="129"/>
      <c r="BC50" s="146"/>
      <c r="BD50" s="136"/>
      <c r="BE50" s="136"/>
      <c r="BF50" s="136"/>
      <c r="BG50" s="252"/>
      <c r="BH50" s="252"/>
      <c r="BI50" s="252"/>
      <c r="BJ50" s="226"/>
      <c r="BK50" s="226"/>
      <c r="BL50" s="226"/>
      <c r="BM50" s="226"/>
      <c r="BN50" s="26">
        <f t="shared" si="60"/>
        <v>1991.8040336868928</v>
      </c>
      <c r="BO50" s="43">
        <f t="shared" si="61"/>
        <v>0.42010084217232024</v>
      </c>
      <c r="BP50" s="43">
        <f t="shared" si="62"/>
        <v>0.67500000000000004</v>
      </c>
      <c r="BQ50" s="43">
        <f t="shared" si="63"/>
        <v>0.7</v>
      </c>
      <c r="BR50" s="43">
        <f t="shared" si="64"/>
        <v>0.72499999999999998</v>
      </c>
      <c r="BS50" s="43">
        <f t="shared" si="65"/>
        <v>0.75</v>
      </c>
      <c r="BT50" s="43">
        <f t="shared" si="66"/>
        <v>0.77500000000000002</v>
      </c>
      <c r="BU50" s="43">
        <f t="shared" si="67"/>
        <v>0.8</v>
      </c>
      <c r="BV50" s="43">
        <f t="shared" si="68"/>
        <v>0.82499999999999996</v>
      </c>
      <c r="BW50" s="43">
        <f t="shared" si="69"/>
        <v>0.85</v>
      </c>
      <c r="BX50" s="43">
        <f t="shared" si="70"/>
        <v>0.875</v>
      </c>
      <c r="BY50" s="43">
        <f t="shared" si="71"/>
        <v>0.9</v>
      </c>
      <c r="BZ50" s="43">
        <f t="shared" si="72"/>
        <v>0.92500000000000004</v>
      </c>
      <c r="CA50" s="43">
        <f t="shared" si="73"/>
        <v>0.95</v>
      </c>
      <c r="CB50" s="43">
        <f t="shared" si="74"/>
        <v>0.97499999999999998</v>
      </c>
      <c r="CC50" s="43">
        <f t="shared" si="75"/>
        <v>0</v>
      </c>
      <c r="CD50" s="43">
        <f t="shared" si="76"/>
        <v>1</v>
      </c>
      <c r="CE50" s="239">
        <f t="shared" si="77"/>
        <v>1094161.605459783</v>
      </c>
      <c r="CF50" s="239">
        <f t="shared" si="78"/>
        <v>0</v>
      </c>
      <c r="CG50" s="239">
        <f t="shared" si="79"/>
        <v>468642.85872845561</v>
      </c>
    </row>
    <row r="51" spans="1:85" ht="12.75" customHeight="1" x14ac:dyDescent="0.25">
      <c r="A51" s="479"/>
      <c r="B51" s="28" t="s">
        <v>40</v>
      </c>
      <c r="C51" s="7">
        <v>22</v>
      </c>
      <c r="D51" s="37">
        <v>4570414.9220673665</v>
      </c>
      <c r="E51" s="151"/>
      <c r="F51" s="152">
        <v>3249798.252767378</v>
      </c>
      <c r="G51" s="87">
        <v>385845.48</v>
      </c>
      <c r="H51" s="88"/>
      <c r="I51" s="127"/>
      <c r="J51" s="88"/>
      <c r="K51" s="89">
        <v>452747.86</v>
      </c>
      <c r="L51" s="90"/>
      <c r="M51" s="153"/>
      <c r="N51" s="91"/>
      <c r="O51" s="95">
        <v>370817.32</v>
      </c>
      <c r="P51" s="93"/>
      <c r="Q51" s="94"/>
      <c r="R51" s="93"/>
      <c r="S51" s="154">
        <v>396757.73</v>
      </c>
      <c r="T51" s="183"/>
      <c r="U51" s="154"/>
      <c r="V51" s="155"/>
      <c r="W51" s="58">
        <v>291785.66999999993</v>
      </c>
      <c r="X51" s="58">
        <v>0</v>
      </c>
      <c r="Y51" s="58"/>
      <c r="Z51" s="59"/>
      <c r="AA51" s="76">
        <v>444306.60000000003</v>
      </c>
      <c r="AB51" s="156">
        <v>0</v>
      </c>
      <c r="AC51" s="157"/>
      <c r="AD51" s="61"/>
      <c r="AE51" s="63">
        <v>641039</v>
      </c>
      <c r="AF51" s="63">
        <v>0</v>
      </c>
      <c r="AG51" s="158"/>
      <c r="AH51" s="62"/>
      <c r="AI51" s="154">
        <v>528906.63000000012</v>
      </c>
      <c r="AJ51" s="154">
        <v>0</v>
      </c>
      <c r="AK51" s="154"/>
      <c r="AL51" s="155"/>
      <c r="AM51" s="49">
        <v>421950.02999999991</v>
      </c>
      <c r="AN51" s="49">
        <v>0</v>
      </c>
      <c r="AO51" s="49"/>
      <c r="AP51" s="223"/>
      <c r="AQ51" s="159">
        <v>401723.83</v>
      </c>
      <c r="AR51" s="198">
        <v>0</v>
      </c>
      <c r="AS51" s="198"/>
      <c r="AT51" s="198"/>
      <c r="AU51" s="210">
        <v>401731.13</v>
      </c>
      <c r="AV51" s="210">
        <v>0</v>
      </c>
      <c r="AW51" s="210"/>
      <c r="AX51" s="210"/>
      <c r="AY51" s="129">
        <v>555885.05319699994</v>
      </c>
      <c r="AZ51" s="129">
        <v>0</v>
      </c>
      <c r="BA51" s="129"/>
      <c r="BB51" s="129"/>
      <c r="BC51" s="146">
        <v>660890.24999999988</v>
      </c>
      <c r="BD51" s="136"/>
      <c r="BE51" s="136"/>
      <c r="BF51" s="136"/>
      <c r="BG51" s="252">
        <f>+BH51</f>
        <v>265555</v>
      </c>
      <c r="BH51" s="252">
        <v>265555</v>
      </c>
      <c r="BI51" s="252">
        <v>173348.46</v>
      </c>
      <c r="BJ51" s="226">
        <v>682413</v>
      </c>
      <c r="BK51" s="226"/>
      <c r="BL51" s="226"/>
      <c r="BM51" s="226"/>
      <c r="BN51" s="26">
        <f t="shared" si="60"/>
        <v>1994.6431227317414</v>
      </c>
      <c r="BO51" s="43">
        <f t="shared" si="61"/>
        <v>7.4687396897337055E-2</v>
      </c>
      <c r="BP51" s="43">
        <f t="shared" si="62"/>
        <v>0.40909090909090906</v>
      </c>
      <c r="BQ51" s="43">
        <f t="shared" si="63"/>
        <v>0.45454545454545459</v>
      </c>
      <c r="BR51" s="43">
        <f t="shared" si="64"/>
        <v>0.5</v>
      </c>
      <c r="BS51" s="43">
        <f t="shared" si="65"/>
        <v>0.54545454545454541</v>
      </c>
      <c r="BT51" s="43">
        <f t="shared" si="66"/>
        <v>0.59090909090909083</v>
      </c>
      <c r="BU51" s="43">
        <f t="shared" si="67"/>
        <v>0.63636363636363635</v>
      </c>
      <c r="BV51" s="43">
        <f t="shared" si="68"/>
        <v>0.68181818181818188</v>
      </c>
      <c r="BW51" s="43">
        <f t="shared" si="69"/>
        <v>0.72727272727272729</v>
      </c>
      <c r="BX51" s="43">
        <f t="shared" si="70"/>
        <v>0.77272727272727271</v>
      </c>
      <c r="BY51" s="43">
        <f t="shared" si="71"/>
        <v>0.81818181818181812</v>
      </c>
      <c r="BZ51" s="43">
        <f t="shared" si="72"/>
        <v>0.86363636363636365</v>
      </c>
      <c r="CA51" s="43">
        <f t="shared" si="73"/>
        <v>0.90909090909090906</v>
      </c>
      <c r="CB51" s="43">
        <f t="shared" si="74"/>
        <v>0.95454545454545459</v>
      </c>
      <c r="CC51" s="43">
        <f t="shared" si="75"/>
        <v>0.63005072053212263</v>
      </c>
      <c r="CD51" s="43">
        <f t="shared" si="76"/>
        <v>1</v>
      </c>
      <c r="CE51" s="239">
        <f t="shared" si="77"/>
        <v>10094363.005811008</v>
      </c>
      <c r="CF51" s="239">
        <f t="shared" si="78"/>
        <v>0</v>
      </c>
      <c r="CG51" s="239">
        <f t="shared" si="79"/>
        <v>4188062.0042910334</v>
      </c>
    </row>
    <row r="52" spans="1:85" ht="12.75" customHeight="1" x14ac:dyDescent="0.25">
      <c r="A52" s="479"/>
      <c r="B52" s="28" t="s">
        <v>54</v>
      </c>
      <c r="C52" s="7">
        <v>22</v>
      </c>
      <c r="D52" s="37">
        <v>0</v>
      </c>
      <c r="E52" s="151"/>
      <c r="F52" s="152">
        <v>0</v>
      </c>
      <c r="G52" s="87">
        <v>0</v>
      </c>
      <c r="H52" s="88"/>
      <c r="I52" s="127"/>
      <c r="J52" s="88"/>
      <c r="K52" s="89">
        <v>0</v>
      </c>
      <c r="L52" s="90"/>
      <c r="M52" s="153"/>
      <c r="N52" s="91"/>
      <c r="O52" s="95">
        <v>0</v>
      </c>
      <c r="P52" s="93"/>
      <c r="Q52" s="94"/>
      <c r="R52" s="93"/>
      <c r="S52" s="154">
        <v>0</v>
      </c>
      <c r="T52" s="183"/>
      <c r="U52" s="154"/>
      <c r="V52" s="155"/>
      <c r="W52" s="58">
        <v>0</v>
      </c>
      <c r="X52" s="58">
        <v>0</v>
      </c>
      <c r="Y52" s="58"/>
      <c r="Z52" s="59"/>
      <c r="AA52" s="76">
        <v>0</v>
      </c>
      <c r="AB52" s="156">
        <v>0</v>
      </c>
      <c r="AC52" s="157"/>
      <c r="AD52" s="61"/>
      <c r="AE52" s="63">
        <v>0</v>
      </c>
      <c r="AF52" s="63">
        <v>0</v>
      </c>
      <c r="AG52" s="158"/>
      <c r="AH52" s="62"/>
      <c r="AI52" s="154">
        <v>0</v>
      </c>
      <c r="AJ52" s="154">
        <v>0</v>
      </c>
      <c r="AK52" s="154"/>
      <c r="AL52" s="155"/>
      <c r="AM52" s="49">
        <v>0</v>
      </c>
      <c r="AN52" s="49">
        <v>0</v>
      </c>
      <c r="AO52" s="49"/>
      <c r="AP52" s="184"/>
      <c r="AQ52" s="159">
        <v>0</v>
      </c>
      <c r="AR52" s="198">
        <v>0</v>
      </c>
      <c r="AS52" s="198"/>
      <c r="AT52" s="198"/>
      <c r="AU52" s="210">
        <v>0</v>
      </c>
      <c r="AV52" s="210">
        <v>0</v>
      </c>
      <c r="AW52" s="210"/>
      <c r="AX52" s="210"/>
      <c r="AY52" s="129">
        <v>0</v>
      </c>
      <c r="AZ52" s="129">
        <v>0</v>
      </c>
      <c r="BA52" s="129"/>
      <c r="BB52" s="129"/>
      <c r="BC52" s="146">
        <v>0</v>
      </c>
      <c r="BD52" s="136"/>
      <c r="BE52" s="136"/>
      <c r="BF52" s="136"/>
      <c r="BG52" s="252"/>
      <c r="BH52" s="252"/>
      <c r="BI52" s="252"/>
      <c r="BJ52" s="226">
        <v>0</v>
      </c>
      <c r="BK52" s="226"/>
      <c r="BL52" s="226"/>
      <c r="BM52" s="226"/>
      <c r="BN52" s="26">
        <f t="shared" si="60"/>
        <v>0</v>
      </c>
      <c r="BO52" s="43">
        <f t="shared" si="61"/>
        <v>0</v>
      </c>
      <c r="BP52" s="43">
        <f t="shared" si="62"/>
        <v>0.40909090909090906</v>
      </c>
      <c r="BQ52" s="43">
        <f t="shared" si="63"/>
        <v>0.45454545454545459</v>
      </c>
      <c r="BR52" s="43">
        <f t="shared" si="64"/>
        <v>0.5</v>
      </c>
      <c r="BS52" s="43">
        <f t="shared" si="65"/>
        <v>0.54545454545454541</v>
      </c>
      <c r="BT52" s="43">
        <f t="shared" si="66"/>
        <v>0.59090909090909083</v>
      </c>
      <c r="BU52" s="43">
        <f t="shared" si="67"/>
        <v>0.63636363636363635</v>
      </c>
      <c r="BV52" s="43">
        <f t="shared" si="68"/>
        <v>0.68181818181818188</v>
      </c>
      <c r="BW52" s="43">
        <f t="shared" si="69"/>
        <v>0.72727272727272729</v>
      </c>
      <c r="BX52" s="43">
        <f t="shared" si="70"/>
        <v>0.77272727272727271</v>
      </c>
      <c r="BY52" s="43">
        <f t="shared" si="71"/>
        <v>0.81818181818181812</v>
      </c>
      <c r="BZ52" s="43">
        <f t="shared" si="72"/>
        <v>0.86363636363636365</v>
      </c>
      <c r="CA52" s="43">
        <f t="shared" si="73"/>
        <v>0.90909090909090906</v>
      </c>
      <c r="CB52" s="43">
        <f t="shared" si="74"/>
        <v>0.95454545454545459</v>
      </c>
      <c r="CC52" s="43">
        <f t="shared" si="75"/>
        <v>0</v>
      </c>
      <c r="CD52" s="43">
        <f t="shared" si="76"/>
        <v>1</v>
      </c>
      <c r="CE52" s="239">
        <f t="shared" si="77"/>
        <v>0</v>
      </c>
      <c r="CF52" s="239">
        <f t="shared" si="78"/>
        <v>0</v>
      </c>
      <c r="CG52" s="239">
        <f t="shared" si="79"/>
        <v>0</v>
      </c>
    </row>
    <row r="53" spans="1:85" ht="12.75" customHeight="1" x14ac:dyDescent="0.25">
      <c r="A53" s="479"/>
      <c r="B53" s="28" t="s">
        <v>10</v>
      </c>
      <c r="C53" s="7">
        <v>7</v>
      </c>
      <c r="D53" s="37">
        <v>14383.151123919413</v>
      </c>
      <c r="E53" s="151"/>
      <c r="F53" s="152">
        <v>14250.373412526502</v>
      </c>
      <c r="G53" s="87">
        <v>0</v>
      </c>
      <c r="H53" s="88"/>
      <c r="I53" s="127"/>
      <c r="J53" s="88"/>
      <c r="K53" s="89">
        <v>0</v>
      </c>
      <c r="L53" s="90"/>
      <c r="M53" s="153"/>
      <c r="N53" s="91"/>
      <c r="O53" s="95">
        <v>0</v>
      </c>
      <c r="P53" s="93"/>
      <c r="Q53" s="94"/>
      <c r="R53" s="93"/>
      <c r="S53" s="154">
        <v>0</v>
      </c>
      <c r="T53" s="183"/>
      <c r="U53" s="154"/>
      <c r="V53" s="155"/>
      <c r="W53" s="58">
        <v>0</v>
      </c>
      <c r="X53" s="58">
        <v>0</v>
      </c>
      <c r="Y53" s="58"/>
      <c r="Z53" s="59"/>
      <c r="AA53" s="76">
        <v>0</v>
      </c>
      <c r="AB53" s="156">
        <v>0</v>
      </c>
      <c r="AC53" s="157"/>
      <c r="AD53" s="61"/>
      <c r="AE53" s="63">
        <v>0</v>
      </c>
      <c r="AF53" s="63">
        <v>0</v>
      </c>
      <c r="AG53" s="158"/>
      <c r="AH53" s="62"/>
      <c r="AI53" s="154">
        <v>0</v>
      </c>
      <c r="AJ53" s="154">
        <v>0</v>
      </c>
      <c r="AK53" s="154"/>
      <c r="AL53" s="155"/>
      <c r="AM53" s="49">
        <v>0</v>
      </c>
      <c r="AN53" s="49">
        <v>0</v>
      </c>
      <c r="AO53" s="49"/>
      <c r="AP53" s="184"/>
      <c r="AQ53" s="159">
        <v>0</v>
      </c>
      <c r="AR53" s="198">
        <v>0</v>
      </c>
      <c r="AS53" s="198"/>
      <c r="AT53" s="198"/>
      <c r="AU53" s="210">
        <v>0</v>
      </c>
      <c r="AV53" s="210">
        <v>0</v>
      </c>
      <c r="AW53" s="210"/>
      <c r="AX53" s="210"/>
      <c r="AY53" s="129">
        <v>0</v>
      </c>
      <c r="AZ53" s="129">
        <v>0</v>
      </c>
      <c r="BA53" s="129"/>
      <c r="BB53" s="129"/>
      <c r="BC53" s="146"/>
      <c r="BD53" s="136"/>
      <c r="BE53" s="136"/>
      <c r="BF53" s="136"/>
      <c r="BG53" s="252"/>
      <c r="BH53" s="252"/>
      <c r="BI53" s="252"/>
      <c r="BJ53" s="226"/>
      <c r="BK53" s="226"/>
      <c r="BL53" s="226"/>
      <c r="BM53" s="226"/>
      <c r="BN53" s="26">
        <f t="shared" si="60"/>
        <v>2000.9353796694659</v>
      </c>
      <c r="BO53" s="43">
        <f t="shared" si="61"/>
        <v>0</v>
      </c>
      <c r="BP53" s="43">
        <f t="shared" si="62"/>
        <v>0</v>
      </c>
      <c r="BQ53" s="43">
        <f t="shared" si="63"/>
        <v>0</v>
      </c>
      <c r="BR53" s="43">
        <f t="shared" si="64"/>
        <v>0</v>
      </c>
      <c r="BS53" s="43">
        <f t="shared" si="65"/>
        <v>0</v>
      </c>
      <c r="BT53" s="43">
        <f t="shared" si="66"/>
        <v>0</v>
      </c>
      <c r="BU53" s="43">
        <f t="shared" si="67"/>
        <v>0</v>
      </c>
      <c r="BV53" s="43">
        <f t="shared" si="68"/>
        <v>0</v>
      </c>
      <c r="BW53" s="43">
        <f t="shared" si="69"/>
        <v>0.1428571428571429</v>
      </c>
      <c r="BX53" s="43">
        <f t="shared" si="70"/>
        <v>0.2857142857142857</v>
      </c>
      <c r="BY53" s="43">
        <f t="shared" si="71"/>
        <v>0.4285714285714286</v>
      </c>
      <c r="BZ53" s="43">
        <f t="shared" si="72"/>
        <v>0.5714285714285714</v>
      </c>
      <c r="CA53" s="43">
        <f t="shared" si="73"/>
        <v>0.7142857142857143</v>
      </c>
      <c r="CB53" s="43">
        <f t="shared" si="74"/>
        <v>0.85714285714285721</v>
      </c>
      <c r="CC53" s="43">
        <f t="shared" si="75"/>
        <v>0</v>
      </c>
      <c r="CD53" s="43">
        <f t="shared" si="76"/>
        <v>1</v>
      </c>
      <c r="CE53" s="239">
        <f t="shared" si="77"/>
        <v>14383.151123919413</v>
      </c>
      <c r="CF53" s="239">
        <f t="shared" si="78"/>
        <v>14383.151123919413</v>
      </c>
      <c r="CG53" s="239">
        <f t="shared" si="79"/>
        <v>1800.8418417025196</v>
      </c>
    </row>
    <row r="54" spans="1:85" ht="12.75" customHeight="1" x14ac:dyDescent="0.25">
      <c r="A54" s="479"/>
      <c r="B54" s="28" t="s">
        <v>11</v>
      </c>
      <c r="C54" s="7">
        <v>4</v>
      </c>
      <c r="D54" s="37">
        <v>0</v>
      </c>
      <c r="E54" s="151"/>
      <c r="F54" s="152">
        <v>0</v>
      </c>
      <c r="G54" s="87">
        <v>0</v>
      </c>
      <c r="H54" s="88"/>
      <c r="I54" s="127"/>
      <c r="J54" s="88"/>
      <c r="K54" s="89">
        <v>0</v>
      </c>
      <c r="L54" s="90"/>
      <c r="M54" s="153"/>
      <c r="N54" s="91"/>
      <c r="O54" s="95">
        <v>0</v>
      </c>
      <c r="P54" s="93"/>
      <c r="Q54" s="94"/>
      <c r="R54" s="93"/>
      <c r="S54" s="154">
        <v>0</v>
      </c>
      <c r="T54" s="183"/>
      <c r="U54" s="154"/>
      <c r="V54" s="155"/>
      <c r="W54" s="58">
        <v>0</v>
      </c>
      <c r="X54" s="58">
        <v>0</v>
      </c>
      <c r="Y54" s="58"/>
      <c r="Z54" s="59"/>
      <c r="AA54" s="76">
        <v>0</v>
      </c>
      <c r="AB54" s="156">
        <v>0</v>
      </c>
      <c r="AC54" s="157"/>
      <c r="AD54" s="61"/>
      <c r="AE54" s="63">
        <v>0</v>
      </c>
      <c r="AF54" s="63">
        <v>0</v>
      </c>
      <c r="AG54" s="158"/>
      <c r="AH54" s="62"/>
      <c r="AI54" s="154">
        <v>0</v>
      </c>
      <c r="AJ54" s="154">
        <v>0</v>
      </c>
      <c r="AK54" s="154"/>
      <c r="AL54" s="155"/>
      <c r="AM54" s="49">
        <v>0</v>
      </c>
      <c r="AN54" s="49">
        <v>0</v>
      </c>
      <c r="AO54" s="49"/>
      <c r="AP54" s="184"/>
      <c r="AQ54" s="159">
        <v>0</v>
      </c>
      <c r="AR54" s="198">
        <v>0</v>
      </c>
      <c r="AS54" s="198"/>
      <c r="AT54" s="198"/>
      <c r="AU54" s="210">
        <v>0</v>
      </c>
      <c r="AV54" s="210">
        <v>0</v>
      </c>
      <c r="AW54" s="210"/>
      <c r="AX54" s="210"/>
      <c r="AY54" s="129">
        <v>0</v>
      </c>
      <c r="AZ54" s="129">
        <v>0</v>
      </c>
      <c r="BA54" s="129"/>
      <c r="BB54" s="129"/>
      <c r="BC54" s="146"/>
      <c r="BD54" s="136"/>
      <c r="BE54" s="136"/>
      <c r="BF54" s="136"/>
      <c r="BG54" s="252"/>
      <c r="BH54" s="252"/>
      <c r="BI54" s="252"/>
      <c r="BJ54" s="226"/>
      <c r="BK54" s="226"/>
      <c r="BL54" s="226"/>
      <c r="BM54" s="226"/>
      <c r="BN54" s="26">
        <f t="shared" si="60"/>
        <v>0</v>
      </c>
      <c r="BO54" s="43">
        <f t="shared" si="61"/>
        <v>0</v>
      </c>
      <c r="BP54" s="43">
        <f t="shared" si="62"/>
        <v>0</v>
      </c>
      <c r="BQ54" s="43">
        <f t="shared" si="63"/>
        <v>0</v>
      </c>
      <c r="BR54" s="43">
        <f t="shared" si="64"/>
        <v>0</v>
      </c>
      <c r="BS54" s="43">
        <f t="shared" si="65"/>
        <v>0</v>
      </c>
      <c r="BT54" s="43">
        <f t="shared" si="66"/>
        <v>0</v>
      </c>
      <c r="BU54" s="43">
        <f t="shared" si="67"/>
        <v>0</v>
      </c>
      <c r="BV54" s="43">
        <f t="shared" si="68"/>
        <v>0</v>
      </c>
      <c r="BW54" s="43">
        <f t="shared" si="69"/>
        <v>0</v>
      </c>
      <c r="BX54" s="43">
        <f t="shared" si="70"/>
        <v>0</v>
      </c>
      <c r="BY54" s="43">
        <f t="shared" si="71"/>
        <v>0</v>
      </c>
      <c r="BZ54" s="43">
        <f t="shared" si="72"/>
        <v>0.25</v>
      </c>
      <c r="CA54" s="43">
        <f t="shared" si="73"/>
        <v>0.5</v>
      </c>
      <c r="CB54" s="43">
        <f t="shared" si="74"/>
        <v>0.75</v>
      </c>
      <c r="CC54" s="43">
        <f t="shared" si="75"/>
        <v>0</v>
      </c>
      <c r="CD54" s="43">
        <f t="shared" si="76"/>
        <v>1</v>
      </c>
      <c r="CE54" s="239">
        <f t="shared" si="77"/>
        <v>0</v>
      </c>
      <c r="CF54" s="239">
        <f t="shared" si="78"/>
        <v>0</v>
      </c>
      <c r="CG54" s="239">
        <f t="shared" si="79"/>
        <v>0</v>
      </c>
    </row>
    <row r="55" spans="1:85" ht="12.75" customHeight="1" x14ac:dyDescent="0.25">
      <c r="A55" s="479"/>
      <c r="B55" s="28" t="s">
        <v>12</v>
      </c>
      <c r="C55" s="7">
        <v>5</v>
      </c>
      <c r="D55" s="37">
        <v>0</v>
      </c>
      <c r="E55" s="151"/>
      <c r="F55" s="152">
        <v>0</v>
      </c>
      <c r="G55" s="87">
        <v>0</v>
      </c>
      <c r="H55" s="88"/>
      <c r="I55" s="127"/>
      <c r="J55" s="88"/>
      <c r="K55" s="89">
        <v>0</v>
      </c>
      <c r="L55" s="90"/>
      <c r="M55" s="153"/>
      <c r="N55" s="91"/>
      <c r="O55" s="95">
        <v>0</v>
      </c>
      <c r="P55" s="93"/>
      <c r="Q55" s="94"/>
      <c r="R55" s="93"/>
      <c r="S55" s="154">
        <v>0</v>
      </c>
      <c r="T55" s="183"/>
      <c r="U55" s="154"/>
      <c r="V55" s="155"/>
      <c r="W55" s="58">
        <v>0</v>
      </c>
      <c r="X55" s="58">
        <v>0</v>
      </c>
      <c r="Y55" s="58"/>
      <c r="Z55" s="59"/>
      <c r="AA55" s="76">
        <v>0</v>
      </c>
      <c r="AB55" s="156">
        <v>0</v>
      </c>
      <c r="AC55" s="157"/>
      <c r="AD55" s="61"/>
      <c r="AE55" s="63">
        <v>0</v>
      </c>
      <c r="AF55" s="63">
        <v>0</v>
      </c>
      <c r="AG55" s="158"/>
      <c r="AH55" s="62"/>
      <c r="AI55" s="154">
        <v>0</v>
      </c>
      <c r="AJ55" s="154">
        <v>0</v>
      </c>
      <c r="AK55" s="154"/>
      <c r="AL55" s="155"/>
      <c r="AM55" s="49">
        <v>0</v>
      </c>
      <c r="AN55" s="49">
        <v>0</v>
      </c>
      <c r="AO55" s="49"/>
      <c r="AP55" s="184"/>
      <c r="AQ55" s="159">
        <v>0</v>
      </c>
      <c r="AR55" s="198">
        <v>0</v>
      </c>
      <c r="AS55" s="198"/>
      <c r="AT55" s="198"/>
      <c r="AU55" s="210">
        <v>0</v>
      </c>
      <c r="AV55" s="210">
        <v>0</v>
      </c>
      <c r="AW55" s="210"/>
      <c r="AX55" s="210"/>
      <c r="AY55" s="129">
        <v>0</v>
      </c>
      <c r="AZ55" s="129">
        <v>0</v>
      </c>
      <c r="BA55" s="129"/>
      <c r="BB55" s="129"/>
      <c r="BC55" s="146"/>
      <c r="BD55" s="136"/>
      <c r="BE55" s="136"/>
      <c r="BF55" s="136"/>
      <c r="BG55" s="252"/>
      <c r="BH55" s="252"/>
      <c r="BI55" s="252"/>
      <c r="BJ55" s="226"/>
      <c r="BK55" s="226"/>
      <c r="BL55" s="226"/>
      <c r="BM55" s="226"/>
      <c r="BN55" s="26">
        <f t="shared" si="60"/>
        <v>0</v>
      </c>
      <c r="BO55" s="43">
        <f t="shared" si="61"/>
        <v>0</v>
      </c>
      <c r="BP55" s="43">
        <f t="shared" si="62"/>
        <v>0</v>
      </c>
      <c r="BQ55" s="43">
        <f t="shared" si="63"/>
        <v>0</v>
      </c>
      <c r="BR55" s="43">
        <f t="shared" si="64"/>
        <v>0</v>
      </c>
      <c r="BS55" s="43">
        <f t="shared" si="65"/>
        <v>0</v>
      </c>
      <c r="BT55" s="43">
        <f t="shared" si="66"/>
        <v>0</v>
      </c>
      <c r="BU55" s="43">
        <f t="shared" si="67"/>
        <v>0</v>
      </c>
      <c r="BV55" s="43">
        <f t="shared" si="68"/>
        <v>0</v>
      </c>
      <c r="BW55" s="43">
        <f t="shared" si="69"/>
        <v>0</v>
      </c>
      <c r="BX55" s="43">
        <f t="shared" si="70"/>
        <v>0</v>
      </c>
      <c r="BY55" s="43">
        <f t="shared" si="71"/>
        <v>0.19999999999999996</v>
      </c>
      <c r="BZ55" s="43">
        <f t="shared" si="72"/>
        <v>0.4</v>
      </c>
      <c r="CA55" s="43">
        <f t="shared" si="73"/>
        <v>0.6</v>
      </c>
      <c r="CB55" s="43">
        <f t="shared" si="74"/>
        <v>0.8</v>
      </c>
      <c r="CC55" s="43">
        <f t="shared" si="75"/>
        <v>0</v>
      </c>
      <c r="CD55" s="43">
        <f t="shared" si="76"/>
        <v>1</v>
      </c>
      <c r="CE55" s="239">
        <f t="shared" si="77"/>
        <v>0</v>
      </c>
      <c r="CF55" s="239">
        <f t="shared" si="78"/>
        <v>0</v>
      </c>
      <c r="CG55" s="239">
        <f t="shared" si="79"/>
        <v>0</v>
      </c>
    </row>
    <row r="56" spans="1:85" ht="12.75" customHeight="1" x14ac:dyDescent="0.25">
      <c r="A56" s="479"/>
      <c r="B56" s="28" t="s">
        <v>13</v>
      </c>
      <c r="C56" s="7">
        <v>8</v>
      </c>
      <c r="D56" s="37">
        <v>0</v>
      </c>
      <c r="E56" s="151"/>
      <c r="F56" s="152">
        <v>0</v>
      </c>
      <c r="G56" s="87">
        <v>0</v>
      </c>
      <c r="H56" s="88"/>
      <c r="I56" s="127"/>
      <c r="J56" s="88"/>
      <c r="K56" s="89">
        <v>0</v>
      </c>
      <c r="L56" s="90"/>
      <c r="M56" s="153"/>
      <c r="N56" s="91"/>
      <c r="O56" s="95">
        <v>0</v>
      </c>
      <c r="P56" s="93"/>
      <c r="Q56" s="94"/>
      <c r="R56" s="93"/>
      <c r="S56" s="154">
        <v>0</v>
      </c>
      <c r="T56" s="183"/>
      <c r="U56" s="154"/>
      <c r="V56" s="155"/>
      <c r="W56" s="58">
        <v>0</v>
      </c>
      <c r="X56" s="58">
        <v>0</v>
      </c>
      <c r="Y56" s="58"/>
      <c r="Z56" s="59"/>
      <c r="AA56" s="76">
        <v>0</v>
      </c>
      <c r="AB56" s="156">
        <v>0</v>
      </c>
      <c r="AC56" s="157"/>
      <c r="AD56" s="61"/>
      <c r="AE56" s="63">
        <v>0</v>
      </c>
      <c r="AF56" s="63">
        <v>0</v>
      </c>
      <c r="AG56" s="158"/>
      <c r="AH56" s="62"/>
      <c r="AI56" s="154">
        <v>0</v>
      </c>
      <c r="AJ56" s="154">
        <v>0</v>
      </c>
      <c r="AK56" s="154"/>
      <c r="AL56" s="155"/>
      <c r="AM56" s="49">
        <v>0</v>
      </c>
      <c r="AN56" s="49">
        <v>0</v>
      </c>
      <c r="AO56" s="49"/>
      <c r="AP56" s="184"/>
      <c r="AQ56" s="159">
        <v>0</v>
      </c>
      <c r="AR56" s="198">
        <v>0</v>
      </c>
      <c r="AS56" s="198"/>
      <c r="AT56" s="198"/>
      <c r="AU56" s="210">
        <v>0</v>
      </c>
      <c r="AV56" s="210">
        <v>0</v>
      </c>
      <c r="AW56" s="210"/>
      <c r="AX56" s="210"/>
      <c r="AY56" s="129">
        <v>0</v>
      </c>
      <c r="AZ56" s="129">
        <v>0</v>
      </c>
      <c r="BA56" s="129"/>
      <c r="BB56" s="129"/>
      <c r="BC56" s="146"/>
      <c r="BD56" s="136"/>
      <c r="BE56" s="136"/>
      <c r="BF56" s="136"/>
      <c r="BG56" s="252"/>
      <c r="BH56" s="252"/>
      <c r="BI56" s="252"/>
      <c r="BJ56" s="226"/>
      <c r="BK56" s="226"/>
      <c r="BL56" s="226"/>
      <c r="BM56" s="226"/>
      <c r="BN56" s="26">
        <f t="shared" si="60"/>
        <v>0</v>
      </c>
      <c r="BO56" s="43">
        <f t="shared" si="61"/>
        <v>0</v>
      </c>
      <c r="BP56" s="43">
        <f t="shared" si="62"/>
        <v>0</v>
      </c>
      <c r="BQ56" s="43">
        <f t="shared" si="63"/>
        <v>0</v>
      </c>
      <c r="BR56" s="43">
        <f t="shared" si="64"/>
        <v>0</v>
      </c>
      <c r="BS56" s="43">
        <f t="shared" si="65"/>
        <v>0</v>
      </c>
      <c r="BT56" s="43">
        <f t="shared" si="66"/>
        <v>0</v>
      </c>
      <c r="BU56" s="43">
        <f t="shared" si="67"/>
        <v>0</v>
      </c>
      <c r="BV56" s="43">
        <f t="shared" si="68"/>
        <v>0.125</v>
      </c>
      <c r="BW56" s="43">
        <f t="shared" si="69"/>
        <v>0.25</v>
      </c>
      <c r="BX56" s="43">
        <f t="shared" si="70"/>
        <v>0.375</v>
      </c>
      <c r="BY56" s="43">
        <f t="shared" si="71"/>
        <v>0.5</v>
      </c>
      <c r="BZ56" s="43">
        <f t="shared" si="72"/>
        <v>0.625</v>
      </c>
      <c r="CA56" s="43">
        <f t="shared" si="73"/>
        <v>0.75</v>
      </c>
      <c r="CB56" s="43">
        <f t="shared" si="74"/>
        <v>0.875</v>
      </c>
      <c r="CC56" s="43">
        <f t="shared" si="75"/>
        <v>0</v>
      </c>
      <c r="CD56" s="43">
        <f t="shared" si="76"/>
        <v>1</v>
      </c>
      <c r="CE56" s="239">
        <f t="shared" si="77"/>
        <v>0</v>
      </c>
      <c r="CF56" s="239">
        <f t="shared" si="78"/>
        <v>0</v>
      </c>
      <c r="CG56" s="239">
        <f t="shared" si="79"/>
        <v>0</v>
      </c>
    </row>
    <row r="57" spans="1:85" ht="12.75" customHeight="1" thickBot="1" x14ac:dyDescent="0.3">
      <c r="A57" s="479"/>
      <c r="B57" s="29" t="s">
        <v>41</v>
      </c>
      <c r="C57" s="11">
        <v>17</v>
      </c>
      <c r="D57" s="41">
        <v>0</v>
      </c>
      <c r="E57" s="151"/>
      <c r="F57" s="162">
        <v>0</v>
      </c>
      <c r="G57" s="87">
        <v>0</v>
      </c>
      <c r="H57" s="96"/>
      <c r="I57" s="127"/>
      <c r="J57" s="96"/>
      <c r="K57" s="89">
        <v>0</v>
      </c>
      <c r="L57" s="97"/>
      <c r="M57" s="153"/>
      <c r="N57" s="98"/>
      <c r="O57" s="92">
        <v>0</v>
      </c>
      <c r="P57" s="99"/>
      <c r="Q57" s="94"/>
      <c r="R57" s="99"/>
      <c r="S57" s="173">
        <v>0</v>
      </c>
      <c r="T57" s="185"/>
      <c r="U57" s="154"/>
      <c r="V57" s="174"/>
      <c r="W57" s="58">
        <v>0</v>
      </c>
      <c r="X57" s="58">
        <v>0</v>
      </c>
      <c r="Y57" s="58"/>
      <c r="Z57" s="64"/>
      <c r="AA57" s="76">
        <v>0</v>
      </c>
      <c r="AB57" s="156">
        <v>0</v>
      </c>
      <c r="AC57" s="157"/>
      <c r="AD57" s="65"/>
      <c r="AE57" s="63">
        <v>0</v>
      </c>
      <c r="AF57" s="63">
        <v>0</v>
      </c>
      <c r="AG57" s="158"/>
      <c r="AH57" s="66"/>
      <c r="AI57" s="173">
        <v>0</v>
      </c>
      <c r="AJ57" s="154">
        <v>0</v>
      </c>
      <c r="AK57" s="154"/>
      <c r="AL57" s="174"/>
      <c r="AM57" s="49">
        <v>0</v>
      </c>
      <c r="AN57" s="49">
        <v>0</v>
      </c>
      <c r="AO57" s="49"/>
      <c r="AP57" s="186"/>
      <c r="AQ57" s="159">
        <v>0</v>
      </c>
      <c r="AR57" s="199">
        <v>0</v>
      </c>
      <c r="AS57" s="199"/>
      <c r="AT57" s="199"/>
      <c r="AU57" s="211">
        <v>0</v>
      </c>
      <c r="AV57" s="211">
        <v>0</v>
      </c>
      <c r="AW57" s="211"/>
      <c r="AX57" s="211"/>
      <c r="AY57" s="130">
        <v>0</v>
      </c>
      <c r="AZ57" s="130">
        <v>0</v>
      </c>
      <c r="BA57" s="130"/>
      <c r="BB57" s="130"/>
      <c r="BC57" s="146">
        <v>0</v>
      </c>
      <c r="BD57" s="137"/>
      <c r="BE57" s="137"/>
      <c r="BF57" s="137"/>
      <c r="BG57" s="253"/>
      <c r="BH57" s="253"/>
      <c r="BI57" s="253"/>
      <c r="BJ57" s="227">
        <v>0</v>
      </c>
      <c r="BK57" s="227"/>
      <c r="BL57" s="227"/>
      <c r="BM57" s="227"/>
      <c r="BN57" s="26">
        <f t="shared" si="60"/>
        <v>0</v>
      </c>
      <c r="BO57" s="44">
        <f t="shared" si="61"/>
        <v>0</v>
      </c>
      <c r="BP57" s="43">
        <f t="shared" si="62"/>
        <v>0.23529411764705888</v>
      </c>
      <c r="BQ57" s="43">
        <f t="shared" si="63"/>
        <v>0.29411764705882348</v>
      </c>
      <c r="BR57" s="43">
        <f t="shared" si="64"/>
        <v>0.3529411764705882</v>
      </c>
      <c r="BS57" s="43">
        <f t="shared" si="65"/>
        <v>0.41176470588235292</v>
      </c>
      <c r="BT57" s="43">
        <f t="shared" si="66"/>
        <v>0.47058823529411764</v>
      </c>
      <c r="BU57" s="43">
        <f t="shared" si="67"/>
        <v>0.52941176470588236</v>
      </c>
      <c r="BV57" s="43">
        <f t="shared" si="68"/>
        <v>0.58823529411764708</v>
      </c>
      <c r="BW57" s="43">
        <f t="shared" si="69"/>
        <v>0.64705882352941169</v>
      </c>
      <c r="BX57" s="43">
        <f t="shared" si="70"/>
        <v>0.70588235294117641</v>
      </c>
      <c r="BY57" s="43">
        <f t="shared" si="71"/>
        <v>0.76470588235294112</v>
      </c>
      <c r="BZ57" s="43">
        <f t="shared" si="72"/>
        <v>0.82352941176470584</v>
      </c>
      <c r="CA57" s="43">
        <f t="shared" si="73"/>
        <v>0.88235294117647056</v>
      </c>
      <c r="CB57" s="43">
        <f t="shared" si="74"/>
        <v>0.94117647058823528</v>
      </c>
      <c r="CC57" s="43">
        <f t="shared" si="75"/>
        <v>0</v>
      </c>
      <c r="CD57" s="43">
        <f t="shared" si="76"/>
        <v>1</v>
      </c>
      <c r="CE57" s="239">
        <f t="shared" si="77"/>
        <v>0</v>
      </c>
      <c r="CF57" s="239">
        <f t="shared" si="78"/>
        <v>0</v>
      </c>
      <c r="CG57" s="239">
        <f t="shared" si="79"/>
        <v>0</v>
      </c>
    </row>
    <row r="58" spans="1:85" s="1" customFormat="1" ht="12.75" customHeight="1" thickBot="1" x14ac:dyDescent="0.35">
      <c r="A58" s="481"/>
      <c r="B58" s="30" t="s">
        <v>42</v>
      </c>
      <c r="C58" s="31"/>
      <c r="D58" s="38">
        <v>5660028.2779788757</v>
      </c>
      <c r="E58" s="38"/>
      <c r="F58" s="38">
        <v>4092084.3124159449</v>
      </c>
      <c r="G58" s="67">
        <v>385845.48</v>
      </c>
      <c r="H58" s="67">
        <v>0</v>
      </c>
      <c r="I58" s="67"/>
      <c r="J58" s="67"/>
      <c r="K58" s="116">
        <v>452747.86</v>
      </c>
      <c r="L58" s="116">
        <v>0</v>
      </c>
      <c r="M58" s="116"/>
      <c r="N58" s="116"/>
      <c r="O58" s="68">
        <v>370817.32</v>
      </c>
      <c r="P58" s="68">
        <v>0</v>
      </c>
      <c r="Q58" s="68"/>
      <c r="R58" s="68"/>
      <c r="S58" s="123">
        <v>396757.73</v>
      </c>
      <c r="T58" s="124">
        <v>0</v>
      </c>
      <c r="U58" s="124"/>
      <c r="V58" s="125"/>
      <c r="W58" s="67">
        <v>291785.66999999993</v>
      </c>
      <c r="X58" s="67">
        <v>0</v>
      </c>
      <c r="Y58" s="67"/>
      <c r="Z58" s="67"/>
      <c r="AA58" s="116">
        <v>471133.24000000005</v>
      </c>
      <c r="AB58" s="116">
        <v>0</v>
      </c>
      <c r="AC58" s="126"/>
      <c r="AD58" s="116"/>
      <c r="AE58" s="68">
        <v>641039</v>
      </c>
      <c r="AF58" s="68">
        <v>0</v>
      </c>
      <c r="AG58" s="68"/>
      <c r="AH58" s="117"/>
      <c r="AI58" s="123">
        <v>528906.63000000012</v>
      </c>
      <c r="AJ58" s="124">
        <v>0</v>
      </c>
      <c r="AK58" s="124"/>
      <c r="AL58" s="125"/>
      <c r="AM58" s="52">
        <v>421950.02999999991</v>
      </c>
      <c r="AN58" s="52">
        <v>0</v>
      </c>
      <c r="AO58" s="52"/>
      <c r="AP58" s="52"/>
      <c r="AQ58" s="208">
        <v>401723.83</v>
      </c>
      <c r="AR58" s="203">
        <v>0</v>
      </c>
      <c r="AS58" s="203"/>
      <c r="AT58" s="203"/>
      <c r="AU58" s="215">
        <v>401723.83</v>
      </c>
      <c r="AV58" s="215">
        <v>0</v>
      </c>
      <c r="AW58" s="215"/>
      <c r="AX58" s="215"/>
      <c r="AY58" s="133">
        <v>555885.05319699994</v>
      </c>
      <c r="AZ58" s="133">
        <v>0</v>
      </c>
      <c r="BA58" s="133"/>
      <c r="BB58" s="133"/>
      <c r="BC58" s="148">
        <f>+SUM(BC48:BC57)</f>
        <v>660890.24999999988</v>
      </c>
      <c r="BD58" s="140"/>
      <c r="BE58" s="140"/>
      <c r="BF58" s="140"/>
      <c r="BG58" s="255">
        <f>+SUM(BG48:BG57)</f>
        <v>265555</v>
      </c>
      <c r="BH58" s="255">
        <f>+SUM(BH48:BH57)</f>
        <v>265555</v>
      </c>
      <c r="BI58" s="255">
        <f>+SUM(BI48:BI57)</f>
        <v>173348.46</v>
      </c>
      <c r="BJ58" s="229">
        <f>+SUM(BJ48:BJ57)</f>
        <v>682413</v>
      </c>
      <c r="BK58" s="229">
        <f>+SUM(BK48:BK57)</f>
        <v>0</v>
      </c>
      <c r="BL58" s="229"/>
      <c r="BM58" s="229"/>
      <c r="BN58" s="54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240">
        <f>SUM(CE48:CE57)</f>
        <v>11202907.76239471</v>
      </c>
      <c r="CF58" s="240">
        <f>SUM(CF48:CF57)</f>
        <v>14383.151123919413</v>
      </c>
      <c r="CG58" s="240">
        <f>SUM(CG48:CG57)</f>
        <v>4658505.7048611911</v>
      </c>
    </row>
    <row r="59" spans="1:85" s="23" customFormat="1" ht="30" customHeight="1" x14ac:dyDescent="0.25">
      <c r="A59" s="2"/>
      <c r="B59" s="21" t="s">
        <v>43</v>
      </c>
      <c r="C59" s="22"/>
      <c r="D59" s="32">
        <v>80363913.342109516</v>
      </c>
      <c r="E59" s="32"/>
      <c r="F59" s="32">
        <v>45909466.481640987</v>
      </c>
      <c r="G59" s="25">
        <v>2297920.7887920002</v>
      </c>
      <c r="H59" s="25">
        <v>0</v>
      </c>
      <c r="I59" s="25"/>
      <c r="J59" s="25"/>
      <c r="K59" s="33">
        <v>3705380.7350740549</v>
      </c>
      <c r="L59" s="33">
        <v>315949</v>
      </c>
      <c r="M59" s="33"/>
      <c r="N59" s="33"/>
      <c r="O59" s="34">
        <v>3354159.6110609998</v>
      </c>
      <c r="P59" s="34">
        <v>0</v>
      </c>
      <c r="Q59" s="34"/>
      <c r="R59" s="34"/>
      <c r="S59" s="196">
        <v>3518386.36</v>
      </c>
      <c r="T59" s="196">
        <v>0</v>
      </c>
      <c r="U59" s="196"/>
      <c r="V59" s="196"/>
      <c r="W59" s="25">
        <v>3815993.5700000003</v>
      </c>
      <c r="X59" s="25">
        <v>0</v>
      </c>
      <c r="Y59" s="25"/>
      <c r="Z59" s="25"/>
      <c r="AA59" s="33">
        <v>5590315.4300000006</v>
      </c>
      <c r="AB59" s="33">
        <v>556386.07000000007</v>
      </c>
      <c r="AC59" s="33"/>
      <c r="AD59" s="33"/>
      <c r="AE59" s="36">
        <v>6630069.3099999996</v>
      </c>
      <c r="AF59" s="34">
        <v>0</v>
      </c>
      <c r="AG59" s="34"/>
      <c r="AH59" s="34"/>
      <c r="AI59" s="196">
        <v>8798937.4638769962</v>
      </c>
      <c r="AJ59" s="196">
        <v>0</v>
      </c>
      <c r="AK59" s="196"/>
      <c r="AL59" s="196"/>
      <c r="AM59" s="197">
        <v>6243081.9319999982</v>
      </c>
      <c r="AN59" s="197">
        <v>0</v>
      </c>
      <c r="AO59" s="194"/>
      <c r="AP59" s="197"/>
      <c r="AQ59" s="209">
        <v>7546107.3088913755</v>
      </c>
      <c r="AR59" s="205">
        <v>0</v>
      </c>
      <c r="AS59" s="205"/>
      <c r="AT59" s="205"/>
      <c r="AU59" s="217">
        <v>5992528.1899999967</v>
      </c>
      <c r="AV59" s="217">
        <v>0</v>
      </c>
      <c r="AW59" s="217"/>
      <c r="AX59" s="217"/>
      <c r="AY59" s="135">
        <v>9964863.5911969952</v>
      </c>
      <c r="AZ59" s="135">
        <v>0</v>
      </c>
      <c r="BA59" s="135"/>
      <c r="BB59" s="135"/>
      <c r="BC59" s="150">
        <f>+BC58+BC47+BC45+BC13</f>
        <v>11143773.309999999</v>
      </c>
      <c r="BD59" s="142"/>
      <c r="BE59" s="142"/>
      <c r="BF59" s="142"/>
      <c r="BG59" s="258">
        <f>+BG58+BG47+BG45+BG13</f>
        <v>8136602.2479580687</v>
      </c>
      <c r="BH59" s="258"/>
      <c r="BI59" s="258">
        <f>+BI58+BI47+BI45+BI13</f>
        <v>6021259.6799999988</v>
      </c>
      <c r="BJ59" s="232">
        <f>+BJ58+BJ47+BJ45+BJ13</f>
        <v>12605720.15</v>
      </c>
      <c r="BK59" s="232">
        <f>+BK58+BK47+BK45+BK13</f>
        <v>0</v>
      </c>
      <c r="BL59" s="232"/>
      <c r="BM59" s="232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242">
        <f>CE13+CE45+CE47+CE58</f>
        <v>162619570.02167982</v>
      </c>
      <c r="CF59" s="242">
        <f>CF13+CF45+CF47+CF58</f>
        <v>13180291.6815912</v>
      </c>
      <c r="CG59" s="242">
        <f>CG13+CG45+CG47+CG58</f>
        <v>69231600.341636494</v>
      </c>
    </row>
    <row r="60" spans="1:85" ht="12.75" customHeight="1" x14ac:dyDescent="0.25">
      <c r="A60" s="482" t="s">
        <v>46</v>
      </c>
      <c r="B60" s="483" t="s">
        <v>6</v>
      </c>
      <c r="C60" s="483"/>
      <c r="D60" s="473">
        <v>1</v>
      </c>
      <c r="E60" s="474"/>
      <c r="F60" s="475"/>
      <c r="G60" s="458">
        <v>0.73425935745407456</v>
      </c>
      <c r="H60" s="459"/>
      <c r="I60" s="459"/>
      <c r="J60" s="460"/>
      <c r="K60" s="461">
        <v>0.7223278986436179</v>
      </c>
      <c r="L60" s="462"/>
      <c r="M60" s="462"/>
      <c r="N60" s="463"/>
      <c r="O60" s="464">
        <v>0.80446415375460911</v>
      </c>
      <c r="P60" s="465"/>
      <c r="Q60" s="465"/>
      <c r="R60" s="466"/>
      <c r="S60" s="467">
        <v>0.6</v>
      </c>
      <c r="T60" s="468"/>
      <c r="U60" s="468"/>
      <c r="V60" s="469"/>
      <c r="W60" s="458">
        <v>0.88619671568982039</v>
      </c>
      <c r="X60" s="459"/>
      <c r="Y60" s="459"/>
      <c r="Z60" s="460"/>
      <c r="AA60" s="458">
        <v>0.83739907628684485</v>
      </c>
      <c r="AB60" s="459"/>
      <c r="AC60" s="459"/>
      <c r="AD60" s="460"/>
      <c r="AE60" s="458">
        <v>0.85489205145403468</v>
      </c>
      <c r="AF60" s="459"/>
      <c r="AG60" s="459"/>
      <c r="AH60" s="460"/>
      <c r="AI60" s="458">
        <v>0.860049343536328</v>
      </c>
      <c r="AJ60" s="459"/>
      <c r="AK60" s="459"/>
      <c r="AL60" s="460"/>
      <c r="AM60" s="470">
        <v>1</v>
      </c>
      <c r="AN60" s="471">
        <v>0</v>
      </c>
      <c r="AO60" s="471">
        <v>0</v>
      </c>
      <c r="AP60" s="472">
        <v>0</v>
      </c>
      <c r="AQ60" s="438">
        <v>0.96450748585106127</v>
      </c>
      <c r="AR60" s="439">
        <v>0</v>
      </c>
      <c r="AS60" s="439">
        <v>0</v>
      </c>
      <c r="AT60" s="440">
        <v>0</v>
      </c>
      <c r="AU60" s="441">
        <v>0</v>
      </c>
      <c r="AV60" s="442">
        <v>0</v>
      </c>
      <c r="AW60" s="442">
        <v>0</v>
      </c>
      <c r="AX60" s="443">
        <v>0</v>
      </c>
      <c r="AY60" s="455">
        <v>1</v>
      </c>
      <c r="AZ60" s="456">
        <v>0</v>
      </c>
      <c r="BA60" s="456">
        <v>0</v>
      </c>
      <c r="BB60" s="457">
        <v>0</v>
      </c>
      <c r="BC60" s="444">
        <v>0.90074035778042882</v>
      </c>
      <c r="BD60" s="445"/>
      <c r="BE60" s="445"/>
      <c r="BF60" s="446"/>
      <c r="BG60" s="259"/>
      <c r="BH60" s="259"/>
      <c r="BI60" s="259"/>
      <c r="BJ60" s="546">
        <v>0.82138749486930474</v>
      </c>
      <c r="BK60" s="547"/>
      <c r="BL60" s="547"/>
      <c r="BM60" s="548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</row>
    <row r="61" spans="1:85" x14ac:dyDescent="0.25">
      <c r="A61" s="482"/>
      <c r="B61" s="483" t="s">
        <v>16</v>
      </c>
      <c r="C61" s="483"/>
      <c r="D61" s="473">
        <v>1</v>
      </c>
      <c r="E61" s="474"/>
      <c r="F61" s="475"/>
      <c r="G61" s="458">
        <v>0.9125435465430991</v>
      </c>
      <c r="H61" s="459"/>
      <c r="I61" s="459"/>
      <c r="J61" s="460"/>
      <c r="K61" s="461">
        <v>0.92116040031093294</v>
      </c>
      <c r="L61" s="462"/>
      <c r="M61" s="462"/>
      <c r="N61" s="463"/>
      <c r="O61" s="464">
        <v>0.84394587985421521</v>
      </c>
      <c r="P61" s="465"/>
      <c r="Q61" s="465"/>
      <c r="R61" s="466"/>
      <c r="S61" s="467">
        <v>0.82853155879468665</v>
      </c>
      <c r="T61" s="468"/>
      <c r="U61" s="468"/>
      <c r="V61" s="469"/>
      <c r="W61" s="458">
        <v>0.8344632030650222</v>
      </c>
      <c r="X61" s="459"/>
      <c r="Y61" s="459"/>
      <c r="Z61" s="460"/>
      <c r="AA61" s="458">
        <v>0.86522075423483169</v>
      </c>
      <c r="AB61" s="459"/>
      <c r="AC61" s="459"/>
      <c r="AD61" s="460"/>
      <c r="AE61" s="458">
        <v>0.84869146746418234</v>
      </c>
      <c r="AF61" s="459"/>
      <c r="AG61" s="459"/>
      <c r="AH61" s="460"/>
      <c r="AI61" s="458">
        <v>0.85053297503209813</v>
      </c>
      <c r="AJ61" s="459"/>
      <c r="AK61" s="459"/>
      <c r="AL61" s="460"/>
      <c r="AM61" s="470">
        <v>0.70549685882258439</v>
      </c>
      <c r="AN61" s="471">
        <v>0</v>
      </c>
      <c r="AO61" s="471">
        <v>0</v>
      </c>
      <c r="AP61" s="472">
        <v>0</v>
      </c>
      <c r="AQ61" s="438">
        <v>0.81213323157668005</v>
      </c>
      <c r="AR61" s="439">
        <v>0</v>
      </c>
      <c r="AS61" s="439">
        <v>0</v>
      </c>
      <c r="AT61" s="440">
        <v>0</v>
      </c>
      <c r="AU61" s="441">
        <v>0.81704104295630753</v>
      </c>
      <c r="AV61" s="442">
        <v>0</v>
      </c>
      <c r="AW61" s="442">
        <v>0</v>
      </c>
      <c r="AX61" s="443">
        <v>0</v>
      </c>
      <c r="AY61" s="455">
        <v>0.57641338517467222</v>
      </c>
      <c r="AZ61" s="456">
        <v>0</v>
      </c>
      <c r="BA61" s="456">
        <v>0</v>
      </c>
      <c r="BB61" s="457">
        <v>0</v>
      </c>
      <c r="BC61" s="444">
        <v>0.82689288467073041</v>
      </c>
      <c r="BD61" s="445"/>
      <c r="BE61" s="445"/>
      <c r="BF61" s="446"/>
      <c r="BG61" s="259"/>
      <c r="BH61" s="259"/>
      <c r="BI61" s="259"/>
      <c r="BJ61" s="546">
        <v>0.82678611162921223</v>
      </c>
      <c r="BK61" s="547"/>
      <c r="BL61" s="547"/>
      <c r="BM61" s="548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</row>
    <row r="62" spans="1:85" x14ac:dyDescent="0.25">
      <c r="A62" s="482"/>
      <c r="B62" s="483" t="s">
        <v>35</v>
      </c>
      <c r="C62" s="483"/>
      <c r="D62" s="473">
        <v>1</v>
      </c>
      <c r="E62" s="474"/>
      <c r="F62" s="475"/>
      <c r="G62" s="458">
        <v>1</v>
      </c>
      <c r="H62" s="459"/>
      <c r="I62" s="459"/>
      <c r="J62" s="460"/>
      <c r="K62" s="461">
        <v>1</v>
      </c>
      <c r="L62" s="462"/>
      <c r="M62" s="462"/>
      <c r="N62" s="463"/>
      <c r="O62" s="464">
        <v>1</v>
      </c>
      <c r="P62" s="465"/>
      <c r="Q62" s="465"/>
      <c r="R62" s="466"/>
      <c r="S62" s="467">
        <v>1</v>
      </c>
      <c r="T62" s="468"/>
      <c r="U62" s="468"/>
      <c r="V62" s="469"/>
      <c r="W62" s="458">
        <v>0.92</v>
      </c>
      <c r="X62" s="459"/>
      <c r="Y62" s="459"/>
      <c r="Z62" s="460"/>
      <c r="AA62" s="458">
        <v>0.92000000000000015</v>
      </c>
      <c r="AB62" s="459"/>
      <c r="AC62" s="459"/>
      <c r="AD62" s="460"/>
      <c r="AE62" s="458">
        <v>0.91999999999999993</v>
      </c>
      <c r="AF62" s="459"/>
      <c r="AG62" s="459"/>
      <c r="AH62" s="460"/>
      <c r="AI62" s="458">
        <v>0.92</v>
      </c>
      <c r="AJ62" s="459"/>
      <c r="AK62" s="459"/>
      <c r="AL62" s="460"/>
      <c r="AM62" s="470">
        <v>1</v>
      </c>
      <c r="AN62" s="471">
        <v>0</v>
      </c>
      <c r="AO62" s="471">
        <v>0</v>
      </c>
      <c r="AP62" s="472">
        <v>0</v>
      </c>
      <c r="AQ62" s="438">
        <v>1</v>
      </c>
      <c r="AR62" s="439">
        <v>0</v>
      </c>
      <c r="AS62" s="439">
        <v>0</v>
      </c>
      <c r="AT62" s="440">
        <v>0</v>
      </c>
      <c r="AU62" s="441">
        <v>1</v>
      </c>
      <c r="AV62" s="442">
        <v>0</v>
      </c>
      <c r="AW62" s="442">
        <v>0</v>
      </c>
      <c r="AX62" s="443">
        <v>0</v>
      </c>
      <c r="AY62" s="455">
        <v>1</v>
      </c>
      <c r="AZ62" s="456">
        <v>0</v>
      </c>
      <c r="BA62" s="456">
        <v>0</v>
      </c>
      <c r="BB62" s="457">
        <v>0</v>
      </c>
      <c r="BC62" s="444">
        <v>0.89999999999999991</v>
      </c>
      <c r="BD62" s="445"/>
      <c r="BE62" s="445"/>
      <c r="BF62" s="446"/>
      <c r="BG62" s="259"/>
      <c r="BH62" s="259"/>
      <c r="BI62" s="259"/>
      <c r="BJ62" s="546">
        <v>0.9</v>
      </c>
      <c r="BK62" s="547"/>
      <c r="BL62" s="547"/>
      <c r="BM62" s="548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</row>
    <row r="63" spans="1:85" x14ac:dyDescent="0.25">
      <c r="A63" s="482"/>
      <c r="B63" s="483" t="s">
        <v>44</v>
      </c>
      <c r="C63" s="483"/>
      <c r="D63" s="473">
        <v>1</v>
      </c>
      <c r="E63" s="474"/>
      <c r="F63" s="475"/>
      <c r="G63" s="458">
        <v>0.97071835077606705</v>
      </c>
      <c r="H63" s="459"/>
      <c r="I63" s="459"/>
      <c r="J63" s="460"/>
      <c r="K63" s="461">
        <v>0.94188477445260588</v>
      </c>
      <c r="L63" s="462"/>
      <c r="M63" s="462"/>
      <c r="N63" s="463"/>
      <c r="O63" s="464">
        <v>0.94459016099895221</v>
      </c>
      <c r="P63" s="465"/>
      <c r="Q63" s="465"/>
      <c r="R63" s="466"/>
      <c r="S63" s="467">
        <v>0.6</v>
      </c>
      <c r="T63" s="468"/>
      <c r="U63" s="468"/>
      <c r="V63" s="469"/>
      <c r="W63" s="458">
        <v>0.7</v>
      </c>
      <c r="X63" s="459"/>
      <c r="Y63" s="459"/>
      <c r="Z63" s="460"/>
      <c r="AA63" s="458">
        <v>0.70569406650229127</v>
      </c>
      <c r="AB63" s="459"/>
      <c r="AC63" s="459"/>
      <c r="AD63" s="460"/>
      <c r="AE63" s="458">
        <v>0.7</v>
      </c>
      <c r="AF63" s="459"/>
      <c r="AG63" s="459"/>
      <c r="AH63" s="460"/>
      <c r="AI63" s="458">
        <v>0.69999999999999984</v>
      </c>
      <c r="AJ63" s="459"/>
      <c r="AK63" s="459"/>
      <c r="AL63" s="460"/>
      <c r="AM63" s="470">
        <v>0.7296268273387243</v>
      </c>
      <c r="AN63" s="471">
        <v>0</v>
      </c>
      <c r="AO63" s="471">
        <v>0</v>
      </c>
      <c r="AP63" s="472">
        <v>0</v>
      </c>
      <c r="AQ63" s="438">
        <v>0.82679737994064006</v>
      </c>
      <c r="AR63" s="439">
        <v>0</v>
      </c>
      <c r="AS63" s="439">
        <v>0</v>
      </c>
      <c r="AT63" s="440">
        <v>0</v>
      </c>
      <c r="AU63" s="441">
        <v>0.84174754147591813</v>
      </c>
      <c r="AV63" s="442">
        <v>0</v>
      </c>
      <c r="AW63" s="442">
        <v>0</v>
      </c>
      <c r="AX63" s="443">
        <v>0</v>
      </c>
      <c r="AY63" s="455">
        <v>0.62097122171328334</v>
      </c>
      <c r="AZ63" s="456">
        <v>0</v>
      </c>
      <c r="BA63" s="456">
        <v>0</v>
      </c>
      <c r="BB63" s="457">
        <v>0</v>
      </c>
      <c r="BC63" s="444">
        <v>0.90000000000000013</v>
      </c>
      <c r="BD63" s="445"/>
      <c r="BE63" s="445"/>
      <c r="BF63" s="446"/>
      <c r="BG63" s="259"/>
      <c r="BH63" s="259"/>
      <c r="BI63" s="259"/>
      <c r="BJ63" s="546">
        <v>0.90000000000000013</v>
      </c>
      <c r="BK63" s="547"/>
      <c r="BL63" s="547"/>
      <c r="BM63" s="548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</row>
    <row r="64" spans="1:85" ht="12.75" customHeight="1" x14ac:dyDescent="0.25"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225"/>
    </row>
    <row r="65" spans="4:65" x14ac:dyDescent="0.25"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</row>
    <row r="66" spans="4:65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5"/>
    </row>
    <row r="67" spans="4:65" x14ac:dyDescent="0.25"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5"/>
    </row>
    <row r="68" spans="4:65" ht="13.25" customHeight="1" x14ac:dyDescent="0.25"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5"/>
    </row>
    <row r="69" spans="4:65" x14ac:dyDescent="0.25"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225"/>
    </row>
    <row r="70" spans="4:65" ht="13.25" customHeight="1" x14ac:dyDescent="0.25">
      <c r="BC70" s="225"/>
      <c r="BD70" s="225"/>
      <c r="BE70" s="225"/>
      <c r="BF70" s="225"/>
      <c r="BG70" s="225"/>
      <c r="BH70" s="225"/>
      <c r="BI70" s="225"/>
      <c r="BJ70" s="225"/>
      <c r="BK70" s="225"/>
      <c r="BL70" s="225"/>
      <c r="BM70" s="225"/>
    </row>
    <row r="71" spans="4:65" x14ac:dyDescent="0.25">
      <c r="BC71" s="225"/>
      <c r="BD71" s="225"/>
      <c r="BE71" s="225"/>
      <c r="BF71" s="225"/>
      <c r="BG71" s="225"/>
      <c r="BH71" s="225"/>
      <c r="BI71" s="225"/>
      <c r="BJ71" s="225"/>
      <c r="BK71" s="225"/>
      <c r="BL71" s="225"/>
      <c r="BM71" s="225"/>
    </row>
    <row r="72" spans="4:65" x14ac:dyDescent="0.25">
      <c r="BC72" s="225"/>
      <c r="BD72" s="225"/>
      <c r="BE72" s="225"/>
      <c r="BF72" s="225"/>
      <c r="BG72" s="225"/>
      <c r="BH72" s="225"/>
      <c r="BI72" s="225"/>
      <c r="BJ72" s="225"/>
      <c r="BK72" s="225"/>
      <c r="BL72" s="225"/>
      <c r="BM72" s="225"/>
    </row>
    <row r="73" spans="4:65" x14ac:dyDescent="0.25">
      <c r="BC73" s="225"/>
      <c r="BD73" s="225"/>
      <c r="BE73" s="225"/>
      <c r="BF73" s="225"/>
      <c r="BG73" s="225"/>
      <c r="BH73" s="225"/>
      <c r="BI73" s="225"/>
      <c r="BJ73" s="225"/>
      <c r="BK73" s="225"/>
      <c r="BL73" s="225"/>
      <c r="BM73" s="225"/>
    </row>
    <row r="74" spans="4:65" x14ac:dyDescent="0.25">
      <c r="AU74" s="220"/>
      <c r="AV74" s="220"/>
      <c r="AW74" s="221"/>
      <c r="AX74" s="221"/>
      <c r="AY74" s="221"/>
      <c r="AZ74" s="221"/>
      <c r="BA74" s="221"/>
      <c r="BB74" s="221"/>
      <c r="BC74" s="225"/>
      <c r="BD74" s="225"/>
      <c r="BE74" s="225"/>
      <c r="BF74" s="225"/>
      <c r="BG74" s="225"/>
      <c r="BH74" s="225"/>
      <c r="BI74" s="225"/>
      <c r="BJ74" s="225"/>
      <c r="BK74" s="225"/>
      <c r="BL74" s="225"/>
      <c r="BM74" s="225"/>
    </row>
    <row r="75" spans="4:65" x14ac:dyDescent="0.25">
      <c r="AU75" s="221"/>
      <c r="AV75" s="221"/>
      <c r="AW75" s="221"/>
      <c r="AX75" s="221"/>
      <c r="AY75" s="221"/>
      <c r="AZ75" s="221"/>
      <c r="BA75" s="221"/>
      <c r="BB75" s="221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</row>
    <row r="76" spans="4:65" x14ac:dyDescent="0.25">
      <c r="BC76" s="225"/>
      <c r="BD76" s="225"/>
      <c r="BE76" s="225"/>
      <c r="BF76" s="225"/>
      <c r="BG76" s="225"/>
      <c r="BH76" s="225"/>
      <c r="BI76" s="225"/>
      <c r="BJ76" s="225"/>
      <c r="BK76" s="225"/>
      <c r="BL76" s="225"/>
      <c r="BM76" s="225"/>
    </row>
    <row r="77" spans="4:65" x14ac:dyDescent="0.25">
      <c r="BC77" s="225"/>
      <c r="BD77" s="225"/>
      <c r="BE77" s="225"/>
      <c r="BF77" s="225"/>
      <c r="BG77" s="225"/>
      <c r="BH77" s="225"/>
      <c r="BI77" s="225"/>
      <c r="BJ77" s="225"/>
      <c r="BK77" s="225"/>
      <c r="BL77" s="225"/>
      <c r="BM77" s="225"/>
    </row>
    <row r="78" spans="4:65" x14ac:dyDescent="0.25">
      <c r="BC78" s="225"/>
      <c r="BD78" s="225"/>
      <c r="BE78" s="225"/>
      <c r="BF78" s="225"/>
      <c r="BG78" s="225"/>
      <c r="BH78" s="225"/>
      <c r="BI78" s="225"/>
      <c r="BJ78" s="225"/>
      <c r="BK78" s="225"/>
      <c r="BL78" s="225"/>
      <c r="BM78" s="225"/>
    </row>
    <row r="79" spans="4:65" x14ac:dyDescent="0.25">
      <c r="BC79" s="225"/>
      <c r="BD79" s="225"/>
      <c r="BE79" s="225"/>
      <c r="BF79" s="225"/>
      <c r="BG79" s="225"/>
      <c r="BH79" s="225"/>
      <c r="BI79" s="225"/>
      <c r="BJ79" s="225"/>
      <c r="BK79" s="225"/>
      <c r="BL79" s="225"/>
      <c r="BM79" s="225"/>
    </row>
    <row r="80" spans="4:65" x14ac:dyDescent="0.25">
      <c r="BC80" s="225"/>
      <c r="BD80" s="225"/>
      <c r="BE80" s="225"/>
      <c r="BF80" s="225"/>
      <c r="BG80" s="225"/>
      <c r="BH80" s="225"/>
      <c r="BI80" s="225"/>
      <c r="BJ80" s="225"/>
      <c r="BK80" s="225"/>
      <c r="BL80" s="225"/>
      <c r="BM80" s="225"/>
    </row>
    <row r="81" spans="41:65" ht="13.25" customHeight="1" x14ac:dyDescent="0.25">
      <c r="AO81"/>
      <c r="AS81"/>
      <c r="BC81" s="225"/>
      <c r="BD81" s="225"/>
      <c r="BE81" s="225"/>
      <c r="BF81" s="225"/>
      <c r="BG81" s="225"/>
      <c r="BH81" s="225"/>
      <c r="BI81" s="225"/>
      <c r="BJ81" s="225"/>
      <c r="BK81" s="225"/>
      <c r="BL81" s="225"/>
      <c r="BM81" s="225"/>
    </row>
    <row r="82" spans="41:65" x14ac:dyDescent="0.25">
      <c r="AO82"/>
      <c r="AS82"/>
      <c r="BC82" s="225"/>
      <c r="BD82" s="225"/>
      <c r="BE82" s="225"/>
      <c r="BF82" s="225"/>
      <c r="BG82" s="225"/>
      <c r="BH82" s="225"/>
      <c r="BI82" s="225"/>
      <c r="BJ82" s="225"/>
      <c r="BK82" s="225"/>
      <c r="BL82" s="225"/>
      <c r="BM82" s="225"/>
    </row>
    <row r="83" spans="41:65" x14ac:dyDescent="0.25">
      <c r="AO83"/>
      <c r="AS83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225"/>
    </row>
    <row r="84" spans="41:65" x14ac:dyDescent="0.25">
      <c r="AO84"/>
      <c r="AS84"/>
      <c r="BC84" s="225"/>
      <c r="BD84" s="225"/>
      <c r="BE84" s="225"/>
      <c r="BF84" s="225"/>
      <c r="BG84" s="225"/>
      <c r="BH84" s="225"/>
      <c r="BI84" s="225"/>
      <c r="BJ84" s="225"/>
      <c r="BK84" s="225"/>
      <c r="BL84" s="225"/>
      <c r="BM84" s="225"/>
    </row>
    <row r="85" spans="41:65" x14ac:dyDescent="0.25">
      <c r="AO85"/>
      <c r="AS8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5"/>
    </row>
    <row r="86" spans="41:65" x14ac:dyDescent="0.25">
      <c r="AO86"/>
      <c r="AS86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5"/>
    </row>
    <row r="87" spans="41:65" x14ac:dyDescent="0.25">
      <c r="AO87"/>
      <c r="AS87"/>
      <c r="BC87" s="225"/>
      <c r="BD87" s="225"/>
      <c r="BE87" s="225"/>
      <c r="BF87" s="225"/>
      <c r="BG87" s="225"/>
      <c r="BH87" s="225"/>
      <c r="BI87" s="225"/>
      <c r="BJ87" s="225"/>
      <c r="BK87" s="225"/>
      <c r="BL87" s="225"/>
      <c r="BM87" s="225"/>
    </row>
    <row r="88" spans="41:65" x14ac:dyDescent="0.25">
      <c r="AO88"/>
      <c r="AS88"/>
      <c r="BC88" s="225"/>
      <c r="BD88" s="225"/>
      <c r="BE88" s="225"/>
      <c r="BF88" s="225"/>
      <c r="BG88" s="225"/>
      <c r="BH88" s="225"/>
      <c r="BI88" s="225"/>
      <c r="BJ88" s="225"/>
      <c r="BK88" s="225"/>
      <c r="BL88" s="225"/>
      <c r="BM88" s="225"/>
    </row>
    <row r="89" spans="41:65" x14ac:dyDescent="0.25">
      <c r="AO89"/>
      <c r="AS89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</row>
    <row r="90" spans="41:65" x14ac:dyDescent="0.25">
      <c r="AO90"/>
      <c r="AS90"/>
      <c r="BC90" s="225"/>
      <c r="BD90" s="225"/>
      <c r="BE90" s="225"/>
      <c r="BF90" s="225"/>
      <c r="BG90" s="225"/>
      <c r="BH90" s="225"/>
      <c r="BI90" s="225"/>
      <c r="BJ90" s="225"/>
      <c r="BK90" s="225"/>
      <c r="BL90" s="225"/>
      <c r="BM90" s="225"/>
    </row>
    <row r="91" spans="41:65" x14ac:dyDescent="0.25">
      <c r="AO91"/>
      <c r="AS91"/>
      <c r="BC91" s="225"/>
      <c r="BD91" s="225"/>
      <c r="BE91" s="225"/>
      <c r="BF91" s="225"/>
      <c r="BG91" s="225"/>
      <c r="BH91" s="225"/>
      <c r="BI91" s="225"/>
      <c r="BJ91" s="225"/>
      <c r="BK91" s="225"/>
      <c r="BL91" s="225"/>
      <c r="BM91" s="225"/>
    </row>
    <row r="92" spans="41:65" x14ac:dyDescent="0.25">
      <c r="AO92"/>
      <c r="AS92"/>
      <c r="BC92" s="225"/>
      <c r="BD92" s="225"/>
      <c r="BE92" s="225"/>
      <c r="BF92" s="225"/>
      <c r="BG92" s="225"/>
      <c r="BH92" s="225"/>
      <c r="BI92" s="225"/>
      <c r="BJ92" s="225"/>
      <c r="BK92" s="225"/>
      <c r="BL92" s="225"/>
      <c r="BM92" s="225"/>
    </row>
    <row r="93" spans="41:65" x14ac:dyDescent="0.25">
      <c r="AO93"/>
      <c r="AS93"/>
      <c r="BC93" s="225"/>
      <c r="BD93" s="225"/>
      <c r="BE93" s="225"/>
      <c r="BF93" s="225"/>
      <c r="BG93" s="225"/>
      <c r="BH93" s="225"/>
      <c r="BI93" s="225"/>
      <c r="BJ93" s="225"/>
      <c r="BK93" s="225"/>
      <c r="BL93" s="225"/>
      <c r="BM93" s="225"/>
    </row>
    <row r="94" spans="41:65" x14ac:dyDescent="0.25">
      <c r="AO94"/>
      <c r="AS94"/>
      <c r="BC94" s="225"/>
      <c r="BD94" s="225"/>
      <c r="BE94" s="225"/>
      <c r="BF94" s="225"/>
      <c r="BG94" s="225"/>
      <c r="BH94" s="225"/>
      <c r="BI94" s="225"/>
      <c r="BJ94" s="225"/>
      <c r="BK94" s="225"/>
      <c r="BL94" s="225"/>
      <c r="BM94" s="225"/>
    </row>
    <row r="95" spans="41:65" x14ac:dyDescent="0.25">
      <c r="AO95"/>
      <c r="AS95"/>
      <c r="BC95" s="225"/>
      <c r="BD95" s="225"/>
      <c r="BE95" s="225"/>
      <c r="BF95" s="225"/>
      <c r="BG95" s="225"/>
      <c r="BH95" s="225"/>
      <c r="BI95" s="225"/>
      <c r="BJ95" s="225"/>
      <c r="BK95" s="225"/>
      <c r="BL95" s="225"/>
      <c r="BM95" s="225"/>
    </row>
    <row r="96" spans="41:65" x14ac:dyDescent="0.25">
      <c r="AO96"/>
      <c r="AS96"/>
      <c r="BC96" s="225"/>
      <c r="BD96" s="225"/>
      <c r="BE96" s="225"/>
      <c r="BF96" s="225"/>
      <c r="BG96" s="225"/>
      <c r="BH96" s="225"/>
      <c r="BI96" s="225"/>
      <c r="BJ96" s="225"/>
      <c r="BK96" s="225"/>
      <c r="BL96" s="225"/>
      <c r="BM96" s="225"/>
    </row>
    <row r="97" spans="41:65" x14ac:dyDescent="0.25">
      <c r="AO97"/>
      <c r="AS97"/>
      <c r="BC97" s="225"/>
      <c r="BD97" s="225"/>
      <c r="BE97" s="225"/>
      <c r="BF97" s="225"/>
      <c r="BG97" s="225"/>
      <c r="BH97" s="225"/>
      <c r="BI97" s="225"/>
      <c r="BJ97" s="225"/>
      <c r="BK97" s="225"/>
      <c r="BL97" s="225"/>
      <c r="BM97" s="225"/>
    </row>
    <row r="98" spans="41:65" x14ac:dyDescent="0.25">
      <c r="AO98"/>
      <c r="AS98"/>
      <c r="BC98" s="225"/>
      <c r="BD98" s="225"/>
      <c r="BE98" s="225"/>
      <c r="BF98" s="225"/>
      <c r="BG98" s="225"/>
      <c r="BH98" s="225"/>
      <c r="BI98" s="225"/>
      <c r="BJ98" s="225"/>
      <c r="BK98" s="225"/>
      <c r="BL98" s="225"/>
      <c r="BM98" s="225"/>
    </row>
    <row r="99" spans="41:65" x14ac:dyDescent="0.25">
      <c r="AO99"/>
      <c r="AS99"/>
      <c r="BC99" s="225"/>
      <c r="BD99" s="225"/>
      <c r="BE99" s="225"/>
      <c r="BF99" s="225"/>
      <c r="BG99" s="225"/>
      <c r="BH99" s="225"/>
      <c r="BI99" s="225"/>
      <c r="BJ99" s="225"/>
      <c r="BK99" s="225"/>
      <c r="BL99" s="225"/>
      <c r="BM99" s="225"/>
    </row>
    <row r="100" spans="41:65" x14ac:dyDescent="0.25">
      <c r="AO100"/>
      <c r="AS100"/>
      <c r="BC100" s="225"/>
      <c r="BD100" s="225"/>
      <c r="BE100" s="225"/>
      <c r="BF100" s="225"/>
      <c r="BG100" s="225"/>
      <c r="BH100" s="225"/>
      <c r="BI100" s="225"/>
      <c r="BJ100" s="225"/>
      <c r="BK100" s="225"/>
      <c r="BL100" s="225"/>
      <c r="BM100" s="225"/>
    </row>
    <row r="101" spans="41:65" x14ac:dyDescent="0.25">
      <c r="AO101"/>
      <c r="AS101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</row>
    <row r="102" spans="41:65" x14ac:dyDescent="0.25">
      <c r="AO102"/>
      <c r="AS102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</row>
    <row r="103" spans="41:65" x14ac:dyDescent="0.25">
      <c r="AO103"/>
      <c r="AS103"/>
      <c r="BC103" s="225"/>
      <c r="BD103" s="225"/>
      <c r="BE103" s="225"/>
      <c r="BF103" s="225"/>
      <c r="BG103" s="225"/>
      <c r="BH103" s="225"/>
      <c r="BI103" s="225"/>
      <c r="BJ103" s="225"/>
      <c r="BK103" s="225"/>
      <c r="BL103" s="225"/>
      <c r="BM103" s="225"/>
    </row>
    <row r="104" spans="41:65" x14ac:dyDescent="0.25">
      <c r="AO104"/>
      <c r="AS104"/>
      <c r="BC104" s="225"/>
      <c r="BD104" s="225"/>
      <c r="BE104" s="225"/>
      <c r="BF104" s="225"/>
      <c r="BG104" s="225"/>
      <c r="BH104" s="225"/>
      <c r="BI104" s="225"/>
      <c r="BJ104" s="225"/>
      <c r="BK104" s="225"/>
      <c r="BL104" s="225"/>
      <c r="BM104" s="225"/>
    </row>
    <row r="105" spans="41:65" x14ac:dyDescent="0.25">
      <c r="AO105"/>
      <c r="AS105"/>
      <c r="BC105" s="225"/>
      <c r="BD105" s="225"/>
      <c r="BE105" s="225"/>
      <c r="BF105" s="225"/>
      <c r="BG105" s="225"/>
      <c r="BH105" s="225"/>
      <c r="BI105" s="225"/>
      <c r="BJ105" s="225"/>
      <c r="BK105" s="225"/>
      <c r="BL105" s="225"/>
      <c r="BM105" s="225"/>
    </row>
    <row r="106" spans="41:65" x14ac:dyDescent="0.25">
      <c r="AO106"/>
      <c r="AS106"/>
      <c r="BC106" s="225"/>
      <c r="BD106" s="225"/>
      <c r="BE106" s="225"/>
      <c r="BF106" s="225"/>
      <c r="BG106" s="225"/>
      <c r="BH106" s="225"/>
      <c r="BI106" s="225"/>
      <c r="BJ106" s="225"/>
      <c r="BK106" s="225"/>
      <c r="BL106" s="225"/>
      <c r="BM106" s="225"/>
    </row>
    <row r="107" spans="41:65" x14ac:dyDescent="0.25">
      <c r="AO107"/>
      <c r="AS107"/>
      <c r="BC107" s="225"/>
      <c r="BD107" s="225"/>
      <c r="BE107" s="225"/>
      <c r="BF107" s="225"/>
      <c r="BG107" s="225"/>
      <c r="BH107" s="225"/>
      <c r="BI107" s="225"/>
      <c r="BJ107" s="225"/>
      <c r="BK107" s="225"/>
      <c r="BL107" s="225"/>
      <c r="BM107" s="225"/>
    </row>
    <row r="108" spans="41:65" x14ac:dyDescent="0.25">
      <c r="AO108"/>
      <c r="AS108"/>
      <c r="BC108" s="225"/>
      <c r="BD108" s="225"/>
      <c r="BE108" s="225"/>
      <c r="BF108" s="225"/>
      <c r="BG108" s="225"/>
      <c r="BH108" s="225"/>
      <c r="BI108" s="225"/>
      <c r="BJ108" s="225"/>
      <c r="BK108" s="225"/>
      <c r="BL108" s="225"/>
      <c r="BM108" s="225"/>
    </row>
    <row r="109" spans="41:65" x14ac:dyDescent="0.25">
      <c r="AO109"/>
      <c r="AS109"/>
      <c r="BC109" s="225"/>
      <c r="BD109" s="225"/>
      <c r="BE109" s="225"/>
      <c r="BF109" s="225"/>
      <c r="BG109" s="225"/>
      <c r="BH109" s="225"/>
      <c r="BI109" s="225"/>
      <c r="BJ109" s="225"/>
      <c r="BK109" s="225"/>
      <c r="BL109" s="225"/>
      <c r="BM109" s="225"/>
    </row>
    <row r="110" spans="41:65" x14ac:dyDescent="0.25">
      <c r="AO110"/>
      <c r="AS110"/>
      <c r="BC110" s="225"/>
      <c r="BD110" s="225"/>
      <c r="BE110" s="225"/>
      <c r="BF110" s="225"/>
      <c r="BG110" s="225"/>
      <c r="BH110" s="225"/>
      <c r="BI110" s="225"/>
      <c r="BJ110" s="225"/>
      <c r="BK110" s="225"/>
      <c r="BL110" s="225"/>
      <c r="BM110" s="225"/>
    </row>
    <row r="111" spans="41:65" x14ac:dyDescent="0.25">
      <c r="AO111"/>
      <c r="AS111"/>
      <c r="BC111" s="225"/>
      <c r="BD111" s="225"/>
      <c r="BE111" s="225"/>
      <c r="BF111" s="225"/>
      <c r="BG111" s="225"/>
      <c r="BH111" s="225"/>
      <c r="BI111" s="225"/>
      <c r="BJ111" s="225"/>
      <c r="BK111" s="225"/>
      <c r="BL111" s="225"/>
      <c r="BM111" s="225"/>
    </row>
    <row r="112" spans="41:65" x14ac:dyDescent="0.25">
      <c r="AO112"/>
      <c r="AS112"/>
      <c r="BC112" s="225"/>
      <c r="BD112" s="225"/>
      <c r="BE112" s="225"/>
      <c r="BF112" s="225"/>
      <c r="BG112" s="225"/>
      <c r="BH112" s="225"/>
      <c r="BI112" s="225"/>
      <c r="BJ112" s="225"/>
      <c r="BK112" s="225"/>
      <c r="BL112" s="225"/>
      <c r="BM112" s="225"/>
    </row>
    <row r="113" spans="41:65" x14ac:dyDescent="0.25">
      <c r="AO113"/>
      <c r="AS113"/>
      <c r="BC113" s="225"/>
      <c r="BD113" s="225"/>
      <c r="BE113" s="225"/>
      <c r="BF113" s="225"/>
      <c r="BG113" s="225"/>
      <c r="BH113" s="225"/>
      <c r="BI113" s="225"/>
      <c r="BJ113" s="225"/>
      <c r="BK113" s="225"/>
      <c r="BL113" s="225"/>
      <c r="BM113" s="225"/>
    </row>
    <row r="114" spans="41:65" x14ac:dyDescent="0.25">
      <c r="AO114"/>
      <c r="AS114"/>
      <c r="BC114" s="225"/>
      <c r="BD114" s="225"/>
      <c r="BE114" s="225"/>
      <c r="BF114" s="225"/>
      <c r="BG114" s="225"/>
      <c r="BH114" s="225"/>
      <c r="BI114" s="225"/>
      <c r="BJ114" s="225"/>
      <c r="BK114" s="225"/>
      <c r="BL114" s="225"/>
      <c r="BM114" s="225"/>
    </row>
    <row r="115" spans="41:65" x14ac:dyDescent="0.25">
      <c r="AO115"/>
      <c r="AS115"/>
      <c r="BC115" s="225"/>
      <c r="BD115" s="225"/>
      <c r="BE115" s="225"/>
      <c r="BF115" s="225"/>
      <c r="BG115" s="225"/>
      <c r="BH115" s="225"/>
      <c r="BI115" s="225"/>
      <c r="BJ115" s="225"/>
      <c r="BK115" s="225"/>
      <c r="BL115" s="225"/>
      <c r="BM115" s="225"/>
    </row>
    <row r="116" spans="41:65" x14ac:dyDescent="0.25">
      <c r="AO116"/>
      <c r="AS116"/>
      <c r="BC116" s="225"/>
      <c r="BD116" s="225"/>
      <c r="BE116" s="225"/>
      <c r="BF116" s="225"/>
      <c r="BG116" s="225"/>
      <c r="BH116" s="225"/>
      <c r="BI116" s="225"/>
      <c r="BJ116" s="225"/>
      <c r="BK116" s="225"/>
      <c r="BL116" s="225"/>
      <c r="BM116" s="225"/>
    </row>
    <row r="117" spans="41:65" x14ac:dyDescent="0.25">
      <c r="AO117"/>
      <c r="AS117"/>
      <c r="BC117" s="225"/>
      <c r="BD117" s="225"/>
      <c r="BE117" s="225"/>
      <c r="BF117" s="225"/>
      <c r="BG117" s="225"/>
      <c r="BH117" s="225"/>
      <c r="BI117" s="225"/>
      <c r="BJ117" s="225"/>
      <c r="BK117" s="225"/>
      <c r="BL117" s="225"/>
      <c r="BM117" s="225"/>
    </row>
    <row r="118" spans="41:65" x14ac:dyDescent="0.25">
      <c r="AO118"/>
      <c r="AS118"/>
      <c r="BC118" s="225"/>
      <c r="BD118" s="225"/>
      <c r="BE118" s="225"/>
      <c r="BF118" s="225"/>
      <c r="BG118" s="225"/>
      <c r="BH118" s="225"/>
      <c r="BI118" s="225"/>
      <c r="BJ118" s="225"/>
      <c r="BK118" s="225"/>
      <c r="BL118" s="225"/>
      <c r="BM118" s="225"/>
    </row>
    <row r="119" spans="41:65" x14ac:dyDescent="0.25">
      <c r="AO119"/>
      <c r="AS119"/>
      <c r="BC119" s="225"/>
      <c r="BD119" s="225"/>
      <c r="BE119" s="225"/>
      <c r="BF119" s="225"/>
      <c r="BG119" s="225"/>
      <c r="BH119" s="225"/>
      <c r="BI119" s="225"/>
      <c r="BJ119" s="225"/>
      <c r="BK119" s="225"/>
      <c r="BL119" s="225"/>
      <c r="BM119" s="225"/>
    </row>
    <row r="120" spans="41:65" x14ac:dyDescent="0.25">
      <c r="AO120"/>
      <c r="AS120"/>
      <c r="BC120" s="225"/>
      <c r="BD120" s="225"/>
      <c r="BE120" s="225"/>
      <c r="BF120" s="225"/>
      <c r="BG120" s="225"/>
      <c r="BH120" s="225"/>
      <c r="BI120" s="225"/>
      <c r="BJ120" s="225"/>
      <c r="BK120" s="225"/>
      <c r="BL120" s="225"/>
      <c r="BM120" s="225"/>
    </row>
    <row r="121" spans="41:65" x14ac:dyDescent="0.25">
      <c r="AO121"/>
      <c r="AS121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5"/>
    </row>
    <row r="122" spans="41:65" x14ac:dyDescent="0.25">
      <c r="AO122"/>
      <c r="AS122"/>
      <c r="BC122" s="225"/>
      <c r="BD122" s="225"/>
      <c r="BE122" s="225"/>
      <c r="BF122" s="225"/>
      <c r="BG122" s="225"/>
      <c r="BH122" s="225"/>
      <c r="BI122" s="225"/>
      <c r="BJ122" s="225"/>
      <c r="BK122" s="225"/>
      <c r="BL122" s="225"/>
      <c r="BM122" s="225"/>
    </row>
    <row r="123" spans="41:65" x14ac:dyDescent="0.25">
      <c r="AO123"/>
      <c r="AS123"/>
      <c r="BC123" s="225"/>
      <c r="BD123" s="225"/>
      <c r="BE123" s="225"/>
      <c r="BF123" s="225"/>
      <c r="BG123" s="225"/>
      <c r="BH123" s="225"/>
      <c r="BI123" s="225"/>
      <c r="BJ123" s="225"/>
      <c r="BK123" s="225"/>
      <c r="BL123" s="225"/>
      <c r="BM123" s="225"/>
    </row>
    <row r="124" spans="41:65" x14ac:dyDescent="0.25">
      <c r="AO124"/>
      <c r="AS124"/>
      <c r="BC124" s="225"/>
      <c r="BD124" s="225"/>
      <c r="BE124" s="225"/>
      <c r="BF124" s="225"/>
      <c r="BG124" s="225"/>
      <c r="BH124" s="225"/>
      <c r="BI124" s="225"/>
      <c r="BJ124" s="225"/>
      <c r="BK124" s="225"/>
      <c r="BL124" s="225"/>
      <c r="BM124" s="225"/>
    </row>
    <row r="125" spans="41:65" x14ac:dyDescent="0.25">
      <c r="AO125"/>
      <c r="AS125"/>
      <c r="BC125" s="225"/>
      <c r="BD125" s="225"/>
      <c r="BE125" s="225"/>
      <c r="BF125" s="225"/>
      <c r="BG125" s="225"/>
      <c r="BH125" s="225"/>
      <c r="BI125" s="225"/>
      <c r="BJ125" s="225"/>
      <c r="BK125" s="225"/>
      <c r="BL125" s="225"/>
      <c r="BM125" s="225"/>
    </row>
    <row r="126" spans="41:65" x14ac:dyDescent="0.25">
      <c r="AO126"/>
      <c r="AS126"/>
      <c r="BC126" s="225"/>
      <c r="BD126" s="225"/>
      <c r="BE126" s="225"/>
      <c r="BF126" s="225"/>
      <c r="BG126" s="225"/>
      <c r="BH126" s="225"/>
      <c r="BI126" s="225"/>
      <c r="BJ126" s="225"/>
      <c r="BK126" s="225"/>
      <c r="BL126" s="225"/>
      <c r="BM126" s="225"/>
    </row>
    <row r="127" spans="41:65" x14ac:dyDescent="0.25">
      <c r="AO127"/>
      <c r="AS127"/>
      <c r="BC127" s="225"/>
      <c r="BD127" s="225"/>
      <c r="BE127" s="225"/>
      <c r="BF127" s="225"/>
      <c r="BG127" s="225"/>
      <c r="BH127" s="225"/>
      <c r="BI127" s="225"/>
      <c r="BJ127" s="225"/>
      <c r="BK127" s="225"/>
      <c r="BL127" s="225"/>
      <c r="BM127" s="225"/>
    </row>
    <row r="128" spans="41:65" x14ac:dyDescent="0.25">
      <c r="AO128"/>
      <c r="AS128"/>
      <c r="BC128" s="225"/>
      <c r="BD128" s="225"/>
      <c r="BE128" s="225"/>
      <c r="BF128" s="225"/>
      <c r="BG128" s="225"/>
      <c r="BH128" s="225"/>
      <c r="BI128" s="225"/>
      <c r="BJ128" s="225"/>
      <c r="BK128" s="225"/>
      <c r="BL128" s="225"/>
      <c r="BM128" s="225"/>
    </row>
    <row r="129" spans="41:65" x14ac:dyDescent="0.25">
      <c r="AO129"/>
      <c r="AS129"/>
      <c r="BC129" s="225"/>
      <c r="BD129" s="225"/>
      <c r="BE129" s="225"/>
      <c r="BF129" s="225"/>
      <c r="BG129" s="225"/>
      <c r="BH129" s="225"/>
      <c r="BI129" s="225"/>
      <c r="BJ129" s="225"/>
      <c r="BK129" s="225"/>
      <c r="BL129" s="225"/>
      <c r="BM129" s="225"/>
    </row>
    <row r="130" spans="41:65" x14ac:dyDescent="0.25">
      <c r="AO130"/>
      <c r="AS130"/>
      <c r="BC130" s="225"/>
      <c r="BD130" s="225"/>
      <c r="BE130" s="225"/>
      <c r="BF130" s="225"/>
      <c r="BG130" s="225"/>
      <c r="BH130" s="225"/>
      <c r="BI130" s="225"/>
      <c r="BJ130" s="225"/>
      <c r="BK130" s="225"/>
      <c r="BL130" s="225"/>
      <c r="BM130" s="225"/>
    </row>
    <row r="131" spans="41:65" x14ac:dyDescent="0.25">
      <c r="AO131"/>
      <c r="AS131"/>
      <c r="BC131" s="225"/>
      <c r="BD131" s="225"/>
      <c r="BE131" s="225"/>
      <c r="BF131" s="225"/>
      <c r="BG131" s="225"/>
      <c r="BH131" s="225"/>
      <c r="BI131" s="225"/>
      <c r="BJ131" s="225"/>
      <c r="BK131" s="225"/>
      <c r="BL131" s="225"/>
      <c r="BM131" s="225"/>
    </row>
    <row r="132" spans="41:65" x14ac:dyDescent="0.25">
      <c r="AO132"/>
      <c r="AS132"/>
      <c r="BC132" s="225"/>
      <c r="BD132" s="225"/>
      <c r="BE132" s="225"/>
      <c r="BF132" s="225"/>
      <c r="BG132" s="225"/>
      <c r="BH132" s="225"/>
      <c r="BI132" s="225"/>
      <c r="BJ132" s="225"/>
      <c r="BK132" s="225"/>
      <c r="BL132" s="225"/>
      <c r="BM132" s="225"/>
    </row>
    <row r="133" spans="41:65" x14ac:dyDescent="0.25">
      <c r="AO133"/>
      <c r="AS133"/>
      <c r="BC133" s="225"/>
      <c r="BD133" s="225"/>
      <c r="BE133" s="225"/>
      <c r="BF133" s="225"/>
      <c r="BG133" s="225"/>
      <c r="BH133" s="225"/>
      <c r="BI133" s="225"/>
      <c r="BJ133" s="225"/>
      <c r="BK133" s="225"/>
      <c r="BL133" s="225"/>
      <c r="BM133" s="225"/>
    </row>
    <row r="134" spans="41:65" x14ac:dyDescent="0.25">
      <c r="AO134"/>
      <c r="AS134"/>
      <c r="BC134" s="225"/>
      <c r="BD134" s="225"/>
      <c r="BE134" s="225"/>
      <c r="BF134" s="225"/>
      <c r="BG134" s="225"/>
      <c r="BH134" s="225"/>
      <c r="BI134" s="225"/>
      <c r="BJ134" s="225"/>
      <c r="BK134" s="225"/>
      <c r="BL134" s="225"/>
      <c r="BM134" s="225"/>
    </row>
    <row r="135" spans="41:65" x14ac:dyDescent="0.25">
      <c r="AO135"/>
      <c r="AS135"/>
      <c r="BC135" s="225"/>
      <c r="BD135" s="225"/>
      <c r="BE135" s="225"/>
      <c r="BF135" s="225"/>
      <c r="BG135" s="225"/>
      <c r="BH135" s="225"/>
      <c r="BI135" s="225"/>
      <c r="BJ135" s="225"/>
      <c r="BK135" s="225"/>
      <c r="BL135" s="225"/>
      <c r="BM135" s="225"/>
    </row>
    <row r="136" spans="41:65" x14ac:dyDescent="0.25">
      <c r="AO136"/>
      <c r="AS136"/>
      <c r="BC136" s="225"/>
      <c r="BD136" s="225"/>
      <c r="BE136" s="225"/>
      <c r="BF136" s="225"/>
      <c r="BG136" s="225"/>
      <c r="BH136" s="225"/>
      <c r="BI136" s="225"/>
      <c r="BJ136" s="225"/>
      <c r="BK136" s="225"/>
      <c r="BL136" s="225"/>
      <c r="BM136" s="225"/>
    </row>
    <row r="137" spans="41:65" x14ac:dyDescent="0.25">
      <c r="AO137"/>
      <c r="AS137"/>
      <c r="BC137" s="225"/>
      <c r="BD137" s="225"/>
      <c r="BE137" s="225"/>
      <c r="BF137" s="225"/>
      <c r="BG137" s="225"/>
      <c r="BH137" s="225"/>
      <c r="BI137" s="225"/>
      <c r="BJ137" s="225"/>
      <c r="BK137" s="225"/>
      <c r="BL137" s="225"/>
      <c r="BM137" s="225"/>
    </row>
    <row r="138" spans="41:65" x14ac:dyDescent="0.25">
      <c r="AO138"/>
      <c r="AS138"/>
      <c r="BC138" s="225"/>
      <c r="BD138" s="225"/>
      <c r="BE138" s="225"/>
      <c r="BF138" s="225"/>
      <c r="BG138" s="225"/>
      <c r="BH138" s="225"/>
      <c r="BI138" s="225"/>
      <c r="BJ138" s="225"/>
      <c r="BK138" s="225"/>
      <c r="BL138" s="225"/>
      <c r="BM138" s="225"/>
    </row>
    <row r="139" spans="41:65" x14ac:dyDescent="0.25">
      <c r="AO139"/>
      <c r="AS139"/>
      <c r="BC139" s="225"/>
      <c r="BD139" s="225"/>
      <c r="BE139" s="225"/>
      <c r="BF139" s="225"/>
      <c r="BG139" s="225"/>
      <c r="BH139" s="225"/>
      <c r="BI139" s="225"/>
      <c r="BJ139" s="225"/>
      <c r="BK139" s="225"/>
      <c r="BL139" s="225"/>
      <c r="BM139" s="225"/>
    </row>
    <row r="140" spans="41:65" x14ac:dyDescent="0.25">
      <c r="AO140"/>
      <c r="AS140"/>
      <c r="BC140" s="225"/>
      <c r="BD140" s="225"/>
      <c r="BE140" s="225"/>
      <c r="BF140" s="225"/>
      <c r="BG140" s="225"/>
      <c r="BH140" s="225"/>
      <c r="BI140" s="225"/>
      <c r="BJ140" s="225"/>
      <c r="BK140" s="225"/>
      <c r="BL140" s="225"/>
      <c r="BM140" s="225"/>
    </row>
    <row r="141" spans="41:65" x14ac:dyDescent="0.25">
      <c r="AO141"/>
      <c r="AS141"/>
      <c r="BC141" s="225"/>
      <c r="BD141" s="225"/>
      <c r="BE141" s="225"/>
      <c r="BF141" s="225"/>
      <c r="BG141" s="225"/>
      <c r="BH141" s="225"/>
      <c r="BI141" s="225"/>
      <c r="BJ141" s="225"/>
      <c r="BK141" s="225"/>
      <c r="BL141" s="225"/>
      <c r="BM141" s="225"/>
    </row>
    <row r="142" spans="41:65" x14ac:dyDescent="0.25">
      <c r="AO142"/>
      <c r="AS142"/>
      <c r="BC142" s="225"/>
      <c r="BD142" s="225"/>
      <c r="BE142" s="225"/>
      <c r="BF142" s="225"/>
      <c r="BG142" s="225"/>
      <c r="BH142" s="225"/>
      <c r="BI142" s="225"/>
      <c r="BJ142" s="225"/>
      <c r="BK142" s="225"/>
      <c r="BL142" s="225"/>
      <c r="BM142" s="225"/>
    </row>
    <row r="143" spans="41:65" x14ac:dyDescent="0.25">
      <c r="AO143"/>
      <c r="AS143"/>
      <c r="BC143" s="225"/>
      <c r="BD143" s="225"/>
      <c r="BE143" s="225"/>
      <c r="BF143" s="225"/>
      <c r="BG143" s="225"/>
      <c r="BH143" s="225"/>
      <c r="BI143" s="225"/>
      <c r="BJ143" s="225"/>
      <c r="BK143" s="225"/>
      <c r="BL143" s="225"/>
      <c r="BM143" s="225"/>
    </row>
    <row r="144" spans="41:65" x14ac:dyDescent="0.25">
      <c r="AO144"/>
      <c r="AS144"/>
      <c r="BC144" s="225"/>
      <c r="BD144" s="225"/>
      <c r="BE144" s="225"/>
      <c r="BF144" s="225"/>
      <c r="BG144" s="225"/>
      <c r="BH144" s="225"/>
      <c r="BI144" s="225"/>
      <c r="BJ144" s="225"/>
      <c r="BK144" s="225"/>
      <c r="BL144" s="225"/>
      <c r="BM144" s="225"/>
    </row>
    <row r="145" spans="41:65" x14ac:dyDescent="0.25">
      <c r="AO145"/>
      <c r="AS145"/>
      <c r="BC145" s="225"/>
      <c r="BD145" s="225"/>
      <c r="BE145" s="225"/>
      <c r="BF145" s="225"/>
      <c r="BG145" s="225"/>
      <c r="BH145" s="225"/>
      <c r="BI145" s="225"/>
      <c r="BJ145" s="225"/>
      <c r="BK145" s="225"/>
      <c r="BL145" s="225"/>
      <c r="BM145" s="225"/>
    </row>
    <row r="146" spans="41:65" x14ac:dyDescent="0.25">
      <c r="AO146"/>
      <c r="AS146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</row>
    <row r="147" spans="41:65" x14ac:dyDescent="0.25">
      <c r="AO147"/>
      <c r="AS147"/>
      <c r="BC147" s="225"/>
      <c r="BD147" s="225"/>
      <c r="BE147" s="225"/>
      <c r="BF147" s="225"/>
      <c r="BG147" s="225"/>
      <c r="BH147" s="225"/>
      <c r="BI147" s="225"/>
      <c r="BJ147" s="225"/>
      <c r="BK147" s="225"/>
      <c r="BL147" s="225"/>
      <c r="BM147" s="225"/>
    </row>
    <row r="148" spans="41:65" x14ac:dyDescent="0.25">
      <c r="AO148"/>
      <c r="AS148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</row>
    <row r="149" spans="41:65" x14ac:dyDescent="0.25">
      <c r="AO149"/>
      <c r="AS149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</row>
    <row r="150" spans="41:65" x14ac:dyDescent="0.25">
      <c r="AO150"/>
      <c r="AS150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</row>
    <row r="151" spans="41:65" x14ac:dyDescent="0.25">
      <c r="AO151"/>
      <c r="AS151"/>
      <c r="BC151" s="225"/>
      <c r="BD151" s="225"/>
      <c r="BE151" s="225"/>
      <c r="BF151" s="225"/>
      <c r="BG151" s="225"/>
      <c r="BH151" s="225"/>
      <c r="BI151" s="225"/>
      <c r="BJ151" s="225"/>
      <c r="BK151" s="225"/>
      <c r="BL151" s="225"/>
      <c r="BM151" s="225"/>
    </row>
    <row r="152" spans="41:65" x14ac:dyDescent="0.25">
      <c r="AO152"/>
      <c r="AS152"/>
      <c r="BC152" s="225"/>
      <c r="BD152" s="225"/>
      <c r="BE152" s="225"/>
      <c r="BF152" s="225"/>
      <c r="BG152" s="225"/>
      <c r="BH152" s="225"/>
      <c r="BI152" s="225"/>
      <c r="BJ152" s="225"/>
      <c r="BK152" s="225"/>
      <c r="BL152" s="225"/>
      <c r="BM152" s="225"/>
    </row>
    <row r="153" spans="41:65" x14ac:dyDescent="0.25">
      <c r="AO153"/>
      <c r="AS153"/>
      <c r="BC153" s="225"/>
      <c r="BD153" s="225"/>
      <c r="BE153" s="225"/>
      <c r="BF153" s="225"/>
      <c r="BG153" s="225"/>
      <c r="BH153" s="225"/>
      <c r="BI153" s="225"/>
      <c r="BJ153" s="225"/>
      <c r="BK153" s="225"/>
      <c r="BL153" s="225"/>
      <c r="BM153" s="225"/>
    </row>
    <row r="154" spans="41:65" x14ac:dyDescent="0.25">
      <c r="AO154"/>
      <c r="AS154"/>
      <c r="BC154" s="225"/>
      <c r="BD154" s="225"/>
      <c r="BE154" s="225"/>
      <c r="BF154" s="225"/>
      <c r="BG154" s="225"/>
      <c r="BH154" s="225"/>
      <c r="BI154" s="225"/>
      <c r="BJ154" s="225"/>
      <c r="BK154" s="225"/>
      <c r="BL154" s="225"/>
      <c r="BM154" s="225"/>
    </row>
    <row r="155" spans="41:65" x14ac:dyDescent="0.25">
      <c r="AO155"/>
      <c r="AS155"/>
      <c r="BC155" s="225"/>
      <c r="BD155" s="225"/>
      <c r="BE155" s="225"/>
      <c r="BF155" s="225"/>
      <c r="BG155" s="225"/>
      <c r="BH155" s="225"/>
      <c r="BI155" s="225"/>
      <c r="BJ155" s="225"/>
      <c r="BK155" s="225"/>
      <c r="BL155" s="225"/>
      <c r="BM155" s="225"/>
    </row>
    <row r="156" spans="41:65" x14ac:dyDescent="0.25">
      <c r="AO156"/>
      <c r="AS156"/>
      <c r="BC156" s="225"/>
      <c r="BD156" s="225"/>
      <c r="BE156" s="225"/>
      <c r="BF156" s="225"/>
      <c r="BG156" s="225"/>
      <c r="BH156" s="225"/>
      <c r="BI156" s="225"/>
      <c r="BJ156" s="225"/>
      <c r="BK156" s="225"/>
      <c r="BL156" s="225"/>
      <c r="BM156" s="225"/>
    </row>
    <row r="157" spans="41:65" x14ac:dyDescent="0.25">
      <c r="AO157"/>
      <c r="AS157"/>
      <c r="BC157" s="225"/>
      <c r="BD157" s="225"/>
      <c r="BE157" s="225"/>
      <c r="BF157" s="225"/>
      <c r="BG157" s="225"/>
      <c r="BH157" s="225"/>
      <c r="BI157" s="225"/>
      <c r="BJ157" s="225"/>
      <c r="BK157" s="225"/>
      <c r="BL157" s="225"/>
      <c r="BM157" s="225"/>
    </row>
    <row r="158" spans="41:65" x14ac:dyDescent="0.25">
      <c r="AO158"/>
      <c r="AS158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</row>
    <row r="159" spans="41:65" x14ac:dyDescent="0.25">
      <c r="AO159"/>
      <c r="AS159"/>
      <c r="BC159" s="225"/>
      <c r="BD159" s="225"/>
      <c r="BE159" s="225"/>
      <c r="BF159" s="225"/>
      <c r="BG159" s="225"/>
      <c r="BH159" s="225"/>
      <c r="BI159" s="225"/>
      <c r="BJ159" s="225"/>
      <c r="BK159" s="225"/>
      <c r="BL159" s="225"/>
      <c r="BM159" s="225"/>
    </row>
    <row r="160" spans="41:65" x14ac:dyDescent="0.25">
      <c r="AO160"/>
      <c r="AS160"/>
      <c r="BC160" s="225"/>
      <c r="BD160" s="225"/>
      <c r="BE160" s="225"/>
      <c r="BF160" s="225"/>
      <c r="BG160" s="225"/>
      <c r="BH160" s="225"/>
      <c r="BI160" s="225"/>
      <c r="BJ160" s="225"/>
      <c r="BK160" s="225"/>
      <c r="BL160" s="225"/>
      <c r="BM160" s="225"/>
    </row>
    <row r="161" spans="41:65" x14ac:dyDescent="0.25">
      <c r="AO161"/>
      <c r="AS161"/>
      <c r="BC161" s="225"/>
      <c r="BD161" s="225"/>
      <c r="BE161" s="225"/>
      <c r="BF161" s="225"/>
      <c r="BG161" s="225"/>
      <c r="BH161" s="225"/>
      <c r="BI161" s="225"/>
      <c r="BJ161" s="225"/>
      <c r="BK161" s="225"/>
      <c r="BL161" s="225"/>
      <c r="BM161" s="225"/>
    </row>
    <row r="162" spans="41:65" x14ac:dyDescent="0.25">
      <c r="AO162"/>
      <c r="AS162"/>
      <c r="BC162" s="225"/>
      <c r="BD162" s="225"/>
      <c r="BE162" s="225"/>
      <c r="BF162" s="225"/>
      <c r="BG162" s="225"/>
      <c r="BH162" s="225"/>
      <c r="BI162" s="225"/>
      <c r="BJ162" s="225"/>
      <c r="BK162" s="225"/>
      <c r="BL162" s="225"/>
      <c r="BM162" s="225"/>
    </row>
    <row r="163" spans="41:65" x14ac:dyDescent="0.25">
      <c r="AO163"/>
      <c r="AS163"/>
      <c r="BC163" s="225"/>
      <c r="BD163" s="225"/>
      <c r="BE163" s="225"/>
      <c r="BF163" s="225"/>
      <c r="BG163" s="225"/>
      <c r="BH163" s="225"/>
      <c r="BI163" s="225"/>
      <c r="BJ163" s="225"/>
      <c r="BK163" s="225"/>
      <c r="BL163" s="225"/>
      <c r="BM163" s="225"/>
    </row>
    <row r="164" spans="41:65" x14ac:dyDescent="0.25">
      <c r="AO164"/>
      <c r="AS164"/>
      <c r="BC164" s="225"/>
      <c r="BD164" s="225"/>
      <c r="BE164" s="225"/>
      <c r="BF164" s="225"/>
      <c r="BG164" s="225"/>
      <c r="BH164" s="225"/>
      <c r="BI164" s="225"/>
      <c r="BJ164" s="225"/>
      <c r="BK164" s="225"/>
      <c r="BL164" s="225"/>
      <c r="BM164" s="225"/>
    </row>
    <row r="165" spans="41:65" x14ac:dyDescent="0.25">
      <c r="AO165"/>
      <c r="AS16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</row>
    <row r="166" spans="41:65" x14ac:dyDescent="0.25">
      <c r="AO166"/>
      <c r="AS166"/>
      <c r="BC166" s="225"/>
      <c r="BD166" s="225"/>
      <c r="BE166" s="225"/>
      <c r="BF166" s="225"/>
      <c r="BG166" s="225"/>
      <c r="BH166" s="225"/>
      <c r="BI166" s="225"/>
      <c r="BJ166" s="225"/>
      <c r="BK166" s="225"/>
      <c r="BL166" s="225"/>
      <c r="BM166" s="225"/>
    </row>
    <row r="167" spans="41:65" x14ac:dyDescent="0.25">
      <c r="AO167"/>
      <c r="AS167"/>
      <c r="BC167" s="225"/>
      <c r="BD167" s="225"/>
      <c r="BE167" s="225"/>
      <c r="BF167" s="225"/>
      <c r="BG167" s="225"/>
      <c r="BH167" s="225"/>
      <c r="BI167" s="225"/>
      <c r="BJ167" s="225"/>
      <c r="BK167" s="225"/>
      <c r="BL167" s="225"/>
      <c r="BM167" s="225"/>
    </row>
    <row r="168" spans="41:65" x14ac:dyDescent="0.25">
      <c r="AO168"/>
      <c r="AS168"/>
      <c r="BC168" s="225"/>
      <c r="BD168" s="225"/>
      <c r="BE168" s="225"/>
      <c r="BF168" s="225"/>
      <c r="BG168" s="225"/>
      <c r="BH168" s="225"/>
      <c r="BI168" s="225"/>
      <c r="BJ168" s="225"/>
      <c r="BK168" s="225"/>
      <c r="BL168" s="225"/>
      <c r="BM168" s="225"/>
    </row>
    <row r="169" spans="41:65" x14ac:dyDescent="0.25">
      <c r="AO169"/>
      <c r="AS169"/>
      <c r="BC169" s="225"/>
      <c r="BD169" s="225"/>
      <c r="BE169" s="225"/>
      <c r="BF169" s="225"/>
      <c r="BG169" s="225"/>
      <c r="BH169" s="225"/>
      <c r="BI169" s="225"/>
      <c r="BJ169" s="225"/>
      <c r="BK169" s="225"/>
      <c r="BL169" s="225"/>
      <c r="BM169" s="225"/>
    </row>
    <row r="170" spans="41:65" x14ac:dyDescent="0.25">
      <c r="AO170"/>
      <c r="AS170"/>
      <c r="BC170" s="225"/>
      <c r="BD170" s="225"/>
      <c r="BE170" s="225"/>
      <c r="BF170" s="225"/>
      <c r="BG170" s="225"/>
      <c r="BH170" s="225"/>
      <c r="BI170" s="225"/>
      <c r="BJ170" s="225"/>
      <c r="BK170" s="225"/>
      <c r="BL170" s="225"/>
      <c r="BM170" s="225"/>
    </row>
    <row r="171" spans="41:65" x14ac:dyDescent="0.25">
      <c r="AO171"/>
      <c r="AS171"/>
      <c r="BC171" s="225"/>
      <c r="BD171" s="225"/>
      <c r="BE171" s="225"/>
      <c r="BF171" s="225"/>
      <c r="BG171" s="225"/>
      <c r="BH171" s="225"/>
      <c r="BI171" s="225"/>
      <c r="BJ171" s="225"/>
      <c r="BK171" s="225"/>
      <c r="BL171" s="225"/>
      <c r="BM171" s="225"/>
    </row>
    <row r="172" spans="41:65" x14ac:dyDescent="0.25">
      <c r="AO172"/>
      <c r="AS172"/>
      <c r="BC172" s="225"/>
      <c r="BD172" s="225"/>
      <c r="BE172" s="225"/>
      <c r="BF172" s="225"/>
      <c r="BG172" s="225"/>
      <c r="BH172" s="225"/>
      <c r="BI172" s="225"/>
      <c r="BJ172" s="225"/>
      <c r="BK172" s="225"/>
      <c r="BL172" s="225"/>
      <c r="BM172" s="225"/>
    </row>
    <row r="173" spans="41:65" x14ac:dyDescent="0.25">
      <c r="AO173"/>
      <c r="AS173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</row>
    <row r="174" spans="41:65" x14ac:dyDescent="0.25">
      <c r="AO174"/>
      <c r="AS174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</row>
    <row r="175" spans="41:65" x14ac:dyDescent="0.25">
      <c r="AO175"/>
      <c r="AS175"/>
      <c r="BC175" s="225"/>
      <c r="BD175" s="225"/>
      <c r="BE175" s="225"/>
      <c r="BF175" s="225"/>
      <c r="BG175" s="225"/>
      <c r="BH175" s="225"/>
      <c r="BI175" s="225"/>
      <c r="BJ175" s="225"/>
      <c r="BK175" s="225"/>
      <c r="BL175" s="225"/>
      <c r="BM175" s="225"/>
    </row>
    <row r="176" spans="41:65" x14ac:dyDescent="0.25">
      <c r="AO176"/>
      <c r="AS176"/>
      <c r="BC176" s="225"/>
      <c r="BD176" s="225"/>
      <c r="BE176" s="225"/>
      <c r="BF176" s="225"/>
      <c r="BG176" s="225"/>
      <c r="BH176" s="225"/>
      <c r="BI176" s="225"/>
      <c r="BJ176" s="225"/>
      <c r="BK176" s="225"/>
      <c r="BL176" s="225"/>
      <c r="BM176" s="225"/>
    </row>
    <row r="177" spans="41:65" x14ac:dyDescent="0.25">
      <c r="AO177"/>
      <c r="AS177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</row>
    <row r="178" spans="41:65" x14ac:dyDescent="0.25">
      <c r="AO178"/>
      <c r="AS178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</row>
    <row r="179" spans="41:65" x14ac:dyDescent="0.25">
      <c r="AO179"/>
      <c r="AS179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</row>
    <row r="180" spans="41:65" x14ac:dyDescent="0.25">
      <c r="AO180"/>
      <c r="AS180"/>
      <c r="BC180" s="225"/>
      <c r="BD180" s="225"/>
      <c r="BE180" s="225"/>
      <c r="BF180" s="225"/>
      <c r="BG180" s="225"/>
      <c r="BH180" s="225"/>
      <c r="BI180" s="225"/>
      <c r="BJ180" s="225"/>
      <c r="BK180" s="225"/>
      <c r="BL180" s="225"/>
      <c r="BM180" s="225"/>
    </row>
    <row r="181" spans="41:65" x14ac:dyDescent="0.25">
      <c r="AO181"/>
      <c r="AS181"/>
      <c r="BC181" s="225"/>
      <c r="BD181" s="225"/>
      <c r="BE181" s="225"/>
      <c r="BF181" s="225"/>
      <c r="BG181" s="225"/>
      <c r="BH181" s="225"/>
      <c r="BI181" s="225"/>
      <c r="BJ181" s="225"/>
      <c r="BK181" s="225"/>
      <c r="BL181" s="225"/>
      <c r="BM181" s="225"/>
    </row>
    <row r="182" spans="41:65" x14ac:dyDescent="0.25">
      <c r="AO182"/>
      <c r="AS182"/>
      <c r="BC182" s="225"/>
      <c r="BD182" s="225"/>
      <c r="BE182" s="225"/>
      <c r="BF182" s="225"/>
      <c r="BG182" s="225"/>
      <c r="BH182" s="225"/>
      <c r="BI182" s="225"/>
      <c r="BJ182" s="225"/>
      <c r="BK182" s="225"/>
      <c r="BL182" s="225"/>
      <c r="BM182" s="225"/>
    </row>
    <row r="183" spans="41:65" x14ac:dyDescent="0.25">
      <c r="AO183"/>
      <c r="AS183"/>
      <c r="BC183" s="225"/>
      <c r="BD183" s="225"/>
      <c r="BE183" s="225"/>
      <c r="BF183" s="225"/>
      <c r="BG183" s="225"/>
      <c r="BH183" s="225"/>
      <c r="BI183" s="225"/>
      <c r="BJ183" s="225"/>
      <c r="BK183" s="225"/>
      <c r="BL183" s="225"/>
      <c r="BM183" s="225"/>
    </row>
    <row r="184" spans="41:65" x14ac:dyDescent="0.25">
      <c r="AO184"/>
      <c r="AS184"/>
      <c r="BC184" s="225"/>
      <c r="BD184" s="225"/>
      <c r="BE184" s="225"/>
      <c r="BF184" s="225"/>
      <c r="BG184" s="225"/>
      <c r="BH184" s="225"/>
      <c r="BI184" s="225"/>
      <c r="BJ184" s="225"/>
      <c r="BK184" s="225"/>
      <c r="BL184" s="225"/>
      <c r="BM184" s="225"/>
    </row>
    <row r="185" spans="41:65" x14ac:dyDescent="0.25">
      <c r="AO185"/>
      <c r="AS185"/>
      <c r="BC185" s="225"/>
      <c r="BD185" s="225"/>
      <c r="BE185" s="225"/>
      <c r="BF185" s="225"/>
      <c r="BG185" s="225"/>
      <c r="BH185" s="225"/>
      <c r="BI185" s="225"/>
      <c r="BJ185" s="225"/>
      <c r="BK185" s="225"/>
      <c r="BL185" s="225"/>
      <c r="BM185" s="225"/>
    </row>
    <row r="186" spans="41:65" x14ac:dyDescent="0.25">
      <c r="AO186"/>
      <c r="AS186"/>
      <c r="BC186" s="225"/>
      <c r="BD186" s="225"/>
      <c r="BE186" s="225"/>
      <c r="BF186" s="225"/>
      <c r="BG186" s="225"/>
      <c r="BH186" s="225"/>
      <c r="BI186" s="225"/>
      <c r="BJ186" s="225"/>
      <c r="BK186" s="225"/>
      <c r="BL186" s="225"/>
      <c r="BM186" s="225"/>
    </row>
    <row r="187" spans="41:65" x14ac:dyDescent="0.25">
      <c r="AO187"/>
      <c r="AS187"/>
      <c r="BC187" s="225"/>
      <c r="BD187" s="225"/>
      <c r="BE187" s="225"/>
      <c r="BF187" s="225"/>
      <c r="BG187" s="225"/>
      <c r="BH187" s="225"/>
      <c r="BI187" s="225"/>
      <c r="BJ187" s="225"/>
      <c r="BK187" s="225"/>
      <c r="BL187" s="225"/>
      <c r="BM187" s="225"/>
    </row>
    <row r="188" spans="41:65" x14ac:dyDescent="0.25">
      <c r="AO188"/>
      <c r="AS188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</row>
    <row r="189" spans="41:65" x14ac:dyDescent="0.25">
      <c r="AO189"/>
      <c r="AS189"/>
      <c r="BC189" s="225"/>
      <c r="BD189" s="225"/>
      <c r="BE189" s="225"/>
      <c r="BF189" s="225"/>
      <c r="BG189" s="225"/>
      <c r="BH189" s="225"/>
      <c r="BI189" s="225"/>
      <c r="BJ189" s="225"/>
      <c r="BK189" s="225"/>
      <c r="BL189" s="225"/>
      <c r="BM189" s="225"/>
    </row>
    <row r="190" spans="41:65" x14ac:dyDescent="0.25">
      <c r="AO190"/>
      <c r="AS190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</row>
    <row r="191" spans="41:65" x14ac:dyDescent="0.25">
      <c r="AO191"/>
      <c r="AS191"/>
      <c r="BC191" s="225"/>
      <c r="BD191" s="225"/>
      <c r="BE191" s="225"/>
      <c r="BF191" s="225"/>
      <c r="BG191" s="225"/>
      <c r="BH191" s="225"/>
      <c r="BI191" s="225"/>
      <c r="BJ191" s="225"/>
      <c r="BK191" s="225"/>
      <c r="BL191" s="225"/>
      <c r="BM191" s="225"/>
    </row>
    <row r="192" spans="41:65" x14ac:dyDescent="0.25">
      <c r="AO192"/>
      <c r="AS192"/>
      <c r="BC192" s="225"/>
      <c r="BD192" s="225"/>
      <c r="BE192" s="225"/>
      <c r="BF192" s="225"/>
      <c r="BG192" s="225"/>
      <c r="BH192" s="225"/>
      <c r="BI192" s="225"/>
      <c r="BJ192" s="225"/>
      <c r="BK192" s="225"/>
      <c r="BL192" s="225"/>
      <c r="BM192" s="225"/>
    </row>
    <row r="193" spans="41:65" x14ac:dyDescent="0.25">
      <c r="AO193"/>
      <c r="AS193"/>
      <c r="BC193" s="225"/>
      <c r="BD193" s="225"/>
      <c r="BE193" s="225"/>
      <c r="BF193" s="225"/>
      <c r="BG193" s="225"/>
      <c r="BH193" s="225"/>
      <c r="BI193" s="225"/>
      <c r="BJ193" s="225"/>
      <c r="BK193" s="225"/>
      <c r="BL193" s="225"/>
      <c r="BM193" s="225"/>
    </row>
    <row r="194" spans="41:65" x14ac:dyDescent="0.25">
      <c r="AO194"/>
      <c r="AS194"/>
      <c r="BC194" s="225"/>
      <c r="BD194" s="225"/>
      <c r="BE194" s="225"/>
      <c r="BF194" s="225"/>
      <c r="BG194" s="225"/>
      <c r="BH194" s="225"/>
      <c r="BI194" s="225"/>
      <c r="BJ194" s="225"/>
      <c r="BK194" s="225"/>
      <c r="BL194" s="225"/>
      <c r="BM194" s="225"/>
    </row>
    <row r="195" spans="41:65" x14ac:dyDescent="0.25">
      <c r="AO195"/>
      <c r="AS195"/>
      <c r="BC195" s="225"/>
      <c r="BD195" s="225"/>
      <c r="BE195" s="225"/>
      <c r="BF195" s="225"/>
      <c r="BG195" s="225"/>
      <c r="BH195" s="225"/>
      <c r="BI195" s="225"/>
      <c r="BJ195" s="225"/>
      <c r="BK195" s="225"/>
      <c r="BL195" s="225"/>
      <c r="BM195" s="225"/>
    </row>
    <row r="196" spans="41:65" x14ac:dyDescent="0.25">
      <c r="AO196"/>
      <c r="AS196"/>
      <c r="BC196" s="225"/>
      <c r="BD196" s="225"/>
      <c r="BE196" s="225"/>
      <c r="BF196" s="225"/>
      <c r="BG196" s="225"/>
      <c r="BH196" s="225"/>
      <c r="BI196" s="225"/>
      <c r="BJ196" s="225"/>
      <c r="BK196" s="225"/>
      <c r="BL196" s="225"/>
      <c r="BM196" s="225"/>
    </row>
    <row r="197" spans="41:65" x14ac:dyDescent="0.25">
      <c r="AO197"/>
      <c r="AS197"/>
      <c r="BC197" s="225"/>
      <c r="BD197" s="225"/>
      <c r="BE197" s="225"/>
      <c r="BF197" s="225"/>
      <c r="BG197" s="225"/>
      <c r="BH197" s="225"/>
      <c r="BI197" s="225"/>
      <c r="BJ197" s="225"/>
      <c r="BK197" s="225"/>
      <c r="BL197" s="225"/>
      <c r="BM197" s="225"/>
    </row>
    <row r="198" spans="41:65" x14ac:dyDescent="0.25">
      <c r="AO198"/>
      <c r="AS198"/>
      <c r="BC198" s="225"/>
      <c r="BD198" s="225"/>
      <c r="BE198" s="225"/>
      <c r="BF198" s="225"/>
      <c r="BG198" s="225"/>
      <c r="BH198" s="225"/>
      <c r="BI198" s="225"/>
      <c r="BJ198" s="225"/>
      <c r="BK198" s="225"/>
      <c r="BL198" s="225"/>
      <c r="BM198" s="225"/>
    </row>
    <row r="199" spans="41:65" x14ac:dyDescent="0.25">
      <c r="AO199"/>
      <c r="AS199"/>
      <c r="BC199" s="225"/>
      <c r="BD199" s="225"/>
      <c r="BE199" s="225"/>
      <c r="BF199" s="225"/>
      <c r="BG199" s="225"/>
      <c r="BH199" s="225"/>
      <c r="BI199" s="225"/>
      <c r="BJ199" s="225"/>
      <c r="BK199" s="225"/>
      <c r="BL199" s="225"/>
      <c r="BM199" s="225"/>
    </row>
    <row r="200" spans="41:65" x14ac:dyDescent="0.25">
      <c r="AO200"/>
      <c r="AS200"/>
      <c r="BC200" s="225"/>
      <c r="BD200" s="225"/>
      <c r="BE200" s="225"/>
      <c r="BF200" s="225"/>
      <c r="BG200" s="225"/>
      <c r="BH200" s="225"/>
      <c r="BI200" s="225"/>
      <c r="BJ200" s="225"/>
      <c r="BK200" s="225"/>
      <c r="BL200" s="225"/>
      <c r="BM200" s="225"/>
    </row>
    <row r="201" spans="41:65" x14ac:dyDescent="0.25">
      <c r="AO201"/>
      <c r="AS201"/>
      <c r="BC201" s="225"/>
      <c r="BD201" s="225"/>
      <c r="BE201" s="225"/>
      <c r="BF201" s="225"/>
      <c r="BG201" s="225"/>
      <c r="BH201" s="225"/>
      <c r="BI201" s="225"/>
      <c r="BJ201" s="225"/>
      <c r="BK201" s="225"/>
      <c r="BL201" s="225"/>
      <c r="BM201" s="225"/>
    </row>
    <row r="202" spans="41:65" x14ac:dyDescent="0.25">
      <c r="AO202"/>
      <c r="AS202"/>
      <c r="BC202" s="225"/>
      <c r="BD202" s="225"/>
      <c r="BE202" s="225"/>
      <c r="BF202" s="225"/>
      <c r="BG202" s="225"/>
      <c r="BH202" s="225"/>
      <c r="BI202" s="225"/>
      <c r="BJ202" s="225"/>
      <c r="BK202" s="225"/>
      <c r="BL202" s="225"/>
      <c r="BM202" s="225"/>
    </row>
    <row r="203" spans="41:65" x14ac:dyDescent="0.25">
      <c r="AO203"/>
      <c r="AS203"/>
      <c r="BC203" s="225"/>
      <c r="BD203" s="225"/>
      <c r="BE203" s="225"/>
      <c r="BF203" s="225"/>
      <c r="BG203" s="225"/>
      <c r="BH203" s="225"/>
      <c r="BI203" s="225"/>
      <c r="BJ203" s="225"/>
      <c r="BK203" s="225"/>
      <c r="BL203" s="225"/>
      <c r="BM203" s="225"/>
    </row>
    <row r="204" spans="41:65" x14ac:dyDescent="0.25">
      <c r="AO204"/>
      <c r="AS204"/>
      <c r="BC204" s="225"/>
      <c r="BD204" s="225"/>
      <c r="BE204" s="225"/>
      <c r="BF204" s="225"/>
      <c r="BG204" s="225"/>
      <c r="BH204" s="225"/>
      <c r="BI204" s="225"/>
      <c r="BJ204" s="225"/>
      <c r="BK204" s="225"/>
      <c r="BL204" s="225"/>
      <c r="BM204" s="225"/>
    </row>
    <row r="205" spans="41:65" x14ac:dyDescent="0.25">
      <c r="AO205"/>
      <c r="AS205"/>
      <c r="BC205" s="225"/>
      <c r="BD205" s="225"/>
      <c r="BE205" s="225"/>
      <c r="BF205" s="225"/>
      <c r="BG205" s="225"/>
      <c r="BH205" s="225"/>
      <c r="BI205" s="225"/>
      <c r="BJ205" s="225"/>
      <c r="BK205" s="225"/>
      <c r="BL205" s="225"/>
      <c r="BM205" s="225"/>
    </row>
    <row r="206" spans="41:65" x14ac:dyDescent="0.25">
      <c r="AO206"/>
      <c r="AS206"/>
      <c r="BC206" s="225"/>
      <c r="BD206" s="225"/>
      <c r="BE206" s="225"/>
      <c r="BF206" s="225"/>
      <c r="BG206" s="225"/>
      <c r="BH206" s="225"/>
      <c r="BI206" s="225"/>
      <c r="BJ206" s="225"/>
      <c r="BK206" s="225"/>
      <c r="BL206" s="225"/>
      <c r="BM206" s="225"/>
    </row>
    <row r="207" spans="41:65" x14ac:dyDescent="0.25">
      <c r="AO207"/>
      <c r="AS207"/>
      <c r="BC207" s="225"/>
      <c r="BD207" s="225"/>
      <c r="BE207" s="225"/>
      <c r="BF207" s="225"/>
      <c r="BG207" s="225"/>
      <c r="BH207" s="225"/>
      <c r="BI207" s="225"/>
      <c r="BJ207" s="225"/>
      <c r="BK207" s="225"/>
      <c r="BL207" s="225"/>
      <c r="BM207" s="225"/>
    </row>
    <row r="208" spans="41:65" x14ac:dyDescent="0.25">
      <c r="AO208"/>
      <c r="AS208"/>
      <c r="BC208" s="225"/>
      <c r="BD208" s="225"/>
      <c r="BE208" s="225"/>
      <c r="BF208" s="225"/>
      <c r="BG208" s="225"/>
      <c r="BH208" s="225"/>
      <c r="BI208" s="225"/>
      <c r="BJ208" s="225"/>
      <c r="BK208" s="225"/>
      <c r="BL208" s="225"/>
      <c r="BM208" s="225"/>
    </row>
    <row r="209" spans="41:65" x14ac:dyDescent="0.25">
      <c r="AO209"/>
      <c r="AS209"/>
      <c r="BC209" s="225"/>
      <c r="BD209" s="225"/>
      <c r="BE209" s="225"/>
      <c r="BF209" s="225"/>
      <c r="BG209" s="225"/>
      <c r="BH209" s="225"/>
      <c r="BI209" s="225"/>
      <c r="BJ209" s="225"/>
      <c r="BK209" s="225"/>
      <c r="BL209" s="225"/>
      <c r="BM209" s="225"/>
    </row>
    <row r="210" spans="41:65" x14ac:dyDescent="0.25">
      <c r="AO210"/>
      <c r="AS210"/>
      <c r="BC210" s="225"/>
      <c r="BD210" s="225"/>
      <c r="BE210" s="225"/>
      <c r="BF210" s="225"/>
      <c r="BG210" s="225"/>
      <c r="BH210" s="225"/>
      <c r="BI210" s="225"/>
      <c r="BJ210" s="225"/>
      <c r="BK210" s="225"/>
      <c r="BL210" s="225"/>
      <c r="BM210" s="225"/>
    </row>
    <row r="211" spans="41:65" x14ac:dyDescent="0.25">
      <c r="AO211"/>
      <c r="AS211"/>
      <c r="BC211" s="225"/>
      <c r="BD211" s="225"/>
      <c r="BE211" s="225"/>
      <c r="BF211" s="225"/>
      <c r="BG211" s="225"/>
      <c r="BH211" s="225"/>
      <c r="BI211" s="225"/>
      <c r="BJ211" s="225"/>
      <c r="BK211" s="225"/>
      <c r="BL211" s="225"/>
      <c r="BM211" s="225"/>
    </row>
    <row r="212" spans="41:65" x14ac:dyDescent="0.25">
      <c r="AO212"/>
      <c r="AS212"/>
      <c r="BC212" s="225"/>
      <c r="BD212" s="225"/>
      <c r="BE212" s="225"/>
      <c r="BF212" s="225"/>
      <c r="BG212" s="225"/>
      <c r="BH212" s="225"/>
      <c r="BI212" s="225"/>
      <c r="BJ212" s="225"/>
      <c r="BK212" s="225"/>
      <c r="BL212" s="225"/>
      <c r="BM212" s="225"/>
    </row>
    <row r="213" spans="41:65" x14ac:dyDescent="0.25">
      <c r="AO213"/>
      <c r="AS213"/>
      <c r="BC213" s="225"/>
      <c r="BD213" s="225"/>
      <c r="BE213" s="225"/>
      <c r="BF213" s="225"/>
      <c r="BG213" s="225"/>
      <c r="BH213" s="225"/>
      <c r="BI213" s="225"/>
      <c r="BJ213" s="225"/>
      <c r="BK213" s="225"/>
      <c r="BL213" s="225"/>
      <c r="BM213" s="225"/>
    </row>
    <row r="214" spans="41:65" x14ac:dyDescent="0.25">
      <c r="AO214"/>
      <c r="AS214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</row>
    <row r="215" spans="41:65" x14ac:dyDescent="0.25">
      <c r="AO215"/>
      <c r="AS21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</row>
    <row r="216" spans="41:65" x14ac:dyDescent="0.25">
      <c r="AO216"/>
      <c r="AS216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</row>
    <row r="217" spans="41:65" x14ac:dyDescent="0.25">
      <c r="AO217"/>
      <c r="AS217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</row>
    <row r="218" spans="41:65" x14ac:dyDescent="0.25">
      <c r="AO218"/>
      <c r="AS218"/>
      <c r="BC218" s="225"/>
      <c r="BD218" s="225"/>
      <c r="BE218" s="225"/>
      <c r="BF218" s="225"/>
      <c r="BG218" s="225"/>
      <c r="BH218" s="225"/>
      <c r="BI218" s="225"/>
      <c r="BJ218" s="225"/>
      <c r="BK218" s="225"/>
      <c r="BL218" s="225"/>
      <c r="BM218" s="225"/>
    </row>
    <row r="219" spans="41:65" x14ac:dyDescent="0.25">
      <c r="AO219"/>
      <c r="AS219"/>
      <c r="BC219" s="225"/>
      <c r="BD219" s="225"/>
      <c r="BE219" s="225"/>
      <c r="BF219" s="225"/>
      <c r="BG219" s="225"/>
      <c r="BH219" s="225"/>
      <c r="BI219" s="225"/>
      <c r="BJ219" s="225"/>
      <c r="BK219" s="225"/>
      <c r="BL219" s="225"/>
      <c r="BM219" s="225"/>
    </row>
    <row r="220" spans="41:65" x14ac:dyDescent="0.25">
      <c r="AO220"/>
      <c r="AS220"/>
      <c r="BC220" s="225"/>
      <c r="BD220" s="225"/>
      <c r="BE220" s="225"/>
      <c r="BF220" s="225"/>
      <c r="BG220" s="225"/>
      <c r="BH220" s="225"/>
      <c r="BI220" s="225"/>
      <c r="BJ220" s="225"/>
      <c r="BK220" s="225"/>
      <c r="BL220" s="225"/>
      <c r="BM220" s="225"/>
    </row>
    <row r="221" spans="41:65" x14ac:dyDescent="0.25">
      <c r="AO221"/>
      <c r="AS221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</row>
    <row r="222" spans="41:65" x14ac:dyDescent="0.25">
      <c r="AO222"/>
      <c r="AS222"/>
      <c r="BC222" s="225"/>
      <c r="BD222" s="225"/>
      <c r="BE222" s="225"/>
      <c r="BF222" s="225"/>
      <c r="BG222" s="225"/>
      <c r="BH222" s="225"/>
      <c r="BI222" s="225"/>
      <c r="BJ222" s="225"/>
      <c r="BK222" s="225"/>
      <c r="BL222" s="225"/>
      <c r="BM222" s="225"/>
    </row>
    <row r="223" spans="41:65" x14ac:dyDescent="0.25">
      <c r="AO223"/>
      <c r="AS223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</row>
    <row r="224" spans="41:65" x14ac:dyDescent="0.25">
      <c r="AO224"/>
      <c r="AS224"/>
      <c r="BC224" s="225"/>
      <c r="BD224" s="225"/>
      <c r="BE224" s="225"/>
      <c r="BF224" s="225"/>
      <c r="BG224" s="225"/>
      <c r="BH224" s="225"/>
      <c r="BI224" s="225"/>
      <c r="BJ224" s="225"/>
      <c r="BK224" s="225"/>
      <c r="BL224" s="225"/>
      <c r="BM224" s="225"/>
    </row>
    <row r="225" spans="41:65" x14ac:dyDescent="0.25">
      <c r="AO225"/>
      <c r="AS225"/>
      <c r="BC225" s="225"/>
      <c r="BD225" s="225"/>
      <c r="BE225" s="225"/>
      <c r="BF225" s="225"/>
      <c r="BG225" s="225"/>
      <c r="BH225" s="225"/>
      <c r="BI225" s="225"/>
      <c r="BJ225" s="225"/>
      <c r="BK225" s="225"/>
      <c r="BL225" s="225"/>
      <c r="BM225" s="225"/>
    </row>
    <row r="226" spans="41:65" x14ac:dyDescent="0.25">
      <c r="AO226"/>
      <c r="AS226"/>
      <c r="BC226" s="225"/>
      <c r="BD226" s="225"/>
      <c r="BE226" s="225"/>
      <c r="BF226" s="225"/>
      <c r="BG226" s="225"/>
      <c r="BH226" s="225"/>
      <c r="BI226" s="225"/>
      <c r="BJ226" s="225"/>
      <c r="BK226" s="225"/>
      <c r="BL226" s="225"/>
      <c r="BM226" s="225"/>
    </row>
    <row r="227" spans="41:65" x14ac:dyDescent="0.25">
      <c r="AO227"/>
      <c r="AS227"/>
      <c r="BC227" s="225"/>
      <c r="BD227" s="225"/>
      <c r="BE227" s="225"/>
      <c r="BF227" s="225"/>
      <c r="BG227" s="225"/>
      <c r="BH227" s="225"/>
      <c r="BI227" s="225"/>
      <c r="BJ227" s="225"/>
      <c r="BK227" s="225"/>
      <c r="BL227" s="225"/>
      <c r="BM227" s="225"/>
    </row>
    <row r="228" spans="41:65" x14ac:dyDescent="0.25">
      <c r="AO228"/>
      <c r="AS228"/>
      <c r="BC228" s="225"/>
      <c r="BD228" s="225"/>
      <c r="BE228" s="225"/>
      <c r="BF228" s="225"/>
      <c r="BG228" s="225"/>
      <c r="BH228" s="225"/>
      <c r="BI228" s="225"/>
      <c r="BJ228" s="225"/>
      <c r="BK228" s="225"/>
      <c r="BL228" s="225"/>
      <c r="BM228" s="225"/>
    </row>
    <row r="229" spans="41:65" x14ac:dyDescent="0.25">
      <c r="AO229"/>
      <c r="AS229"/>
      <c r="BC229" s="225"/>
      <c r="BD229" s="225"/>
      <c r="BE229" s="225"/>
      <c r="BF229" s="225"/>
      <c r="BG229" s="225"/>
      <c r="BH229" s="225"/>
      <c r="BI229" s="225"/>
      <c r="BJ229" s="225"/>
      <c r="BK229" s="225"/>
      <c r="BL229" s="225"/>
      <c r="BM229" s="225"/>
    </row>
    <row r="230" spans="41:65" x14ac:dyDescent="0.25">
      <c r="AO230"/>
      <c r="AS230"/>
      <c r="BC230" s="225"/>
      <c r="BD230" s="225"/>
      <c r="BE230" s="225"/>
      <c r="BF230" s="225"/>
      <c r="BG230" s="225"/>
      <c r="BH230" s="225"/>
      <c r="BI230" s="225"/>
      <c r="BJ230" s="225"/>
      <c r="BK230" s="225"/>
      <c r="BL230" s="225"/>
      <c r="BM230" s="225"/>
    </row>
    <row r="231" spans="41:65" x14ac:dyDescent="0.25">
      <c r="AO231"/>
      <c r="AS231"/>
      <c r="BC231" s="225"/>
      <c r="BD231" s="225"/>
      <c r="BE231" s="225"/>
      <c r="BF231" s="225"/>
      <c r="BG231" s="225"/>
      <c r="BH231" s="225"/>
      <c r="BI231" s="225"/>
      <c r="BJ231" s="225"/>
      <c r="BK231" s="225"/>
      <c r="BL231" s="225"/>
      <c r="BM231" s="225"/>
    </row>
    <row r="232" spans="41:65" x14ac:dyDescent="0.25">
      <c r="AO232"/>
      <c r="AS232"/>
      <c r="BC232" s="225"/>
      <c r="BD232" s="225"/>
      <c r="BE232" s="225"/>
      <c r="BF232" s="225"/>
      <c r="BG232" s="225"/>
      <c r="BH232" s="225"/>
      <c r="BI232" s="225"/>
      <c r="BJ232" s="225"/>
      <c r="BK232" s="225"/>
      <c r="BL232" s="225"/>
      <c r="BM232" s="225"/>
    </row>
    <row r="233" spans="41:65" x14ac:dyDescent="0.25">
      <c r="AO233"/>
      <c r="AS233"/>
      <c r="BC233" s="225"/>
      <c r="BD233" s="225"/>
      <c r="BE233" s="225"/>
      <c r="BF233" s="225"/>
      <c r="BG233" s="225"/>
      <c r="BH233" s="225"/>
      <c r="BI233" s="225"/>
      <c r="BJ233" s="225"/>
      <c r="BK233" s="225"/>
      <c r="BL233" s="225"/>
      <c r="BM233" s="225"/>
    </row>
    <row r="234" spans="41:65" x14ac:dyDescent="0.25">
      <c r="AO234"/>
      <c r="AS234"/>
      <c r="BC234" s="225"/>
      <c r="BD234" s="225"/>
      <c r="BE234" s="225"/>
      <c r="BF234" s="225"/>
      <c r="BG234" s="225"/>
      <c r="BH234" s="225"/>
      <c r="BI234" s="225"/>
      <c r="BJ234" s="225"/>
      <c r="BK234" s="225"/>
      <c r="BL234" s="225"/>
      <c r="BM234" s="225"/>
    </row>
    <row r="235" spans="41:65" x14ac:dyDescent="0.25">
      <c r="AO235"/>
      <c r="AS235"/>
      <c r="BC235" s="225"/>
      <c r="BD235" s="225"/>
      <c r="BE235" s="225"/>
      <c r="BF235" s="225"/>
      <c r="BG235" s="225"/>
      <c r="BH235" s="225"/>
      <c r="BI235" s="225"/>
      <c r="BJ235" s="225"/>
      <c r="BK235" s="225"/>
      <c r="BL235" s="225"/>
      <c r="BM235" s="225"/>
    </row>
    <row r="236" spans="41:65" x14ac:dyDescent="0.25">
      <c r="AO236"/>
      <c r="AS236"/>
      <c r="BC236" s="225"/>
      <c r="BD236" s="225"/>
      <c r="BE236" s="225"/>
      <c r="BF236" s="225"/>
      <c r="BG236" s="225"/>
      <c r="BH236" s="225"/>
      <c r="BI236" s="225"/>
      <c r="BJ236" s="225"/>
      <c r="BK236" s="225"/>
      <c r="BL236" s="225"/>
      <c r="BM236" s="225"/>
    </row>
    <row r="237" spans="41:65" x14ac:dyDescent="0.25">
      <c r="AO237"/>
      <c r="AS237"/>
      <c r="BC237" s="225"/>
      <c r="BD237" s="225"/>
      <c r="BE237" s="225"/>
      <c r="BF237" s="225"/>
      <c r="BG237" s="225"/>
      <c r="BH237" s="225"/>
      <c r="BI237" s="225"/>
      <c r="BJ237" s="225"/>
      <c r="BK237" s="225"/>
      <c r="BL237" s="225"/>
      <c r="BM237" s="225"/>
    </row>
    <row r="238" spans="41:65" x14ac:dyDescent="0.25">
      <c r="AO238"/>
      <c r="AS238"/>
      <c r="BC238" s="225"/>
      <c r="BD238" s="225"/>
      <c r="BE238" s="225"/>
      <c r="BF238" s="225"/>
      <c r="BG238" s="225"/>
      <c r="BH238" s="225"/>
      <c r="BI238" s="225"/>
      <c r="BJ238" s="225"/>
      <c r="BK238" s="225"/>
      <c r="BL238" s="225"/>
      <c r="BM238" s="225"/>
    </row>
    <row r="239" spans="41:65" x14ac:dyDescent="0.25">
      <c r="AO239"/>
      <c r="AS239"/>
      <c r="BC239" s="225"/>
      <c r="BD239" s="225"/>
      <c r="BE239" s="225"/>
      <c r="BF239" s="225"/>
      <c r="BG239" s="225"/>
      <c r="BH239" s="225"/>
      <c r="BI239" s="225"/>
      <c r="BJ239" s="225"/>
      <c r="BK239" s="225"/>
      <c r="BL239" s="225"/>
      <c r="BM239" s="225"/>
    </row>
    <row r="240" spans="41:65" x14ac:dyDescent="0.25">
      <c r="AO240"/>
      <c r="AS240"/>
      <c r="BC240" s="225"/>
      <c r="BD240" s="225"/>
      <c r="BE240" s="225"/>
      <c r="BF240" s="225"/>
      <c r="BG240" s="225"/>
      <c r="BH240" s="225"/>
      <c r="BI240" s="225"/>
      <c r="BJ240" s="225"/>
      <c r="BK240" s="225"/>
      <c r="BL240" s="225"/>
      <c r="BM240" s="225"/>
    </row>
    <row r="241" spans="41:65" x14ac:dyDescent="0.25">
      <c r="AO241"/>
      <c r="AS241"/>
      <c r="BC241" s="225"/>
      <c r="BD241" s="225"/>
      <c r="BE241" s="225"/>
      <c r="BF241" s="225"/>
      <c r="BG241" s="225"/>
      <c r="BH241" s="225"/>
      <c r="BI241" s="225"/>
      <c r="BJ241" s="225"/>
      <c r="BK241" s="225"/>
      <c r="BL241" s="225"/>
      <c r="BM241" s="225"/>
    </row>
    <row r="242" spans="41:65" x14ac:dyDescent="0.25">
      <c r="AO242"/>
      <c r="AS242"/>
      <c r="BC242" s="225"/>
      <c r="BD242" s="225"/>
      <c r="BE242" s="225"/>
      <c r="BF242" s="225"/>
      <c r="BG242" s="225"/>
      <c r="BH242" s="225"/>
      <c r="BI242" s="225"/>
      <c r="BJ242" s="225"/>
      <c r="BK242" s="225"/>
      <c r="BL242" s="225"/>
      <c r="BM242" s="225"/>
    </row>
    <row r="243" spans="41:65" x14ac:dyDescent="0.25">
      <c r="AO243"/>
      <c r="AS243"/>
      <c r="BC243" s="225"/>
      <c r="BD243" s="225"/>
      <c r="BE243" s="225"/>
      <c r="BF243" s="225"/>
      <c r="BG243" s="225"/>
      <c r="BH243" s="225"/>
      <c r="BI243" s="225"/>
      <c r="BJ243" s="225"/>
      <c r="BK243" s="225"/>
      <c r="BL243" s="225"/>
      <c r="BM243" s="225"/>
    </row>
    <row r="244" spans="41:65" x14ac:dyDescent="0.25">
      <c r="AO244"/>
      <c r="AS244"/>
      <c r="BC244" s="225"/>
      <c r="BD244" s="225"/>
      <c r="BE244" s="225"/>
      <c r="BF244" s="225"/>
      <c r="BG244" s="225"/>
      <c r="BH244" s="225"/>
      <c r="BI244" s="225"/>
      <c r="BJ244" s="225"/>
      <c r="BK244" s="225"/>
      <c r="BL244" s="225"/>
      <c r="BM244" s="225"/>
    </row>
    <row r="245" spans="41:65" x14ac:dyDescent="0.25">
      <c r="AO245"/>
      <c r="AS245"/>
      <c r="BC245" s="225"/>
      <c r="BD245" s="225"/>
      <c r="BE245" s="225"/>
      <c r="BF245" s="225"/>
      <c r="BG245" s="225"/>
      <c r="BH245" s="225"/>
      <c r="BI245" s="225"/>
      <c r="BJ245" s="225"/>
      <c r="BK245" s="225"/>
      <c r="BL245" s="225"/>
      <c r="BM245" s="225"/>
    </row>
    <row r="246" spans="41:65" x14ac:dyDescent="0.25">
      <c r="AO246"/>
      <c r="AS246"/>
      <c r="BC246" s="225"/>
      <c r="BD246" s="225"/>
      <c r="BE246" s="225"/>
      <c r="BF246" s="225"/>
      <c r="BG246" s="225"/>
      <c r="BH246" s="225"/>
      <c r="BI246" s="225"/>
      <c r="BJ246" s="225"/>
      <c r="BK246" s="225"/>
      <c r="BL246" s="225"/>
      <c r="BM246" s="225"/>
    </row>
    <row r="247" spans="41:65" x14ac:dyDescent="0.25">
      <c r="AO247"/>
      <c r="AS247"/>
      <c r="BC247" s="225"/>
      <c r="BD247" s="225"/>
      <c r="BE247" s="225"/>
      <c r="BF247" s="225"/>
      <c r="BG247" s="225"/>
      <c r="BH247" s="225"/>
      <c r="BI247" s="225"/>
      <c r="BJ247" s="225"/>
      <c r="BK247" s="225"/>
      <c r="BL247" s="225"/>
      <c r="BM247" s="225"/>
    </row>
    <row r="248" spans="41:65" x14ac:dyDescent="0.25">
      <c r="AO248"/>
      <c r="AS248"/>
      <c r="BC248" s="225"/>
      <c r="BD248" s="225"/>
      <c r="BE248" s="225"/>
      <c r="BF248" s="225"/>
      <c r="BG248" s="225"/>
      <c r="BH248" s="225"/>
      <c r="BI248" s="225"/>
      <c r="BJ248" s="225"/>
      <c r="BK248" s="225"/>
      <c r="BL248" s="225"/>
      <c r="BM248" s="225"/>
    </row>
    <row r="249" spans="41:65" x14ac:dyDescent="0.25">
      <c r="AO249"/>
      <c r="AS249"/>
      <c r="BC249" s="225"/>
      <c r="BD249" s="225"/>
      <c r="BE249" s="225"/>
      <c r="BF249" s="225"/>
      <c r="BG249" s="225"/>
      <c r="BH249" s="225"/>
      <c r="BI249" s="225"/>
      <c r="BJ249" s="225"/>
      <c r="BK249" s="225"/>
      <c r="BL249" s="225"/>
      <c r="BM249" s="225"/>
    </row>
    <row r="250" spans="41:65" x14ac:dyDescent="0.25">
      <c r="AO250"/>
      <c r="AS250"/>
      <c r="BC250" s="225"/>
      <c r="BD250" s="225"/>
      <c r="BE250" s="225"/>
      <c r="BF250" s="225"/>
      <c r="BG250" s="225"/>
      <c r="BH250" s="225"/>
      <c r="BI250" s="225"/>
      <c r="BJ250" s="225"/>
      <c r="BK250" s="225"/>
      <c r="BL250" s="225"/>
      <c r="BM250" s="225"/>
    </row>
    <row r="251" spans="41:65" x14ac:dyDescent="0.25">
      <c r="AO251"/>
      <c r="AS251"/>
      <c r="BC251" s="225"/>
      <c r="BD251" s="225"/>
      <c r="BE251" s="225"/>
      <c r="BF251" s="225"/>
      <c r="BG251" s="225"/>
      <c r="BH251" s="225"/>
      <c r="BI251" s="225"/>
      <c r="BJ251" s="225"/>
      <c r="BK251" s="225"/>
      <c r="BL251" s="225"/>
      <c r="BM251" s="225"/>
    </row>
    <row r="252" spans="41:65" x14ac:dyDescent="0.25">
      <c r="AO252"/>
      <c r="AS252"/>
      <c r="BC252" s="225"/>
      <c r="BD252" s="225"/>
      <c r="BE252" s="225"/>
      <c r="BF252" s="225"/>
      <c r="BG252" s="225"/>
      <c r="BH252" s="225"/>
      <c r="BI252" s="225"/>
      <c r="BJ252" s="225"/>
      <c r="BK252" s="225"/>
      <c r="BL252" s="225"/>
      <c r="BM252" s="225"/>
    </row>
    <row r="253" spans="41:65" x14ac:dyDescent="0.25">
      <c r="AO253"/>
      <c r="AS253"/>
      <c r="BC253" s="225"/>
      <c r="BD253" s="225"/>
      <c r="BE253" s="225"/>
      <c r="BF253" s="225"/>
      <c r="BG253" s="225"/>
      <c r="BH253" s="225"/>
      <c r="BI253" s="225"/>
      <c r="BJ253" s="225"/>
      <c r="BK253" s="225"/>
      <c r="BL253" s="225"/>
      <c r="BM253" s="225"/>
    </row>
    <row r="254" spans="41:65" x14ac:dyDescent="0.25">
      <c r="AO254"/>
      <c r="AS254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</row>
    <row r="255" spans="41:65" x14ac:dyDescent="0.25">
      <c r="AO255"/>
      <c r="AS25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</row>
    <row r="256" spans="41:65" x14ac:dyDescent="0.25">
      <c r="AO256"/>
      <c r="AS256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</row>
    <row r="257" spans="41:65" x14ac:dyDescent="0.25">
      <c r="AO257"/>
      <c r="AS257"/>
      <c r="BC257" s="225"/>
      <c r="BD257" s="225"/>
      <c r="BE257" s="225"/>
      <c r="BF257" s="225"/>
      <c r="BG257" s="225"/>
      <c r="BH257" s="225"/>
      <c r="BI257" s="225"/>
      <c r="BJ257" s="225"/>
      <c r="BK257" s="225"/>
      <c r="BL257" s="225"/>
      <c r="BM257" s="225"/>
    </row>
    <row r="258" spans="41:65" x14ac:dyDescent="0.25">
      <c r="AO258"/>
      <c r="AS258"/>
      <c r="BC258" s="225"/>
      <c r="BD258" s="225"/>
      <c r="BE258" s="225"/>
      <c r="BF258" s="225"/>
      <c r="BG258" s="225"/>
      <c r="BH258" s="225"/>
      <c r="BI258" s="225"/>
      <c r="BJ258" s="225"/>
      <c r="BK258" s="225"/>
      <c r="BL258" s="225"/>
      <c r="BM258" s="225"/>
    </row>
    <row r="259" spans="41:65" x14ac:dyDescent="0.25">
      <c r="AO259"/>
      <c r="AS259"/>
      <c r="BC259" s="225"/>
      <c r="BD259" s="225"/>
      <c r="BE259" s="225"/>
      <c r="BF259" s="225"/>
      <c r="BG259" s="225"/>
      <c r="BH259" s="225"/>
      <c r="BI259" s="225"/>
      <c r="BJ259" s="225"/>
      <c r="BK259" s="225"/>
      <c r="BL259" s="225"/>
      <c r="BM259" s="225"/>
    </row>
    <row r="260" spans="41:65" x14ac:dyDescent="0.25">
      <c r="AO260"/>
      <c r="AS260"/>
      <c r="BC260" s="225"/>
      <c r="BD260" s="225"/>
      <c r="BE260" s="225"/>
      <c r="BF260" s="225"/>
      <c r="BG260" s="225"/>
      <c r="BH260" s="225"/>
      <c r="BI260" s="225"/>
      <c r="BJ260" s="225"/>
      <c r="BK260" s="225"/>
      <c r="BL260" s="225"/>
      <c r="BM260" s="225"/>
    </row>
    <row r="261" spans="41:65" x14ac:dyDescent="0.25">
      <c r="AO261"/>
      <c r="AS261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</row>
    <row r="262" spans="41:65" x14ac:dyDescent="0.25">
      <c r="AO262"/>
      <c r="AS262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</row>
    <row r="263" spans="41:65" x14ac:dyDescent="0.25">
      <c r="AO263"/>
      <c r="AS263"/>
      <c r="BC263" s="225"/>
      <c r="BD263" s="225"/>
      <c r="BE263" s="225"/>
      <c r="BF263" s="225"/>
      <c r="BG263" s="225"/>
      <c r="BH263" s="225"/>
      <c r="BI263" s="225"/>
      <c r="BJ263" s="225"/>
      <c r="BK263" s="225"/>
      <c r="BL263" s="225"/>
      <c r="BM263" s="225"/>
    </row>
    <row r="264" spans="41:65" x14ac:dyDescent="0.25">
      <c r="AO264"/>
      <c r="AS264"/>
      <c r="BC264" s="225"/>
      <c r="BD264" s="225"/>
      <c r="BE264" s="225"/>
      <c r="BF264" s="225"/>
      <c r="BG264" s="225"/>
      <c r="BH264" s="225"/>
      <c r="BI264" s="225"/>
      <c r="BJ264" s="225"/>
      <c r="BK264" s="225"/>
      <c r="BL264" s="225"/>
      <c r="BM264" s="225"/>
    </row>
    <row r="265" spans="41:65" x14ac:dyDescent="0.25">
      <c r="AO265"/>
      <c r="AS265"/>
      <c r="BC265" s="225"/>
      <c r="BD265" s="225"/>
      <c r="BE265" s="225"/>
      <c r="BF265" s="225"/>
      <c r="BG265" s="225"/>
      <c r="BH265" s="225"/>
      <c r="BI265" s="225"/>
      <c r="BJ265" s="225"/>
      <c r="BK265" s="225"/>
      <c r="BL265" s="225"/>
      <c r="BM265" s="225"/>
    </row>
    <row r="266" spans="41:65" x14ac:dyDescent="0.25">
      <c r="AO266"/>
      <c r="AS266"/>
      <c r="BC266" s="225"/>
      <c r="BD266" s="225"/>
      <c r="BE266" s="225"/>
      <c r="BF266" s="225"/>
      <c r="BG266" s="225"/>
      <c r="BH266" s="225"/>
      <c r="BI266" s="225"/>
      <c r="BJ266" s="225"/>
      <c r="BK266" s="225"/>
      <c r="BL266" s="225"/>
      <c r="BM266" s="225"/>
    </row>
    <row r="267" spans="41:65" x14ac:dyDescent="0.25">
      <c r="AO267"/>
      <c r="AS267"/>
      <c r="BC267" s="225"/>
      <c r="BD267" s="225"/>
      <c r="BE267" s="225"/>
      <c r="BF267" s="225"/>
      <c r="BG267" s="225"/>
      <c r="BH267" s="225"/>
      <c r="BI267" s="225"/>
      <c r="BJ267" s="225"/>
      <c r="BK267" s="225"/>
      <c r="BL267" s="225"/>
      <c r="BM267" s="225"/>
    </row>
    <row r="268" spans="41:65" x14ac:dyDescent="0.25">
      <c r="AO268"/>
      <c r="AS268"/>
      <c r="BC268" s="225"/>
      <c r="BD268" s="225"/>
      <c r="BE268" s="225"/>
      <c r="BF268" s="225"/>
      <c r="BG268" s="225"/>
      <c r="BH268" s="225"/>
      <c r="BI268" s="225"/>
      <c r="BJ268" s="225"/>
      <c r="BK268" s="225"/>
      <c r="BL268" s="225"/>
      <c r="BM268" s="225"/>
    </row>
    <row r="269" spans="41:65" x14ac:dyDescent="0.25">
      <c r="AO269"/>
      <c r="AS269"/>
      <c r="BC269" s="225"/>
      <c r="BD269" s="225"/>
      <c r="BE269" s="225"/>
      <c r="BF269" s="225"/>
      <c r="BG269" s="225"/>
      <c r="BH269" s="225"/>
      <c r="BI269" s="225"/>
      <c r="BJ269" s="225"/>
      <c r="BK269" s="225"/>
      <c r="BL269" s="225"/>
      <c r="BM269" s="225"/>
    </row>
    <row r="270" spans="41:65" x14ac:dyDescent="0.25">
      <c r="AO270"/>
      <c r="AS270"/>
      <c r="BC270" s="225"/>
      <c r="BD270" s="225"/>
      <c r="BE270" s="225"/>
      <c r="BF270" s="225"/>
      <c r="BG270" s="225"/>
      <c r="BH270" s="225"/>
      <c r="BI270" s="225"/>
      <c r="BJ270" s="225"/>
      <c r="BK270" s="225"/>
      <c r="BL270" s="225"/>
      <c r="BM270" s="225"/>
    </row>
    <row r="271" spans="41:65" x14ac:dyDescent="0.25">
      <c r="AO271"/>
      <c r="AS271"/>
      <c r="BC271" s="225"/>
      <c r="BD271" s="225"/>
      <c r="BE271" s="225"/>
      <c r="BF271" s="225"/>
      <c r="BG271" s="225"/>
      <c r="BH271" s="225"/>
      <c r="BI271" s="225"/>
      <c r="BJ271" s="225"/>
      <c r="BK271" s="225"/>
      <c r="BL271" s="225"/>
      <c r="BM271" s="225"/>
    </row>
    <row r="272" spans="41:65" x14ac:dyDescent="0.25">
      <c r="AO272"/>
      <c r="AS272"/>
      <c r="BC272" s="225"/>
      <c r="BD272" s="225"/>
      <c r="BE272" s="225"/>
      <c r="BF272" s="225"/>
      <c r="BG272" s="225"/>
      <c r="BH272" s="225"/>
      <c r="BI272" s="225"/>
      <c r="BJ272" s="225"/>
      <c r="BK272" s="225"/>
      <c r="BL272" s="225"/>
      <c r="BM272" s="225"/>
    </row>
    <row r="273" spans="41:65" x14ac:dyDescent="0.25">
      <c r="AO273"/>
      <c r="AS273"/>
      <c r="BC273" s="225"/>
      <c r="BD273" s="225"/>
      <c r="BE273" s="225"/>
      <c r="BF273" s="225"/>
      <c r="BG273" s="225"/>
      <c r="BH273" s="225"/>
      <c r="BI273" s="225"/>
      <c r="BJ273" s="225"/>
      <c r="BK273" s="225"/>
      <c r="BL273" s="225"/>
      <c r="BM273" s="225"/>
    </row>
    <row r="274" spans="41:65" x14ac:dyDescent="0.25">
      <c r="AO274"/>
      <c r="AS274"/>
      <c r="BC274" s="225"/>
      <c r="BD274" s="225"/>
      <c r="BE274" s="225"/>
      <c r="BF274" s="225"/>
      <c r="BG274" s="225"/>
      <c r="BH274" s="225"/>
      <c r="BI274" s="225"/>
      <c r="BJ274" s="225"/>
      <c r="BK274" s="225"/>
      <c r="BL274" s="225"/>
      <c r="BM274" s="225"/>
    </row>
    <row r="275" spans="41:65" x14ac:dyDescent="0.25">
      <c r="AO275"/>
      <c r="AS275"/>
      <c r="BC275" s="225"/>
      <c r="BD275" s="225"/>
      <c r="BE275" s="225"/>
      <c r="BF275" s="225"/>
      <c r="BG275" s="225"/>
      <c r="BH275" s="225"/>
      <c r="BI275" s="225"/>
      <c r="BJ275" s="225"/>
      <c r="BK275" s="225"/>
      <c r="BL275" s="225"/>
      <c r="BM275" s="225"/>
    </row>
    <row r="276" spans="41:65" x14ac:dyDescent="0.25">
      <c r="AO276"/>
      <c r="AS276"/>
      <c r="BC276" s="225"/>
      <c r="BD276" s="225"/>
      <c r="BE276" s="225"/>
      <c r="BF276" s="225"/>
      <c r="BG276" s="225"/>
      <c r="BH276" s="225"/>
      <c r="BI276" s="225"/>
      <c r="BJ276" s="225"/>
      <c r="BK276" s="225"/>
      <c r="BL276" s="225"/>
      <c r="BM276" s="225"/>
    </row>
    <row r="277" spans="41:65" x14ac:dyDescent="0.25">
      <c r="AO277"/>
      <c r="AS277"/>
      <c r="BC277" s="225"/>
      <c r="BD277" s="225"/>
      <c r="BE277" s="225"/>
      <c r="BF277" s="225"/>
      <c r="BG277" s="225"/>
      <c r="BH277" s="225"/>
      <c r="BI277" s="225"/>
      <c r="BJ277" s="225"/>
      <c r="BK277" s="225"/>
      <c r="BL277" s="225"/>
      <c r="BM277" s="225"/>
    </row>
    <row r="278" spans="41:65" x14ac:dyDescent="0.25">
      <c r="AO278"/>
      <c r="AS278"/>
      <c r="BC278" s="225"/>
      <c r="BD278" s="225"/>
      <c r="BE278" s="225"/>
      <c r="BF278" s="225"/>
      <c r="BG278" s="225"/>
      <c r="BH278" s="225"/>
      <c r="BI278" s="225"/>
      <c r="BJ278" s="225"/>
      <c r="BK278" s="225"/>
      <c r="BL278" s="225"/>
      <c r="BM278" s="225"/>
    </row>
    <row r="279" spans="41:65" x14ac:dyDescent="0.25">
      <c r="AO279"/>
      <c r="AS279"/>
      <c r="BC279" s="225"/>
      <c r="BD279" s="225"/>
      <c r="BE279" s="225"/>
      <c r="BF279" s="225"/>
      <c r="BG279" s="225"/>
      <c r="BH279" s="225"/>
      <c r="BI279" s="225"/>
      <c r="BJ279" s="225"/>
      <c r="BK279" s="225"/>
      <c r="BL279" s="225"/>
      <c r="BM279" s="225"/>
    </row>
    <row r="280" spans="41:65" x14ac:dyDescent="0.25">
      <c r="AO280"/>
      <c r="AS280"/>
      <c r="BC280" s="225"/>
      <c r="BD280" s="225"/>
      <c r="BE280" s="225"/>
      <c r="BF280" s="225"/>
      <c r="BG280" s="225"/>
      <c r="BH280" s="225"/>
      <c r="BI280" s="225"/>
      <c r="BJ280" s="225"/>
      <c r="BK280" s="225"/>
      <c r="BL280" s="225"/>
      <c r="BM280" s="225"/>
    </row>
    <row r="281" spans="41:65" x14ac:dyDescent="0.25">
      <c r="AO281"/>
      <c r="AS281"/>
      <c r="BC281" s="225"/>
      <c r="BD281" s="225"/>
      <c r="BE281" s="225"/>
      <c r="BF281" s="225"/>
      <c r="BG281" s="225"/>
      <c r="BH281" s="225"/>
      <c r="BI281" s="225"/>
      <c r="BJ281" s="225"/>
      <c r="BK281" s="225"/>
      <c r="BL281" s="225"/>
      <c r="BM281" s="225"/>
    </row>
    <row r="282" spans="41:65" x14ac:dyDescent="0.25">
      <c r="AO282"/>
      <c r="AS282"/>
      <c r="BC282" s="225"/>
      <c r="BD282" s="225"/>
      <c r="BE282" s="225"/>
      <c r="BF282" s="225"/>
      <c r="BG282" s="225"/>
      <c r="BH282" s="225"/>
      <c r="BI282" s="225"/>
      <c r="BJ282" s="225"/>
      <c r="BK282" s="225"/>
      <c r="BL282" s="225"/>
      <c r="BM282" s="225"/>
    </row>
    <row r="283" spans="41:65" x14ac:dyDescent="0.25">
      <c r="AO283"/>
      <c r="AS283"/>
      <c r="BC283" s="225"/>
      <c r="BD283" s="225"/>
      <c r="BE283" s="225"/>
      <c r="BF283" s="225"/>
      <c r="BG283" s="225"/>
      <c r="BH283" s="225"/>
      <c r="BI283" s="225"/>
      <c r="BJ283" s="225"/>
      <c r="BK283" s="225"/>
      <c r="BL283" s="225"/>
      <c r="BM283" s="225"/>
    </row>
    <row r="284" spans="41:65" x14ac:dyDescent="0.25">
      <c r="AO284"/>
      <c r="AS284"/>
      <c r="BC284" s="225"/>
      <c r="BD284" s="225"/>
      <c r="BE284" s="225"/>
      <c r="BF284" s="225"/>
      <c r="BG284" s="225"/>
      <c r="BH284" s="225"/>
      <c r="BI284" s="225"/>
      <c r="BJ284" s="225"/>
      <c r="BK284" s="225"/>
      <c r="BL284" s="225"/>
      <c r="BM284" s="225"/>
    </row>
    <row r="285" spans="41:65" x14ac:dyDescent="0.25">
      <c r="AO285"/>
      <c r="AS285"/>
      <c r="BC285" s="225"/>
      <c r="BD285" s="225"/>
      <c r="BE285" s="225"/>
      <c r="BF285" s="225"/>
      <c r="BG285" s="225"/>
      <c r="BH285" s="225"/>
      <c r="BI285" s="225"/>
      <c r="BJ285" s="225"/>
      <c r="BK285" s="225"/>
      <c r="BL285" s="225"/>
      <c r="BM285" s="225"/>
    </row>
    <row r="286" spans="41:65" x14ac:dyDescent="0.25">
      <c r="AO286"/>
      <c r="AS286"/>
      <c r="BC286" s="225"/>
      <c r="BD286" s="225"/>
      <c r="BE286" s="225"/>
      <c r="BF286" s="225"/>
      <c r="BG286" s="225"/>
      <c r="BH286" s="225"/>
      <c r="BI286" s="225"/>
      <c r="BJ286" s="225"/>
      <c r="BK286" s="225"/>
      <c r="BL286" s="225"/>
      <c r="BM286" s="225"/>
    </row>
    <row r="287" spans="41:65" x14ac:dyDescent="0.25">
      <c r="AO287"/>
      <c r="AS287"/>
      <c r="BC287" s="225"/>
      <c r="BD287" s="225"/>
      <c r="BE287" s="225"/>
      <c r="BF287" s="225"/>
      <c r="BG287" s="225"/>
      <c r="BH287" s="225"/>
      <c r="BI287" s="225"/>
      <c r="BJ287" s="225"/>
      <c r="BK287" s="225"/>
      <c r="BL287" s="225"/>
      <c r="BM287" s="225"/>
    </row>
    <row r="288" spans="41:65" x14ac:dyDescent="0.25">
      <c r="AO288"/>
      <c r="AS288"/>
      <c r="BC288" s="225"/>
      <c r="BD288" s="225"/>
      <c r="BE288" s="225"/>
      <c r="BF288" s="225"/>
      <c r="BG288" s="225"/>
      <c r="BH288" s="225"/>
      <c r="BI288" s="225"/>
      <c r="BJ288" s="225"/>
      <c r="BK288" s="225"/>
      <c r="BL288" s="225"/>
      <c r="BM288" s="225"/>
    </row>
    <row r="289" spans="41:65" x14ac:dyDescent="0.25">
      <c r="AO289"/>
      <c r="AS289"/>
      <c r="BC289" s="225"/>
      <c r="BD289" s="225"/>
      <c r="BE289" s="225"/>
      <c r="BF289" s="225"/>
      <c r="BG289" s="225"/>
      <c r="BH289" s="225"/>
      <c r="BI289" s="225"/>
      <c r="BJ289" s="225"/>
      <c r="BK289" s="225"/>
      <c r="BL289" s="225"/>
      <c r="BM289" s="225"/>
    </row>
    <row r="290" spans="41:65" x14ac:dyDescent="0.25">
      <c r="AO290"/>
      <c r="AS290"/>
      <c r="BC290" s="225"/>
      <c r="BD290" s="225"/>
      <c r="BE290" s="225"/>
      <c r="BF290" s="225"/>
      <c r="BG290" s="225"/>
      <c r="BH290" s="225"/>
      <c r="BI290" s="225"/>
      <c r="BJ290" s="225"/>
      <c r="BK290" s="225"/>
      <c r="BL290" s="225"/>
      <c r="BM290" s="225"/>
    </row>
    <row r="291" spans="41:65" x14ac:dyDescent="0.25">
      <c r="AO291"/>
      <c r="AS291"/>
      <c r="BC291" s="225"/>
      <c r="BD291" s="225"/>
      <c r="BE291" s="225"/>
      <c r="BF291" s="225"/>
      <c r="BG291" s="225"/>
      <c r="BH291" s="225"/>
      <c r="BI291" s="225"/>
      <c r="BJ291" s="225"/>
      <c r="BK291" s="225"/>
      <c r="BL291" s="225"/>
      <c r="BM291" s="225"/>
    </row>
    <row r="292" spans="41:65" x14ac:dyDescent="0.25">
      <c r="AO292"/>
      <c r="AS292"/>
      <c r="BC292" s="225"/>
      <c r="BD292" s="225"/>
      <c r="BE292" s="225"/>
      <c r="BF292" s="225"/>
      <c r="BG292" s="225"/>
      <c r="BH292" s="225"/>
      <c r="BI292" s="225"/>
      <c r="BJ292" s="225"/>
      <c r="BK292" s="225"/>
      <c r="BL292" s="225"/>
      <c r="BM292" s="225"/>
    </row>
    <row r="293" spans="41:65" x14ac:dyDescent="0.25">
      <c r="AO293"/>
      <c r="AS293"/>
      <c r="BC293" s="225"/>
      <c r="BD293" s="225"/>
      <c r="BE293" s="225"/>
      <c r="BF293" s="225"/>
      <c r="BG293" s="225"/>
      <c r="BH293" s="225"/>
      <c r="BI293" s="225"/>
      <c r="BJ293" s="225"/>
      <c r="BK293" s="225"/>
      <c r="BL293" s="225"/>
      <c r="BM293" s="225"/>
    </row>
    <row r="294" spans="41:65" x14ac:dyDescent="0.25">
      <c r="AO294"/>
      <c r="AS294"/>
      <c r="BC294" s="225"/>
      <c r="BD294" s="225"/>
      <c r="BE294" s="225"/>
      <c r="BF294" s="225"/>
      <c r="BG294" s="225"/>
      <c r="BH294" s="225"/>
      <c r="BI294" s="225"/>
      <c r="BJ294" s="225"/>
      <c r="BK294" s="225"/>
      <c r="BL294" s="225"/>
      <c r="BM294" s="225"/>
    </row>
    <row r="295" spans="41:65" x14ac:dyDescent="0.25">
      <c r="AO295"/>
      <c r="AS295"/>
      <c r="BC295" s="225"/>
      <c r="BD295" s="225"/>
      <c r="BE295" s="225"/>
      <c r="BF295" s="225"/>
      <c r="BG295" s="225"/>
      <c r="BH295" s="225"/>
      <c r="BI295" s="225"/>
      <c r="BJ295" s="225"/>
      <c r="BK295" s="225"/>
      <c r="BL295" s="225"/>
      <c r="BM295" s="225"/>
    </row>
    <row r="296" spans="41:65" x14ac:dyDescent="0.25">
      <c r="AO296"/>
      <c r="AS296"/>
      <c r="BC296" s="225"/>
      <c r="BD296" s="225"/>
      <c r="BE296" s="225"/>
      <c r="BF296" s="225"/>
      <c r="BG296" s="225"/>
      <c r="BH296" s="225"/>
      <c r="BI296" s="225"/>
      <c r="BJ296" s="225"/>
      <c r="BK296" s="225"/>
      <c r="BL296" s="225"/>
      <c r="BM296" s="225"/>
    </row>
    <row r="297" spans="41:65" x14ac:dyDescent="0.25">
      <c r="AO297"/>
      <c r="AS297"/>
      <c r="BC297" s="225"/>
      <c r="BD297" s="225"/>
      <c r="BE297" s="225"/>
      <c r="BF297" s="225"/>
      <c r="BG297" s="225"/>
      <c r="BH297" s="225"/>
      <c r="BI297" s="225"/>
      <c r="BJ297" s="225"/>
      <c r="BK297" s="225"/>
      <c r="BL297" s="225"/>
      <c r="BM297" s="225"/>
    </row>
    <row r="298" spans="41:65" x14ac:dyDescent="0.25">
      <c r="AO298"/>
      <c r="AS298"/>
      <c r="BC298" s="225"/>
      <c r="BD298" s="225"/>
      <c r="BE298" s="225"/>
      <c r="BF298" s="225"/>
      <c r="BG298" s="225"/>
      <c r="BH298" s="225"/>
      <c r="BI298" s="225"/>
      <c r="BJ298" s="225"/>
      <c r="BK298" s="225"/>
      <c r="BL298" s="225"/>
      <c r="BM298" s="225"/>
    </row>
    <row r="299" spans="41:65" x14ac:dyDescent="0.25">
      <c r="AO299"/>
      <c r="AS299"/>
      <c r="BC299" s="225"/>
      <c r="BD299" s="225"/>
      <c r="BE299" s="225"/>
      <c r="BF299" s="225"/>
      <c r="BG299" s="225"/>
      <c r="BH299" s="225"/>
      <c r="BI299" s="225"/>
      <c r="BJ299" s="225"/>
      <c r="BK299" s="225"/>
      <c r="BL299" s="225"/>
      <c r="BM299" s="225"/>
    </row>
    <row r="300" spans="41:65" x14ac:dyDescent="0.25">
      <c r="AO300"/>
      <c r="AS300"/>
      <c r="BC300" s="225"/>
      <c r="BD300" s="225"/>
      <c r="BE300" s="225"/>
      <c r="BF300" s="225"/>
      <c r="BG300" s="225"/>
      <c r="BH300" s="225"/>
      <c r="BI300" s="225"/>
      <c r="BJ300" s="225"/>
      <c r="BK300" s="225"/>
      <c r="BL300" s="225"/>
      <c r="BM300" s="225"/>
    </row>
    <row r="301" spans="41:65" x14ac:dyDescent="0.25">
      <c r="AO301"/>
      <c r="AS301"/>
      <c r="BC301" s="225"/>
      <c r="BD301" s="225"/>
      <c r="BE301" s="225"/>
      <c r="BF301" s="225"/>
      <c r="BG301" s="225"/>
      <c r="BH301" s="225"/>
      <c r="BI301" s="225"/>
      <c r="BJ301" s="225"/>
      <c r="BK301" s="225"/>
      <c r="BL301" s="225"/>
      <c r="BM301" s="225"/>
    </row>
    <row r="302" spans="41:65" x14ac:dyDescent="0.25">
      <c r="AO302"/>
      <c r="AS302"/>
      <c r="BC302" s="225"/>
      <c r="BD302" s="225"/>
      <c r="BE302" s="225"/>
      <c r="BF302" s="225"/>
      <c r="BG302" s="225"/>
      <c r="BH302" s="225"/>
      <c r="BI302" s="225"/>
      <c r="BJ302" s="225"/>
      <c r="BK302" s="225"/>
      <c r="BL302" s="225"/>
      <c r="BM302" s="225"/>
    </row>
    <row r="303" spans="41:65" x14ac:dyDescent="0.25">
      <c r="AO303"/>
      <c r="AS303"/>
      <c r="BC303" s="225"/>
      <c r="BD303" s="225"/>
      <c r="BE303" s="225"/>
      <c r="BF303" s="225"/>
      <c r="BG303" s="225"/>
      <c r="BH303" s="225"/>
      <c r="BI303" s="225"/>
      <c r="BJ303" s="225"/>
      <c r="BK303" s="225"/>
      <c r="BL303" s="225"/>
      <c r="BM303" s="225"/>
    </row>
    <row r="304" spans="41:65" x14ac:dyDescent="0.25">
      <c r="AO304"/>
      <c r="AS304"/>
      <c r="BC304" s="225"/>
      <c r="BD304" s="225"/>
      <c r="BE304" s="225"/>
      <c r="BF304" s="225"/>
      <c r="BG304" s="225"/>
      <c r="BH304" s="225"/>
      <c r="BI304" s="225"/>
      <c r="BJ304" s="225"/>
      <c r="BK304" s="225"/>
      <c r="BL304" s="225"/>
      <c r="BM304" s="225"/>
    </row>
    <row r="305" spans="41:65" x14ac:dyDescent="0.25">
      <c r="AO305"/>
      <c r="AS305"/>
      <c r="BC305" s="225"/>
      <c r="BD305" s="225"/>
      <c r="BE305" s="225"/>
      <c r="BF305" s="225"/>
      <c r="BG305" s="225"/>
      <c r="BH305" s="225"/>
      <c r="BI305" s="225"/>
      <c r="BJ305" s="225"/>
      <c r="BK305" s="225"/>
      <c r="BL305" s="225"/>
      <c r="BM305" s="225"/>
    </row>
    <row r="306" spans="41:65" x14ac:dyDescent="0.25">
      <c r="AO306"/>
      <c r="AS306"/>
      <c r="BC306" s="225"/>
      <c r="BD306" s="225"/>
      <c r="BE306" s="225"/>
      <c r="BF306" s="225"/>
      <c r="BG306" s="225"/>
      <c r="BH306" s="225"/>
      <c r="BI306" s="225"/>
      <c r="BJ306" s="225"/>
      <c r="BK306" s="225"/>
      <c r="BL306" s="225"/>
      <c r="BM306" s="225"/>
    </row>
    <row r="307" spans="41:65" x14ac:dyDescent="0.25">
      <c r="AO307"/>
      <c r="AS307"/>
      <c r="BC307" s="225"/>
      <c r="BD307" s="225"/>
      <c r="BE307" s="225"/>
      <c r="BF307" s="225"/>
      <c r="BG307" s="225"/>
      <c r="BH307" s="225"/>
      <c r="BI307" s="225"/>
      <c r="BJ307" s="225"/>
      <c r="BK307" s="225"/>
      <c r="BL307" s="225"/>
      <c r="BM307" s="225"/>
    </row>
    <row r="308" spans="41:65" x14ac:dyDescent="0.25">
      <c r="AO308"/>
      <c r="AS308"/>
      <c r="BC308" s="225"/>
      <c r="BD308" s="225"/>
      <c r="BE308" s="225"/>
      <c r="BF308" s="225"/>
      <c r="BG308" s="225"/>
      <c r="BH308" s="225"/>
      <c r="BI308" s="225"/>
      <c r="BJ308" s="225"/>
      <c r="BK308" s="225"/>
      <c r="BL308" s="225"/>
      <c r="BM308" s="225"/>
    </row>
    <row r="309" spans="41:65" x14ac:dyDescent="0.25">
      <c r="AO309"/>
      <c r="AS309"/>
      <c r="BC309" s="225"/>
      <c r="BD309" s="225"/>
      <c r="BE309" s="225"/>
      <c r="BF309" s="225"/>
      <c r="BG309" s="225"/>
      <c r="BH309" s="225"/>
      <c r="BI309" s="225"/>
      <c r="BJ309" s="225"/>
      <c r="BK309" s="225"/>
      <c r="BL309" s="225"/>
      <c r="BM309" s="225"/>
    </row>
    <row r="310" spans="41:65" x14ac:dyDescent="0.25">
      <c r="AO310"/>
      <c r="AS310"/>
      <c r="BC310" s="225"/>
      <c r="BD310" s="225"/>
      <c r="BE310" s="225"/>
      <c r="BF310" s="225"/>
      <c r="BG310" s="225"/>
      <c r="BH310" s="225"/>
      <c r="BI310" s="225"/>
      <c r="BJ310" s="225"/>
      <c r="BK310" s="225"/>
      <c r="BL310" s="225"/>
      <c r="BM310" s="225"/>
    </row>
    <row r="311" spans="41:65" x14ac:dyDescent="0.25">
      <c r="AO311"/>
      <c r="AS311"/>
      <c r="BC311" s="225"/>
      <c r="BD311" s="225"/>
      <c r="BE311" s="225"/>
      <c r="BF311" s="225"/>
      <c r="BG311" s="225"/>
      <c r="BH311" s="225"/>
      <c r="BI311" s="225"/>
      <c r="BJ311" s="225"/>
      <c r="BK311" s="225"/>
      <c r="BL311" s="225"/>
      <c r="BM311" s="225"/>
    </row>
    <row r="312" spans="41:65" x14ac:dyDescent="0.25">
      <c r="AO312"/>
      <c r="AS312"/>
      <c r="BC312" s="225"/>
      <c r="BD312" s="225"/>
      <c r="BE312" s="225"/>
      <c r="BF312" s="225"/>
      <c r="BG312" s="225"/>
      <c r="BH312" s="225"/>
      <c r="BI312" s="225"/>
      <c r="BJ312" s="225"/>
      <c r="BK312" s="225"/>
      <c r="BL312" s="225"/>
      <c r="BM312" s="225"/>
    </row>
    <row r="313" spans="41:65" x14ac:dyDescent="0.25">
      <c r="AO313"/>
      <c r="AS313"/>
      <c r="BC313" s="225"/>
      <c r="BD313" s="225"/>
      <c r="BE313" s="225"/>
      <c r="BF313" s="225"/>
      <c r="BG313" s="225"/>
      <c r="BH313" s="225"/>
      <c r="BI313" s="225"/>
      <c r="BJ313" s="225"/>
      <c r="BK313" s="225"/>
      <c r="BL313" s="225"/>
      <c r="BM313" s="225"/>
    </row>
    <row r="314" spans="41:65" x14ac:dyDescent="0.25">
      <c r="AO314"/>
      <c r="AS314"/>
      <c r="BC314" s="225"/>
      <c r="BD314" s="225"/>
      <c r="BE314" s="225"/>
      <c r="BF314" s="225"/>
      <c r="BG314" s="225"/>
      <c r="BH314" s="225"/>
      <c r="BI314" s="225"/>
      <c r="BJ314" s="225"/>
      <c r="BK314" s="225"/>
      <c r="BL314" s="225"/>
      <c r="BM314" s="225"/>
    </row>
    <row r="315" spans="41:65" x14ac:dyDescent="0.25">
      <c r="AO315"/>
      <c r="AS315"/>
      <c r="BC315" s="225"/>
      <c r="BD315" s="225"/>
      <c r="BE315" s="225"/>
      <c r="BF315" s="225"/>
      <c r="BG315" s="225"/>
      <c r="BH315" s="225"/>
      <c r="BI315" s="225"/>
      <c r="BJ315" s="225"/>
      <c r="BK315" s="225"/>
      <c r="BL315" s="225"/>
      <c r="BM315" s="225"/>
    </row>
    <row r="316" spans="41:65" x14ac:dyDescent="0.25">
      <c r="AO316"/>
      <c r="AS316"/>
      <c r="BC316" s="225"/>
      <c r="BD316" s="225"/>
      <c r="BE316" s="225"/>
      <c r="BF316" s="225"/>
      <c r="BG316" s="225"/>
      <c r="BH316" s="225"/>
      <c r="BI316" s="225"/>
      <c r="BJ316" s="225"/>
      <c r="BK316" s="225"/>
      <c r="BL316" s="225"/>
      <c r="BM316" s="225"/>
    </row>
    <row r="317" spans="41:65" x14ac:dyDescent="0.25">
      <c r="AO317"/>
      <c r="AS317"/>
      <c r="BC317" s="225"/>
      <c r="BD317" s="225"/>
      <c r="BE317" s="225"/>
      <c r="BF317" s="225"/>
      <c r="BG317" s="225"/>
      <c r="BH317" s="225"/>
      <c r="BI317" s="225"/>
      <c r="BJ317" s="225"/>
      <c r="BK317" s="225"/>
      <c r="BL317" s="225"/>
      <c r="BM317" s="225"/>
    </row>
    <row r="318" spans="41:65" x14ac:dyDescent="0.25">
      <c r="AO318"/>
      <c r="AS318"/>
      <c r="BC318" s="225"/>
      <c r="BD318" s="225"/>
      <c r="BE318" s="225"/>
      <c r="BF318" s="225"/>
      <c r="BG318" s="225"/>
      <c r="BH318" s="225"/>
      <c r="BI318" s="225"/>
      <c r="BJ318" s="225"/>
      <c r="BK318" s="225"/>
      <c r="BL318" s="225"/>
      <c r="BM318" s="225"/>
    </row>
    <row r="319" spans="41:65" x14ac:dyDescent="0.25">
      <c r="AO319"/>
      <c r="AS319"/>
      <c r="BC319" s="225"/>
      <c r="BD319" s="225"/>
      <c r="BE319" s="225"/>
      <c r="BF319" s="225"/>
      <c r="BG319" s="225"/>
      <c r="BH319" s="225"/>
      <c r="BI319" s="225"/>
      <c r="BJ319" s="225"/>
      <c r="BK319" s="225"/>
      <c r="BL319" s="225"/>
      <c r="BM319" s="225"/>
    </row>
    <row r="320" spans="41:65" x14ac:dyDescent="0.25">
      <c r="AO320"/>
      <c r="AS320"/>
      <c r="BC320" s="225"/>
      <c r="BD320" s="225"/>
      <c r="BE320" s="225"/>
      <c r="BF320" s="225"/>
      <c r="BG320" s="225"/>
      <c r="BH320" s="225"/>
      <c r="BI320" s="225"/>
      <c r="BJ320" s="225"/>
      <c r="BK320" s="225"/>
      <c r="BL320" s="225"/>
      <c r="BM320" s="225"/>
    </row>
    <row r="321" spans="41:65" x14ac:dyDescent="0.25">
      <c r="AO321"/>
      <c r="AS321"/>
      <c r="BC321" s="225"/>
      <c r="BD321" s="225"/>
      <c r="BE321" s="225"/>
      <c r="BF321" s="225"/>
      <c r="BG321" s="225"/>
      <c r="BH321" s="225"/>
      <c r="BI321" s="225"/>
      <c r="BJ321" s="225"/>
      <c r="BK321" s="225"/>
      <c r="BL321" s="225"/>
      <c r="BM321" s="225"/>
    </row>
    <row r="322" spans="41:65" x14ac:dyDescent="0.25">
      <c r="AO322"/>
      <c r="AS322"/>
      <c r="BC322" s="225"/>
      <c r="BD322" s="225"/>
      <c r="BE322" s="225"/>
      <c r="BF322" s="225"/>
      <c r="BG322" s="225"/>
      <c r="BH322" s="225"/>
      <c r="BI322" s="225"/>
      <c r="BJ322" s="225"/>
      <c r="BK322" s="225"/>
      <c r="BL322" s="225"/>
      <c r="BM322" s="225"/>
    </row>
    <row r="323" spans="41:65" x14ac:dyDescent="0.25">
      <c r="AO323"/>
      <c r="AS323"/>
      <c r="BC323" s="225"/>
      <c r="BD323" s="225"/>
      <c r="BE323" s="225"/>
      <c r="BF323" s="225"/>
      <c r="BG323" s="225"/>
      <c r="BH323" s="225"/>
      <c r="BI323" s="225"/>
      <c r="BJ323" s="225"/>
      <c r="BK323" s="225"/>
      <c r="BL323" s="225"/>
      <c r="BM323" s="225"/>
    </row>
    <row r="324" spans="41:65" x14ac:dyDescent="0.25">
      <c r="AO324"/>
      <c r="AS324"/>
      <c r="BC324" s="225"/>
      <c r="BD324" s="225"/>
      <c r="BE324" s="225"/>
      <c r="BF324" s="225"/>
      <c r="BG324" s="225"/>
      <c r="BH324" s="225"/>
      <c r="BI324" s="225"/>
      <c r="BJ324" s="225"/>
      <c r="BK324" s="225"/>
      <c r="BL324" s="225"/>
      <c r="BM324" s="225"/>
    </row>
    <row r="325" spans="41:65" x14ac:dyDescent="0.25">
      <c r="AO325"/>
      <c r="AS325"/>
      <c r="BC325" s="225"/>
      <c r="BD325" s="225"/>
      <c r="BE325" s="225"/>
      <c r="BF325" s="225"/>
      <c r="BG325" s="225"/>
      <c r="BH325" s="225"/>
      <c r="BI325" s="225"/>
      <c r="BJ325" s="225"/>
      <c r="BK325" s="225"/>
      <c r="BL325" s="225"/>
      <c r="BM325" s="225"/>
    </row>
    <row r="326" spans="41:65" x14ac:dyDescent="0.25">
      <c r="AO326"/>
      <c r="AS326"/>
      <c r="BC326" s="225"/>
      <c r="BD326" s="225"/>
      <c r="BE326" s="225"/>
      <c r="BF326" s="225"/>
      <c r="BG326" s="225"/>
      <c r="BH326" s="225"/>
      <c r="BI326" s="225"/>
      <c r="BJ326" s="225"/>
      <c r="BK326" s="225"/>
      <c r="BL326" s="225"/>
      <c r="BM326" s="225"/>
    </row>
    <row r="327" spans="41:65" x14ac:dyDescent="0.25">
      <c r="AO327"/>
      <c r="AS327"/>
      <c r="BC327" s="225"/>
      <c r="BD327" s="225"/>
      <c r="BE327" s="225"/>
      <c r="BF327" s="225"/>
      <c r="BG327" s="225"/>
      <c r="BH327" s="225"/>
      <c r="BI327" s="225"/>
      <c r="BJ327" s="225"/>
      <c r="BK327" s="225"/>
      <c r="BL327" s="225"/>
      <c r="BM327" s="225"/>
    </row>
    <row r="328" spans="41:65" x14ac:dyDescent="0.25">
      <c r="AO328"/>
      <c r="AS328"/>
      <c r="BC328" s="225"/>
      <c r="BD328" s="225"/>
      <c r="BE328" s="225"/>
      <c r="BF328" s="225"/>
      <c r="BG328" s="225"/>
      <c r="BH328" s="225"/>
      <c r="BI328" s="225"/>
      <c r="BJ328" s="225"/>
      <c r="BK328" s="225"/>
      <c r="BL328" s="225"/>
      <c r="BM328" s="225"/>
    </row>
    <row r="329" spans="41:65" x14ac:dyDescent="0.25">
      <c r="AO329"/>
      <c r="AS329"/>
      <c r="BC329" s="225"/>
      <c r="BD329" s="225"/>
      <c r="BE329" s="225"/>
      <c r="BF329" s="225"/>
      <c r="BG329" s="225"/>
      <c r="BH329" s="225"/>
      <c r="BI329" s="225"/>
      <c r="BJ329" s="225"/>
      <c r="BK329" s="225"/>
      <c r="BL329" s="225"/>
      <c r="BM329" s="225"/>
    </row>
    <row r="330" spans="41:65" x14ac:dyDescent="0.25">
      <c r="AO330"/>
      <c r="AS330"/>
      <c r="BC330" s="225"/>
      <c r="BD330" s="225"/>
      <c r="BE330" s="225"/>
      <c r="BF330" s="225"/>
      <c r="BG330" s="225"/>
      <c r="BH330" s="225"/>
      <c r="BI330" s="225"/>
      <c r="BJ330" s="225"/>
      <c r="BK330" s="225"/>
      <c r="BL330" s="225"/>
      <c r="BM330" s="225"/>
    </row>
    <row r="331" spans="41:65" x14ac:dyDescent="0.25">
      <c r="AO331"/>
      <c r="AS331"/>
      <c r="BC331" s="225"/>
      <c r="BD331" s="225"/>
      <c r="BE331" s="225"/>
      <c r="BF331" s="225"/>
      <c r="BG331" s="225"/>
      <c r="BH331" s="225"/>
      <c r="BI331" s="225"/>
      <c r="BJ331" s="225"/>
      <c r="BK331" s="225"/>
      <c r="BL331" s="225"/>
      <c r="BM331" s="225"/>
    </row>
    <row r="332" spans="41:65" x14ac:dyDescent="0.25">
      <c r="AO332"/>
      <c r="AS332"/>
      <c r="BC332" s="225"/>
      <c r="BD332" s="225"/>
      <c r="BE332" s="225"/>
      <c r="BF332" s="225"/>
      <c r="BG332" s="225"/>
      <c r="BH332" s="225"/>
      <c r="BI332" s="225"/>
      <c r="BJ332" s="225"/>
      <c r="BK332" s="225"/>
      <c r="BL332" s="225"/>
      <c r="BM332" s="225"/>
    </row>
    <row r="333" spans="41:65" x14ac:dyDescent="0.25">
      <c r="AO333"/>
      <c r="AS333"/>
      <c r="BC333" s="225"/>
      <c r="BD333" s="225"/>
      <c r="BE333" s="225"/>
      <c r="BF333" s="225"/>
      <c r="BG333" s="225"/>
      <c r="BH333" s="225"/>
      <c r="BI333" s="225"/>
      <c r="BJ333" s="225"/>
      <c r="BK333" s="225"/>
      <c r="BL333" s="225"/>
      <c r="BM333" s="225"/>
    </row>
    <row r="334" spans="41:65" x14ac:dyDescent="0.25">
      <c r="AO334"/>
      <c r="AS334"/>
      <c r="BC334" s="225"/>
      <c r="BD334" s="225"/>
      <c r="BE334" s="225"/>
      <c r="BF334" s="225"/>
      <c r="BG334" s="225"/>
      <c r="BH334" s="225"/>
      <c r="BI334" s="225"/>
      <c r="BJ334" s="225"/>
      <c r="BK334" s="225"/>
      <c r="BL334" s="225"/>
      <c r="BM334" s="225"/>
    </row>
    <row r="335" spans="41:65" x14ac:dyDescent="0.25">
      <c r="AO335"/>
      <c r="AS335"/>
      <c r="BC335" s="225"/>
      <c r="BD335" s="225"/>
      <c r="BE335" s="225"/>
      <c r="BF335" s="225"/>
      <c r="BG335" s="225"/>
      <c r="BH335" s="225"/>
      <c r="BI335" s="225"/>
      <c r="BJ335" s="225"/>
      <c r="BK335" s="225"/>
      <c r="BL335" s="225"/>
      <c r="BM335" s="225"/>
    </row>
    <row r="336" spans="41:65" x14ac:dyDescent="0.25">
      <c r="AO336"/>
      <c r="AS336"/>
      <c r="BC336" s="225"/>
      <c r="BD336" s="225"/>
      <c r="BE336" s="225"/>
      <c r="BF336" s="225"/>
      <c r="BG336" s="225"/>
      <c r="BH336" s="225"/>
      <c r="BI336" s="225"/>
      <c r="BJ336" s="225"/>
      <c r="BK336" s="225"/>
      <c r="BL336" s="225"/>
      <c r="BM336" s="225"/>
    </row>
    <row r="337" spans="41:65" x14ac:dyDescent="0.25">
      <c r="AO337"/>
      <c r="AS337"/>
      <c r="BC337" s="225"/>
      <c r="BD337" s="225"/>
      <c r="BE337" s="225"/>
      <c r="BF337" s="225"/>
      <c r="BG337" s="225"/>
      <c r="BH337" s="225"/>
      <c r="BI337" s="225"/>
      <c r="BJ337" s="225"/>
      <c r="BK337" s="225"/>
      <c r="BL337" s="225"/>
      <c r="BM337" s="225"/>
    </row>
    <row r="338" spans="41:65" x14ac:dyDescent="0.25">
      <c r="AO338"/>
      <c r="AS338"/>
      <c r="BC338" s="225"/>
      <c r="BD338" s="225"/>
      <c r="BE338" s="225"/>
      <c r="BF338" s="225"/>
      <c r="BG338" s="225"/>
      <c r="BH338" s="225"/>
      <c r="BI338" s="225"/>
      <c r="BJ338" s="225"/>
      <c r="BK338" s="225"/>
      <c r="BL338" s="225"/>
      <c r="BM338" s="225"/>
    </row>
    <row r="339" spans="41:65" x14ac:dyDescent="0.25">
      <c r="AO339"/>
      <c r="AS339"/>
      <c r="BC339" s="225"/>
      <c r="BD339" s="225"/>
      <c r="BE339" s="225"/>
      <c r="BF339" s="225"/>
      <c r="BG339" s="225"/>
      <c r="BH339" s="225"/>
      <c r="BI339" s="225"/>
      <c r="BJ339" s="225"/>
      <c r="BK339" s="225"/>
      <c r="BL339" s="225"/>
      <c r="BM339" s="225"/>
    </row>
    <row r="340" spans="41:65" x14ac:dyDescent="0.25">
      <c r="AO340"/>
      <c r="AS340"/>
      <c r="BC340" s="225"/>
      <c r="BD340" s="225"/>
      <c r="BE340" s="225"/>
      <c r="BF340" s="225"/>
      <c r="BG340" s="225"/>
      <c r="BH340" s="225"/>
      <c r="BI340" s="225"/>
      <c r="BJ340" s="225"/>
      <c r="BK340" s="225"/>
      <c r="BL340" s="225"/>
      <c r="BM340" s="225"/>
    </row>
    <row r="341" spans="41:65" x14ac:dyDescent="0.25">
      <c r="AO341"/>
      <c r="AS341"/>
      <c r="BC341" s="225"/>
      <c r="BD341" s="225"/>
      <c r="BE341" s="225"/>
      <c r="BF341" s="225"/>
      <c r="BG341" s="225"/>
      <c r="BH341" s="225"/>
      <c r="BI341" s="225"/>
      <c r="BJ341" s="225"/>
      <c r="BK341" s="225"/>
      <c r="BL341" s="225"/>
      <c r="BM341" s="225"/>
    </row>
    <row r="342" spans="41:65" x14ac:dyDescent="0.25">
      <c r="AO342"/>
      <c r="AS342"/>
      <c r="BC342" s="225"/>
      <c r="BD342" s="225"/>
      <c r="BE342" s="225"/>
      <c r="BF342" s="225"/>
      <c r="BG342" s="225"/>
      <c r="BH342" s="225"/>
      <c r="BI342" s="225"/>
      <c r="BJ342" s="225"/>
      <c r="BK342" s="225"/>
      <c r="BL342" s="225"/>
      <c r="BM342" s="225"/>
    </row>
    <row r="343" spans="41:65" x14ac:dyDescent="0.25">
      <c r="AO343"/>
      <c r="AS343"/>
      <c r="BC343" s="225"/>
      <c r="BD343" s="225"/>
      <c r="BE343" s="225"/>
      <c r="BF343" s="225"/>
      <c r="BG343" s="225"/>
      <c r="BH343" s="225"/>
      <c r="BI343" s="225"/>
      <c r="BJ343" s="225"/>
      <c r="BK343" s="225"/>
      <c r="BL343" s="225"/>
      <c r="BM343" s="225"/>
    </row>
    <row r="344" spans="41:65" x14ac:dyDescent="0.25">
      <c r="AO344"/>
      <c r="AS344"/>
      <c r="BC344" s="225"/>
      <c r="BD344" s="225"/>
      <c r="BE344" s="225"/>
      <c r="BF344" s="225"/>
      <c r="BG344" s="225"/>
      <c r="BH344" s="225"/>
      <c r="BI344" s="225"/>
      <c r="BJ344" s="225"/>
      <c r="BK344" s="225"/>
      <c r="BL344" s="225"/>
      <c r="BM344" s="225"/>
    </row>
    <row r="345" spans="41:65" x14ac:dyDescent="0.25">
      <c r="AO345"/>
      <c r="AS345"/>
      <c r="BC345" s="225"/>
      <c r="BD345" s="225"/>
      <c r="BE345" s="225"/>
      <c r="BF345" s="225"/>
      <c r="BG345" s="225"/>
      <c r="BH345" s="225"/>
      <c r="BI345" s="225"/>
      <c r="BJ345" s="225"/>
      <c r="BK345" s="225"/>
      <c r="BL345" s="225"/>
      <c r="BM345" s="225"/>
    </row>
    <row r="346" spans="41:65" x14ac:dyDescent="0.25">
      <c r="AO346"/>
      <c r="AS346"/>
      <c r="BC346" s="225"/>
      <c r="BD346" s="225"/>
      <c r="BE346" s="225"/>
      <c r="BF346" s="225"/>
      <c r="BG346" s="225"/>
      <c r="BH346" s="225"/>
      <c r="BI346" s="225"/>
      <c r="BJ346" s="225"/>
      <c r="BK346" s="225"/>
      <c r="BL346" s="225"/>
      <c r="BM346" s="225"/>
    </row>
    <row r="347" spans="41:65" x14ac:dyDescent="0.25">
      <c r="AO347"/>
      <c r="AS347"/>
      <c r="BC347" s="225"/>
      <c r="BD347" s="225"/>
      <c r="BE347" s="225"/>
      <c r="BF347" s="225"/>
      <c r="BG347" s="225"/>
      <c r="BH347" s="225"/>
      <c r="BI347" s="225"/>
      <c r="BJ347" s="225"/>
      <c r="BK347" s="225"/>
      <c r="BL347" s="225"/>
      <c r="BM347" s="225"/>
    </row>
    <row r="348" spans="41:65" x14ac:dyDescent="0.25">
      <c r="AO348"/>
      <c r="AS348"/>
      <c r="BC348" s="225"/>
      <c r="BD348" s="225"/>
      <c r="BE348" s="225"/>
      <c r="BF348" s="225"/>
      <c r="BG348" s="225"/>
      <c r="BH348" s="225"/>
      <c r="BI348" s="225"/>
      <c r="BJ348" s="225"/>
      <c r="BK348" s="225"/>
      <c r="BL348" s="225"/>
      <c r="BM348" s="225"/>
    </row>
    <row r="349" spans="41:65" x14ac:dyDescent="0.25">
      <c r="AO349"/>
      <c r="AS349"/>
      <c r="BC349" s="225"/>
      <c r="BD349" s="225"/>
      <c r="BE349" s="225"/>
      <c r="BF349" s="225"/>
      <c r="BG349" s="225"/>
      <c r="BH349" s="225"/>
      <c r="BI349" s="225"/>
      <c r="BJ349" s="225"/>
      <c r="BK349" s="225"/>
      <c r="BL349" s="225"/>
      <c r="BM349" s="225"/>
    </row>
    <row r="350" spans="41:65" x14ac:dyDescent="0.25">
      <c r="AO350"/>
      <c r="AS350"/>
      <c r="BC350" s="225"/>
      <c r="BD350" s="225"/>
      <c r="BE350" s="225"/>
      <c r="BF350" s="225"/>
      <c r="BG350" s="225"/>
      <c r="BH350" s="225"/>
      <c r="BI350" s="225"/>
      <c r="BJ350" s="225"/>
      <c r="BK350" s="225"/>
      <c r="BL350" s="225"/>
      <c r="BM350" s="225"/>
    </row>
    <row r="351" spans="41:65" x14ac:dyDescent="0.25">
      <c r="AO351"/>
      <c r="AS351"/>
      <c r="BC351" s="225"/>
      <c r="BD351" s="225"/>
      <c r="BE351" s="225"/>
      <c r="BF351" s="225"/>
      <c r="BG351" s="225"/>
      <c r="BH351" s="225"/>
      <c r="BI351" s="225"/>
      <c r="BJ351" s="225"/>
      <c r="BK351" s="225"/>
      <c r="BL351" s="225"/>
      <c r="BM351" s="225"/>
    </row>
    <row r="352" spans="41:65" x14ac:dyDescent="0.25">
      <c r="AO352"/>
      <c r="AS352"/>
      <c r="BC352" s="225"/>
      <c r="BD352" s="225"/>
      <c r="BE352" s="225"/>
      <c r="BF352" s="225"/>
      <c r="BG352" s="225"/>
      <c r="BH352" s="225"/>
      <c r="BI352" s="225"/>
      <c r="BJ352" s="225"/>
      <c r="BK352" s="225"/>
      <c r="BL352" s="225"/>
      <c r="BM352" s="225"/>
    </row>
    <row r="353" spans="41:65" x14ac:dyDescent="0.25">
      <c r="AO353"/>
      <c r="AS353"/>
      <c r="BC353" s="225"/>
      <c r="BD353" s="225"/>
      <c r="BE353" s="225"/>
      <c r="BF353" s="225"/>
      <c r="BG353" s="225"/>
      <c r="BH353" s="225"/>
      <c r="BI353" s="225"/>
      <c r="BJ353" s="225"/>
      <c r="BK353" s="225"/>
      <c r="BL353" s="225"/>
      <c r="BM353" s="225"/>
    </row>
    <row r="354" spans="41:65" x14ac:dyDescent="0.25">
      <c r="AO354"/>
      <c r="AS354"/>
      <c r="BC354" s="225"/>
      <c r="BD354" s="225"/>
      <c r="BE354" s="225"/>
      <c r="BF354" s="225"/>
      <c r="BG354" s="225"/>
      <c r="BH354" s="225"/>
      <c r="BI354" s="225"/>
      <c r="BJ354" s="225"/>
      <c r="BK354" s="225"/>
      <c r="BL354" s="225"/>
      <c r="BM354" s="225"/>
    </row>
    <row r="355" spans="41:65" x14ac:dyDescent="0.25">
      <c r="AO355"/>
      <c r="AS355"/>
      <c r="BC355" s="225"/>
      <c r="BD355" s="225"/>
      <c r="BE355" s="225"/>
      <c r="BF355" s="225"/>
      <c r="BG355" s="225"/>
      <c r="BH355" s="225"/>
      <c r="BI355" s="225"/>
      <c r="BJ355" s="225"/>
      <c r="BK355" s="225"/>
      <c r="BL355" s="225"/>
      <c r="BM355" s="225"/>
    </row>
    <row r="356" spans="41:65" x14ac:dyDescent="0.25">
      <c r="AO356"/>
      <c r="AS356"/>
      <c r="BC356" s="225"/>
      <c r="BD356" s="225"/>
      <c r="BE356" s="225"/>
      <c r="BF356" s="225"/>
      <c r="BG356" s="225"/>
      <c r="BH356" s="225"/>
      <c r="BI356" s="225"/>
      <c r="BJ356" s="225"/>
      <c r="BK356" s="225"/>
      <c r="BL356" s="225"/>
      <c r="BM356" s="225"/>
    </row>
    <row r="357" spans="41:65" x14ac:dyDescent="0.25">
      <c r="AO357"/>
      <c r="AS357"/>
      <c r="BC357" s="225"/>
      <c r="BD357" s="225"/>
      <c r="BE357" s="225"/>
      <c r="BF357" s="225"/>
      <c r="BG357" s="225"/>
      <c r="BH357" s="225"/>
      <c r="BI357" s="225"/>
      <c r="BJ357" s="225"/>
      <c r="BK357" s="225"/>
      <c r="BL357" s="225"/>
      <c r="BM357" s="225"/>
    </row>
    <row r="358" spans="41:65" x14ac:dyDescent="0.25">
      <c r="AO358"/>
      <c r="AS358"/>
      <c r="BC358" s="225"/>
      <c r="BD358" s="225"/>
      <c r="BE358" s="225"/>
      <c r="BF358" s="225"/>
      <c r="BG358" s="225"/>
      <c r="BH358" s="225"/>
      <c r="BI358" s="225"/>
      <c r="BJ358" s="225"/>
      <c r="BK358" s="225"/>
      <c r="BL358" s="225"/>
      <c r="BM358" s="225"/>
    </row>
    <row r="359" spans="41:65" x14ac:dyDescent="0.25">
      <c r="AO359"/>
      <c r="AS359"/>
      <c r="BC359" s="225"/>
      <c r="BD359" s="225"/>
      <c r="BE359" s="225"/>
      <c r="BF359" s="225"/>
      <c r="BG359" s="225"/>
      <c r="BH359" s="225"/>
      <c r="BI359" s="225"/>
      <c r="BJ359" s="225"/>
      <c r="BK359" s="225"/>
      <c r="BL359" s="225"/>
      <c r="BM359" s="225"/>
    </row>
    <row r="360" spans="41:65" x14ac:dyDescent="0.25">
      <c r="AO360"/>
      <c r="AS360"/>
      <c r="BC360" s="225"/>
      <c r="BD360" s="225"/>
      <c r="BE360" s="225"/>
      <c r="BF360" s="225"/>
      <c r="BG360" s="225"/>
      <c r="BH360" s="225"/>
      <c r="BI360" s="225"/>
      <c r="BJ360" s="225"/>
      <c r="BK360" s="225"/>
      <c r="BL360" s="225"/>
      <c r="BM360" s="225"/>
    </row>
    <row r="361" spans="41:65" x14ac:dyDescent="0.25">
      <c r="AO361"/>
      <c r="AS361"/>
      <c r="BC361" s="225"/>
      <c r="BD361" s="225"/>
      <c r="BE361" s="225"/>
      <c r="BF361" s="225"/>
      <c r="BG361" s="225"/>
      <c r="BH361" s="225"/>
      <c r="BI361" s="225"/>
      <c r="BJ361" s="225"/>
      <c r="BK361" s="225"/>
      <c r="BL361" s="225"/>
      <c r="BM361" s="225"/>
    </row>
    <row r="362" spans="41:65" x14ac:dyDescent="0.25">
      <c r="AO362"/>
      <c r="AS362"/>
      <c r="BC362" s="225"/>
      <c r="BD362" s="225"/>
      <c r="BE362" s="225"/>
      <c r="BF362" s="225"/>
      <c r="BG362" s="225"/>
      <c r="BH362" s="225"/>
      <c r="BI362" s="225"/>
      <c r="BJ362" s="225"/>
      <c r="BK362" s="225"/>
      <c r="BL362" s="225"/>
      <c r="BM362" s="225"/>
    </row>
    <row r="363" spans="41:65" x14ac:dyDescent="0.25">
      <c r="AO363"/>
      <c r="AS363"/>
      <c r="BC363" s="225"/>
      <c r="BD363" s="225"/>
      <c r="BE363" s="225"/>
      <c r="BF363" s="225"/>
      <c r="BG363" s="225"/>
      <c r="BH363" s="225"/>
      <c r="BI363" s="225"/>
      <c r="BJ363" s="225"/>
      <c r="BK363" s="225"/>
      <c r="BL363" s="225"/>
      <c r="BM363" s="225"/>
    </row>
    <row r="364" spans="41:65" x14ac:dyDescent="0.25">
      <c r="AO364"/>
      <c r="AS364"/>
      <c r="BC364" s="225"/>
      <c r="BD364" s="225"/>
      <c r="BE364" s="225"/>
      <c r="BF364" s="225"/>
      <c r="BG364" s="225"/>
      <c r="BH364" s="225"/>
      <c r="BI364" s="225"/>
      <c r="BJ364" s="225"/>
      <c r="BK364" s="225"/>
      <c r="BL364" s="225"/>
      <c r="BM364" s="225"/>
    </row>
    <row r="365" spans="41:65" x14ac:dyDescent="0.25">
      <c r="AO365"/>
      <c r="AS365"/>
      <c r="BC365" s="225"/>
      <c r="BD365" s="225"/>
      <c r="BE365" s="225"/>
      <c r="BF365" s="225"/>
      <c r="BG365" s="225"/>
      <c r="BH365" s="225"/>
      <c r="BI365" s="225"/>
      <c r="BJ365" s="225"/>
      <c r="BK365" s="225"/>
      <c r="BL365" s="225"/>
      <c r="BM365" s="225"/>
    </row>
    <row r="366" spans="41:65" x14ac:dyDescent="0.25">
      <c r="AO366"/>
      <c r="AS366"/>
      <c r="BC366" s="225"/>
      <c r="BD366" s="225"/>
      <c r="BE366" s="225"/>
      <c r="BF366" s="225"/>
      <c r="BG366" s="225"/>
      <c r="BH366" s="225"/>
      <c r="BI366" s="225"/>
      <c r="BJ366" s="225"/>
      <c r="BK366" s="225"/>
      <c r="BL366" s="225"/>
      <c r="BM366" s="225"/>
    </row>
    <row r="367" spans="41:65" x14ac:dyDescent="0.25">
      <c r="AO367"/>
      <c r="AS367"/>
      <c r="BC367" s="225"/>
      <c r="BD367" s="225"/>
      <c r="BE367" s="225"/>
      <c r="BF367" s="225"/>
      <c r="BG367" s="225"/>
      <c r="BH367" s="225"/>
      <c r="BI367" s="225"/>
      <c r="BJ367" s="225"/>
      <c r="BK367" s="225"/>
      <c r="BL367" s="225"/>
      <c r="BM367" s="225"/>
    </row>
    <row r="368" spans="41:65" x14ac:dyDescent="0.25">
      <c r="AO368"/>
      <c r="AS368"/>
      <c r="BC368" s="225"/>
      <c r="BD368" s="225"/>
      <c r="BE368" s="225"/>
      <c r="BF368" s="225"/>
      <c r="BG368" s="225"/>
      <c r="BH368" s="225"/>
      <c r="BI368" s="225"/>
      <c r="BJ368" s="225"/>
      <c r="BK368" s="225"/>
      <c r="BL368" s="225"/>
      <c r="BM368" s="225"/>
    </row>
    <row r="369" spans="41:65" x14ac:dyDescent="0.25">
      <c r="AO369"/>
      <c r="AS369"/>
      <c r="BC369" s="225"/>
      <c r="BD369" s="225"/>
      <c r="BE369" s="225"/>
      <c r="BF369" s="225"/>
      <c r="BG369" s="225"/>
      <c r="BH369" s="225"/>
      <c r="BI369" s="225"/>
      <c r="BJ369" s="225"/>
      <c r="BK369" s="225"/>
      <c r="BL369" s="225"/>
      <c r="BM369" s="225"/>
    </row>
    <row r="370" spans="41:65" x14ac:dyDescent="0.25">
      <c r="AO370"/>
      <c r="AS370"/>
      <c r="BC370" s="225"/>
      <c r="BD370" s="225"/>
      <c r="BE370" s="225"/>
      <c r="BF370" s="225"/>
      <c r="BG370" s="225"/>
      <c r="BH370" s="225"/>
      <c r="BI370" s="225"/>
      <c r="BJ370" s="225"/>
      <c r="BK370" s="225"/>
      <c r="BL370" s="225"/>
      <c r="BM370" s="225"/>
    </row>
    <row r="371" spans="41:65" x14ac:dyDescent="0.25">
      <c r="AO371"/>
      <c r="AS371"/>
      <c r="BC371" s="225"/>
      <c r="BD371" s="225"/>
      <c r="BE371" s="225"/>
      <c r="BF371" s="225"/>
      <c r="BG371" s="225"/>
      <c r="BH371" s="225"/>
      <c r="BI371" s="225"/>
      <c r="BJ371" s="225"/>
      <c r="BK371" s="225"/>
      <c r="BL371" s="225"/>
      <c r="BM371" s="225"/>
    </row>
    <row r="372" spans="41:65" x14ac:dyDescent="0.25">
      <c r="AO372"/>
      <c r="AS372"/>
      <c r="BC372" s="225"/>
      <c r="BD372" s="225"/>
      <c r="BE372" s="225"/>
      <c r="BF372" s="225"/>
      <c r="BG372" s="225"/>
      <c r="BH372" s="225"/>
      <c r="BI372" s="225"/>
      <c r="BJ372" s="225"/>
      <c r="BK372" s="225"/>
      <c r="BL372" s="225"/>
      <c r="BM372" s="225"/>
    </row>
    <row r="373" spans="41:65" x14ac:dyDescent="0.25">
      <c r="AO373"/>
      <c r="AS373"/>
      <c r="BC373" s="225"/>
      <c r="BD373" s="225"/>
      <c r="BE373" s="225"/>
      <c r="BF373" s="225"/>
      <c r="BG373" s="225"/>
      <c r="BH373" s="225"/>
      <c r="BI373" s="225"/>
      <c r="BJ373" s="225"/>
      <c r="BK373" s="225"/>
      <c r="BL373" s="225"/>
      <c r="BM373" s="225"/>
    </row>
    <row r="374" spans="41:65" x14ac:dyDescent="0.25">
      <c r="AO374"/>
      <c r="AS374"/>
      <c r="BC374" s="225"/>
      <c r="BD374" s="225"/>
      <c r="BE374" s="225"/>
      <c r="BF374" s="225"/>
      <c r="BG374" s="225"/>
      <c r="BH374" s="225"/>
      <c r="BI374" s="225"/>
      <c r="BJ374" s="225"/>
      <c r="BK374" s="225"/>
      <c r="BL374" s="225"/>
      <c r="BM374" s="225"/>
    </row>
    <row r="375" spans="41:65" x14ac:dyDescent="0.25">
      <c r="AO375"/>
      <c r="AS375"/>
      <c r="BC375" s="225"/>
      <c r="BD375" s="225"/>
      <c r="BE375" s="225"/>
      <c r="BF375" s="225"/>
      <c r="BG375" s="225"/>
      <c r="BH375" s="225"/>
      <c r="BI375" s="225"/>
      <c r="BJ375" s="225"/>
      <c r="BK375" s="225"/>
      <c r="BL375" s="225"/>
      <c r="BM375" s="225"/>
    </row>
    <row r="376" spans="41:65" x14ac:dyDescent="0.25">
      <c r="AO376"/>
      <c r="AS376"/>
      <c r="BC376" s="225"/>
      <c r="BD376" s="225"/>
      <c r="BE376" s="225"/>
      <c r="BF376" s="225"/>
      <c r="BG376" s="225"/>
      <c r="BH376" s="225"/>
      <c r="BI376" s="225"/>
      <c r="BJ376" s="225"/>
      <c r="BK376" s="225"/>
      <c r="BL376" s="225"/>
      <c r="BM376" s="225"/>
    </row>
    <row r="377" spans="41:65" x14ac:dyDescent="0.25">
      <c r="AO377"/>
      <c r="AS377"/>
      <c r="BC377" s="225"/>
      <c r="BD377" s="225"/>
      <c r="BE377" s="225"/>
      <c r="BF377" s="225"/>
      <c r="BG377" s="225"/>
      <c r="BH377" s="225"/>
      <c r="BI377" s="225"/>
      <c r="BJ377" s="225"/>
      <c r="BK377" s="225"/>
      <c r="BL377" s="225"/>
      <c r="BM377" s="225"/>
    </row>
    <row r="378" spans="41:65" x14ac:dyDescent="0.25">
      <c r="AO378"/>
      <c r="AS378"/>
      <c r="BC378" s="225"/>
      <c r="BD378" s="225"/>
      <c r="BE378" s="225"/>
      <c r="BF378" s="225"/>
      <c r="BG378" s="225"/>
      <c r="BH378" s="225"/>
      <c r="BI378" s="225"/>
      <c r="BJ378" s="225"/>
      <c r="BK378" s="225"/>
      <c r="BL378" s="225"/>
      <c r="BM378" s="225"/>
    </row>
    <row r="379" spans="41:65" x14ac:dyDescent="0.25">
      <c r="AO379"/>
      <c r="AS379"/>
      <c r="BC379" s="225"/>
      <c r="BD379" s="225"/>
      <c r="BE379" s="225"/>
      <c r="BF379" s="225"/>
      <c r="BG379" s="225"/>
      <c r="BH379" s="225"/>
      <c r="BI379" s="225"/>
      <c r="BJ379" s="225"/>
      <c r="BK379" s="225"/>
      <c r="BL379" s="225"/>
      <c r="BM379" s="225"/>
    </row>
    <row r="380" spans="41:65" x14ac:dyDescent="0.25">
      <c r="AO380"/>
      <c r="AS380"/>
      <c r="BC380" s="225"/>
      <c r="BD380" s="225"/>
      <c r="BE380" s="225"/>
      <c r="BF380" s="225"/>
      <c r="BG380" s="225"/>
      <c r="BH380" s="225"/>
      <c r="BI380" s="225"/>
      <c r="BJ380" s="225"/>
      <c r="BK380" s="225"/>
      <c r="BL380" s="225"/>
      <c r="BM380" s="225"/>
    </row>
    <row r="381" spans="41:65" x14ac:dyDescent="0.25">
      <c r="AO381"/>
      <c r="AS381"/>
      <c r="BC381" s="225"/>
      <c r="BD381" s="225"/>
      <c r="BE381" s="225"/>
      <c r="BF381" s="225"/>
      <c r="BG381" s="225"/>
      <c r="BH381" s="225"/>
      <c r="BI381" s="225"/>
      <c r="BJ381" s="225"/>
      <c r="BK381" s="225"/>
      <c r="BL381" s="225"/>
      <c r="BM381" s="225"/>
    </row>
    <row r="382" spans="41:65" x14ac:dyDescent="0.25">
      <c r="AO382"/>
      <c r="AS382"/>
      <c r="BC382" s="225"/>
      <c r="BD382" s="225"/>
      <c r="BE382" s="225"/>
      <c r="BF382" s="225"/>
      <c r="BG382" s="225"/>
      <c r="BH382" s="225"/>
      <c r="BI382" s="225"/>
      <c r="BJ382" s="225"/>
      <c r="BK382" s="225"/>
      <c r="BL382" s="225"/>
      <c r="BM382" s="225"/>
    </row>
    <row r="383" spans="41:65" x14ac:dyDescent="0.25">
      <c r="AO383"/>
      <c r="AS383"/>
      <c r="BC383" s="225"/>
      <c r="BD383" s="225"/>
      <c r="BE383" s="225"/>
      <c r="BF383" s="225"/>
      <c r="BG383" s="225"/>
      <c r="BH383" s="225"/>
      <c r="BI383" s="225"/>
      <c r="BJ383" s="225"/>
      <c r="BK383" s="225"/>
      <c r="BL383" s="225"/>
      <c r="BM383" s="225"/>
    </row>
    <row r="384" spans="41:65" x14ac:dyDescent="0.25">
      <c r="AO384"/>
      <c r="AS384"/>
      <c r="BC384" s="225"/>
      <c r="BD384" s="225"/>
      <c r="BE384" s="225"/>
      <c r="BF384" s="225"/>
      <c r="BG384" s="225"/>
      <c r="BH384" s="225"/>
      <c r="BI384" s="225"/>
      <c r="BJ384" s="225"/>
      <c r="BK384" s="225"/>
      <c r="BL384" s="225"/>
      <c r="BM384" s="225"/>
    </row>
    <row r="385" spans="41:65" x14ac:dyDescent="0.25">
      <c r="AO385"/>
      <c r="AS385"/>
      <c r="BC385" s="225"/>
      <c r="BD385" s="225"/>
      <c r="BE385" s="225"/>
      <c r="BF385" s="225"/>
      <c r="BG385" s="225"/>
      <c r="BH385" s="225"/>
      <c r="BI385" s="225"/>
      <c r="BJ385" s="225"/>
      <c r="BK385" s="225"/>
      <c r="BL385" s="225"/>
      <c r="BM385" s="225"/>
    </row>
    <row r="386" spans="41:65" x14ac:dyDescent="0.25">
      <c r="AO386"/>
      <c r="AS386"/>
      <c r="BC386" s="225"/>
      <c r="BD386" s="225"/>
      <c r="BE386" s="225"/>
      <c r="BF386" s="225"/>
      <c r="BG386" s="225"/>
      <c r="BH386" s="225"/>
      <c r="BI386" s="225"/>
      <c r="BJ386" s="225"/>
      <c r="BK386" s="225"/>
      <c r="BL386" s="225"/>
      <c r="BM386" s="225"/>
    </row>
    <row r="387" spans="41:65" x14ac:dyDescent="0.25">
      <c r="AO387"/>
      <c r="AS387"/>
      <c r="BC387" s="225"/>
      <c r="BD387" s="225"/>
      <c r="BE387" s="225"/>
      <c r="BF387" s="225"/>
      <c r="BG387" s="225"/>
      <c r="BH387" s="225"/>
      <c r="BI387" s="225"/>
      <c r="BJ387" s="225"/>
      <c r="BK387" s="225"/>
      <c r="BL387" s="225"/>
      <c r="BM387" s="225"/>
    </row>
    <row r="388" spans="41:65" x14ac:dyDescent="0.25">
      <c r="AO388"/>
      <c r="AS388"/>
      <c r="BC388" s="225"/>
      <c r="BD388" s="225"/>
      <c r="BE388" s="225"/>
      <c r="BF388" s="225"/>
      <c r="BG388" s="225"/>
      <c r="BH388" s="225"/>
      <c r="BI388" s="225"/>
      <c r="BJ388" s="225"/>
      <c r="BK388" s="225"/>
      <c r="BL388" s="225"/>
      <c r="BM388" s="225"/>
    </row>
    <row r="389" spans="41:65" x14ac:dyDescent="0.25">
      <c r="AO389"/>
      <c r="AS389"/>
      <c r="BC389" s="225"/>
      <c r="BD389" s="225"/>
      <c r="BE389" s="225"/>
      <c r="BF389" s="225"/>
      <c r="BG389" s="225"/>
      <c r="BH389" s="225"/>
      <c r="BI389" s="225"/>
      <c r="BJ389" s="225"/>
      <c r="BK389" s="225"/>
      <c r="BL389" s="225"/>
      <c r="BM389" s="225"/>
    </row>
    <row r="390" spans="41:65" x14ac:dyDescent="0.25">
      <c r="AO390"/>
      <c r="AS390"/>
      <c r="BC390" s="225"/>
      <c r="BD390" s="225"/>
      <c r="BE390" s="225"/>
      <c r="BF390" s="225"/>
      <c r="BG390" s="225"/>
      <c r="BH390" s="225"/>
      <c r="BI390" s="225"/>
      <c r="BJ390" s="225"/>
      <c r="BK390" s="225"/>
      <c r="BL390" s="225"/>
      <c r="BM390" s="225"/>
    </row>
    <row r="391" spans="41:65" x14ac:dyDescent="0.25">
      <c r="AO391"/>
      <c r="AS391"/>
      <c r="BC391" s="225"/>
      <c r="BD391" s="225"/>
      <c r="BE391" s="225"/>
      <c r="BF391" s="225"/>
      <c r="BG391" s="225"/>
      <c r="BH391" s="225"/>
      <c r="BI391" s="225"/>
      <c r="BJ391" s="225"/>
      <c r="BK391" s="225"/>
      <c r="BL391" s="225"/>
      <c r="BM391" s="225"/>
    </row>
    <row r="392" spans="41:65" x14ac:dyDescent="0.25">
      <c r="AO392"/>
      <c r="AS392"/>
      <c r="BC392" s="225"/>
      <c r="BD392" s="225"/>
      <c r="BE392" s="225"/>
      <c r="BF392" s="225"/>
      <c r="BG392" s="225"/>
      <c r="BH392" s="225"/>
      <c r="BI392" s="225"/>
      <c r="BJ392" s="225"/>
      <c r="BK392" s="225"/>
      <c r="BL392" s="225"/>
      <c r="BM392" s="225"/>
    </row>
    <row r="393" spans="41:65" x14ac:dyDescent="0.25">
      <c r="AO393"/>
      <c r="AS393"/>
      <c r="BC393" s="225"/>
      <c r="BD393" s="225"/>
      <c r="BE393" s="225"/>
      <c r="BF393" s="225"/>
      <c r="BG393" s="225"/>
      <c r="BH393" s="225"/>
      <c r="BI393" s="225"/>
      <c r="BJ393" s="225"/>
      <c r="BK393" s="225"/>
      <c r="BL393" s="225"/>
      <c r="BM393" s="225"/>
    </row>
    <row r="394" spans="41:65" x14ac:dyDescent="0.25">
      <c r="AO394"/>
      <c r="AS394"/>
      <c r="BC394" s="225"/>
      <c r="BD394" s="225"/>
      <c r="BE394" s="225"/>
      <c r="BF394" s="225"/>
      <c r="BG394" s="225"/>
      <c r="BH394" s="225"/>
      <c r="BI394" s="225"/>
      <c r="BJ394" s="225"/>
      <c r="BK394" s="225"/>
      <c r="BL394" s="225"/>
      <c r="BM394" s="225"/>
    </row>
    <row r="395" spans="41:65" x14ac:dyDescent="0.25">
      <c r="AO395"/>
      <c r="AS395"/>
      <c r="BC395" s="225"/>
      <c r="BD395" s="225"/>
      <c r="BE395" s="225"/>
      <c r="BF395" s="225"/>
      <c r="BG395" s="225"/>
      <c r="BH395" s="225"/>
      <c r="BI395" s="225"/>
      <c r="BJ395" s="225"/>
      <c r="BK395" s="225"/>
      <c r="BL395" s="225"/>
      <c r="BM395" s="225"/>
    </row>
    <row r="396" spans="41:65" x14ac:dyDescent="0.25">
      <c r="AO396"/>
      <c r="AS396"/>
      <c r="BC396" s="225"/>
      <c r="BD396" s="225"/>
      <c r="BE396" s="225"/>
      <c r="BF396" s="225"/>
      <c r="BG396" s="225"/>
      <c r="BH396" s="225"/>
      <c r="BI396" s="225"/>
      <c r="BJ396" s="225"/>
      <c r="BK396" s="225"/>
      <c r="BL396" s="225"/>
      <c r="BM396" s="225"/>
    </row>
    <row r="397" spans="41:65" x14ac:dyDescent="0.25">
      <c r="AO397"/>
      <c r="AS397"/>
      <c r="BC397" s="225"/>
      <c r="BD397" s="225"/>
      <c r="BE397" s="225"/>
      <c r="BF397" s="225"/>
      <c r="BG397" s="225"/>
      <c r="BH397" s="225"/>
      <c r="BI397" s="225"/>
      <c r="BJ397" s="225"/>
      <c r="BK397" s="225"/>
      <c r="BL397" s="225"/>
      <c r="BM397" s="225"/>
    </row>
    <row r="398" spans="41:65" x14ac:dyDescent="0.25">
      <c r="AO398"/>
      <c r="AS398"/>
      <c r="BC398" s="225"/>
      <c r="BD398" s="225"/>
      <c r="BE398" s="225"/>
      <c r="BF398" s="225"/>
      <c r="BG398" s="225"/>
      <c r="BH398" s="225"/>
      <c r="BI398" s="225"/>
      <c r="BJ398" s="225"/>
      <c r="BK398" s="225"/>
      <c r="BL398" s="225"/>
      <c r="BM398" s="225"/>
    </row>
    <row r="399" spans="41:65" x14ac:dyDescent="0.25">
      <c r="AO399"/>
      <c r="AS399"/>
      <c r="BC399" s="225"/>
      <c r="BD399" s="225"/>
      <c r="BE399" s="225"/>
      <c r="BF399" s="225"/>
      <c r="BG399" s="225"/>
      <c r="BH399" s="225"/>
      <c r="BI399" s="225"/>
      <c r="BJ399" s="225"/>
      <c r="BK399" s="225"/>
      <c r="BL399" s="225"/>
      <c r="BM399" s="225"/>
    </row>
    <row r="400" spans="41:65" x14ac:dyDescent="0.25">
      <c r="AO400"/>
      <c r="AS400"/>
      <c r="BC400" s="225"/>
      <c r="BD400" s="225"/>
      <c r="BE400" s="225"/>
      <c r="BF400" s="225"/>
      <c r="BG400" s="225"/>
      <c r="BH400" s="225"/>
      <c r="BI400" s="225"/>
      <c r="BJ400" s="225"/>
      <c r="BK400" s="225"/>
      <c r="BL400" s="225"/>
      <c r="BM400" s="225"/>
    </row>
    <row r="401" spans="41:65" x14ac:dyDescent="0.25">
      <c r="AO401"/>
      <c r="AS401"/>
      <c r="BC401" s="225"/>
      <c r="BD401" s="225"/>
      <c r="BE401" s="225"/>
      <c r="BF401" s="225"/>
      <c r="BG401" s="225"/>
      <c r="BH401" s="225"/>
      <c r="BI401" s="225"/>
      <c r="BJ401" s="225"/>
      <c r="BK401" s="225"/>
      <c r="BL401" s="225"/>
      <c r="BM401" s="225"/>
    </row>
    <row r="402" spans="41:65" x14ac:dyDescent="0.25">
      <c r="AO402"/>
      <c r="AS402"/>
      <c r="BC402" s="225"/>
      <c r="BD402" s="225"/>
      <c r="BE402" s="225"/>
      <c r="BF402" s="225"/>
      <c r="BG402" s="225"/>
      <c r="BH402" s="225"/>
      <c r="BI402" s="225"/>
      <c r="BJ402" s="225"/>
      <c r="BK402" s="225"/>
      <c r="BL402" s="225"/>
      <c r="BM402" s="225"/>
    </row>
    <row r="403" spans="41:65" x14ac:dyDescent="0.25">
      <c r="AO403"/>
      <c r="AS403"/>
      <c r="BC403" s="225"/>
      <c r="BD403" s="225"/>
      <c r="BE403" s="225"/>
      <c r="BF403" s="225"/>
      <c r="BG403" s="225"/>
      <c r="BH403" s="225"/>
      <c r="BI403" s="225"/>
      <c r="BJ403" s="225"/>
      <c r="BK403" s="225"/>
      <c r="BL403" s="225"/>
      <c r="BM403" s="225"/>
    </row>
    <row r="404" spans="41:65" x14ac:dyDescent="0.25">
      <c r="AO404"/>
      <c r="AS404"/>
      <c r="BC404" s="225"/>
      <c r="BD404" s="225"/>
      <c r="BE404" s="225"/>
      <c r="BF404" s="225"/>
      <c r="BG404" s="225"/>
      <c r="BH404" s="225"/>
      <c r="BI404" s="225"/>
      <c r="BJ404" s="225"/>
      <c r="BK404" s="225"/>
      <c r="BL404" s="225"/>
      <c r="BM404" s="225"/>
    </row>
    <row r="405" spans="41:65" x14ac:dyDescent="0.25">
      <c r="AO405"/>
      <c r="AS405"/>
      <c r="BC405" s="225"/>
      <c r="BD405" s="225"/>
      <c r="BE405" s="225"/>
      <c r="BF405" s="225"/>
      <c r="BG405" s="225"/>
      <c r="BH405" s="225"/>
      <c r="BI405" s="225"/>
      <c r="BJ405" s="225"/>
      <c r="BK405" s="225"/>
      <c r="BL405" s="225"/>
      <c r="BM405" s="225"/>
    </row>
    <row r="406" spans="41:65" x14ac:dyDescent="0.25">
      <c r="AO406"/>
      <c r="AS406"/>
      <c r="BC406" s="225"/>
      <c r="BD406" s="225"/>
      <c r="BE406" s="225"/>
      <c r="BF406" s="225"/>
      <c r="BG406" s="225"/>
      <c r="BH406" s="225"/>
      <c r="BI406" s="225"/>
      <c r="BJ406" s="225"/>
      <c r="BK406" s="225"/>
      <c r="BL406" s="225"/>
      <c r="BM406" s="225"/>
    </row>
    <row r="407" spans="41:65" x14ac:dyDescent="0.25">
      <c r="AO407"/>
      <c r="AS407"/>
      <c r="BC407" s="225"/>
      <c r="BD407" s="225"/>
      <c r="BE407" s="225"/>
      <c r="BF407" s="225"/>
      <c r="BG407" s="225"/>
      <c r="BH407" s="225"/>
      <c r="BI407" s="225"/>
      <c r="BJ407" s="225"/>
      <c r="BK407" s="225"/>
      <c r="BL407" s="225"/>
      <c r="BM407" s="225"/>
    </row>
    <row r="408" spans="41:65" x14ac:dyDescent="0.25">
      <c r="AO408"/>
      <c r="AS408"/>
      <c r="BC408" s="225"/>
      <c r="BD408" s="225"/>
      <c r="BE408" s="225"/>
      <c r="BF408" s="225"/>
      <c r="BG408" s="225"/>
      <c r="BH408" s="225"/>
      <c r="BI408" s="225"/>
      <c r="BJ408" s="225"/>
      <c r="BK408" s="225"/>
      <c r="BL408" s="225"/>
      <c r="BM408" s="225"/>
    </row>
    <row r="409" spans="41:65" x14ac:dyDescent="0.25">
      <c r="AO409"/>
      <c r="AS409"/>
      <c r="BC409" s="225"/>
      <c r="BD409" s="225"/>
      <c r="BE409" s="225"/>
      <c r="BF409" s="225"/>
      <c r="BG409" s="225"/>
      <c r="BH409" s="225"/>
      <c r="BI409" s="225"/>
      <c r="BJ409" s="225"/>
      <c r="BK409" s="225"/>
      <c r="BL409" s="225"/>
      <c r="BM409" s="225"/>
    </row>
    <row r="410" spans="41:65" x14ac:dyDescent="0.25">
      <c r="AO410"/>
      <c r="AS410"/>
      <c r="BC410" s="225"/>
      <c r="BD410" s="225"/>
      <c r="BE410" s="225"/>
      <c r="BF410" s="225"/>
      <c r="BG410" s="225"/>
      <c r="BH410" s="225"/>
      <c r="BI410" s="225"/>
      <c r="BJ410" s="225"/>
      <c r="BK410" s="225"/>
      <c r="BL410" s="225"/>
      <c r="BM410" s="225"/>
    </row>
    <row r="411" spans="41:65" x14ac:dyDescent="0.25">
      <c r="AO411"/>
      <c r="AS411"/>
      <c r="BC411" s="225"/>
      <c r="BD411" s="225"/>
      <c r="BE411" s="225"/>
      <c r="BF411" s="225"/>
      <c r="BG411" s="225"/>
      <c r="BH411" s="225"/>
      <c r="BI411" s="225"/>
      <c r="BJ411" s="225"/>
      <c r="BK411" s="225"/>
      <c r="BL411" s="225"/>
      <c r="BM411" s="225"/>
    </row>
    <row r="412" spans="41:65" x14ac:dyDescent="0.25">
      <c r="AO412"/>
      <c r="AS412"/>
      <c r="BC412" s="225"/>
      <c r="BD412" s="225"/>
      <c r="BE412" s="225"/>
      <c r="BF412" s="225"/>
      <c r="BG412" s="225"/>
      <c r="BH412" s="225"/>
      <c r="BI412" s="225"/>
      <c r="BJ412" s="225"/>
      <c r="BK412" s="225"/>
      <c r="BL412" s="225"/>
      <c r="BM412" s="225"/>
    </row>
    <row r="413" spans="41:65" x14ac:dyDescent="0.25">
      <c r="AO413"/>
      <c r="AS413"/>
      <c r="BC413" s="225"/>
      <c r="BD413" s="225"/>
      <c r="BE413" s="225"/>
      <c r="BF413" s="225"/>
      <c r="BG413" s="225"/>
      <c r="BH413" s="225"/>
      <c r="BI413" s="225"/>
      <c r="BJ413" s="225"/>
      <c r="BK413" s="225"/>
      <c r="BL413" s="225"/>
      <c r="BM413" s="225"/>
    </row>
    <row r="414" spans="41:65" x14ac:dyDescent="0.25">
      <c r="AO414"/>
      <c r="AS414"/>
      <c r="BC414" s="225"/>
      <c r="BD414" s="225"/>
      <c r="BE414" s="225"/>
      <c r="BF414" s="225"/>
      <c r="BG414" s="225"/>
      <c r="BH414" s="225"/>
      <c r="BI414" s="225"/>
      <c r="BJ414" s="225"/>
      <c r="BK414" s="225"/>
      <c r="BL414" s="225"/>
      <c r="BM414" s="225"/>
    </row>
    <row r="415" spans="41:65" x14ac:dyDescent="0.25">
      <c r="AO415"/>
      <c r="AS415"/>
      <c r="BC415" s="225"/>
      <c r="BD415" s="225"/>
      <c r="BE415" s="225"/>
      <c r="BF415" s="225"/>
      <c r="BG415" s="225"/>
      <c r="BH415" s="225"/>
      <c r="BI415" s="225"/>
      <c r="BJ415" s="225"/>
      <c r="BK415" s="225"/>
      <c r="BL415" s="225"/>
      <c r="BM415" s="225"/>
    </row>
    <row r="416" spans="41:65" x14ac:dyDescent="0.25">
      <c r="AO416"/>
      <c r="AS416"/>
      <c r="BC416" s="225"/>
      <c r="BD416" s="225"/>
      <c r="BE416" s="225"/>
      <c r="BF416" s="225"/>
      <c r="BG416" s="225"/>
      <c r="BH416" s="225"/>
      <c r="BI416" s="225"/>
      <c r="BJ416" s="225"/>
      <c r="BK416" s="225"/>
      <c r="BL416" s="225"/>
      <c r="BM416" s="225"/>
    </row>
    <row r="417" spans="41:65" x14ac:dyDescent="0.25">
      <c r="AO417"/>
      <c r="AS417"/>
      <c r="BC417" s="225"/>
      <c r="BD417" s="225"/>
      <c r="BE417" s="225"/>
      <c r="BF417" s="225"/>
      <c r="BG417" s="225"/>
      <c r="BH417" s="225"/>
      <c r="BI417" s="225"/>
      <c r="BJ417" s="225"/>
      <c r="BK417" s="225"/>
      <c r="BL417" s="225"/>
      <c r="BM417" s="225"/>
    </row>
    <row r="418" spans="41:65" x14ac:dyDescent="0.25">
      <c r="AO418"/>
      <c r="AS418"/>
      <c r="BC418" s="225"/>
      <c r="BD418" s="225"/>
      <c r="BE418" s="225"/>
      <c r="BF418" s="225"/>
      <c r="BG418" s="225"/>
      <c r="BH418" s="225"/>
      <c r="BI418" s="225"/>
      <c r="BJ418" s="225"/>
      <c r="BK418" s="225"/>
      <c r="BL418" s="225"/>
      <c r="BM418" s="225"/>
    </row>
    <row r="419" spans="41:65" x14ac:dyDescent="0.25">
      <c r="AO419"/>
      <c r="AS419"/>
      <c r="BC419" s="225"/>
      <c r="BD419" s="225"/>
      <c r="BE419" s="225"/>
      <c r="BF419" s="225"/>
      <c r="BG419" s="225"/>
      <c r="BH419" s="225"/>
      <c r="BI419" s="225"/>
      <c r="BJ419" s="225"/>
      <c r="BK419" s="225"/>
      <c r="BL419" s="225"/>
      <c r="BM419" s="225"/>
    </row>
    <row r="420" spans="41:65" x14ac:dyDescent="0.25">
      <c r="AO420"/>
      <c r="AS420"/>
      <c r="BC420" s="225"/>
      <c r="BD420" s="225"/>
      <c r="BE420" s="225"/>
      <c r="BF420" s="225"/>
      <c r="BG420" s="225"/>
      <c r="BH420" s="225"/>
      <c r="BI420" s="225"/>
      <c r="BJ420" s="225"/>
      <c r="BK420" s="225"/>
      <c r="BL420" s="225"/>
      <c r="BM420" s="225"/>
    </row>
    <row r="421" spans="41:65" x14ac:dyDescent="0.25">
      <c r="AO421"/>
      <c r="AS421"/>
      <c r="BC421" s="225"/>
      <c r="BD421" s="225"/>
      <c r="BE421" s="225"/>
      <c r="BF421" s="225"/>
      <c r="BG421" s="225"/>
      <c r="BH421" s="225"/>
      <c r="BI421" s="225"/>
      <c r="BJ421" s="225"/>
      <c r="BK421" s="225"/>
      <c r="BL421" s="225"/>
      <c r="BM421" s="225"/>
    </row>
    <row r="422" spans="41:65" x14ac:dyDescent="0.25">
      <c r="AO422"/>
      <c r="AS422"/>
      <c r="BC422" s="225"/>
      <c r="BD422" s="225"/>
      <c r="BE422" s="225"/>
      <c r="BF422" s="225"/>
      <c r="BG422" s="225"/>
      <c r="BH422" s="225"/>
      <c r="BI422" s="225"/>
      <c r="BJ422" s="225"/>
      <c r="BK422" s="225"/>
      <c r="BL422" s="225"/>
      <c r="BM422" s="225"/>
    </row>
    <row r="423" spans="41:65" x14ac:dyDescent="0.25">
      <c r="AO423"/>
      <c r="AS423"/>
      <c r="BC423" s="225"/>
      <c r="BD423" s="225"/>
      <c r="BE423" s="225"/>
      <c r="BF423" s="225"/>
      <c r="BG423" s="225"/>
      <c r="BH423" s="225"/>
      <c r="BI423" s="225"/>
      <c r="BJ423" s="225"/>
      <c r="BK423" s="225"/>
      <c r="BL423" s="225"/>
      <c r="BM423" s="225"/>
    </row>
    <row r="424" spans="41:65" x14ac:dyDescent="0.25">
      <c r="AO424"/>
      <c r="AS424"/>
      <c r="BC424" s="225"/>
      <c r="BD424" s="225"/>
      <c r="BE424" s="225"/>
      <c r="BF424" s="225"/>
      <c r="BG424" s="225"/>
      <c r="BH424" s="225"/>
      <c r="BI424" s="225"/>
      <c r="BJ424" s="225"/>
      <c r="BK424" s="225"/>
      <c r="BL424" s="225"/>
      <c r="BM424" s="225"/>
    </row>
    <row r="425" spans="41:65" x14ac:dyDescent="0.25">
      <c r="AO425"/>
      <c r="AS425"/>
      <c r="BC425" s="225"/>
      <c r="BD425" s="225"/>
      <c r="BE425" s="225"/>
      <c r="BF425" s="225"/>
      <c r="BG425" s="225"/>
      <c r="BH425" s="225"/>
      <c r="BI425" s="225"/>
      <c r="BJ425" s="225"/>
      <c r="BK425" s="225"/>
      <c r="BL425" s="225"/>
      <c r="BM425" s="225"/>
    </row>
    <row r="426" spans="41:65" x14ac:dyDescent="0.25">
      <c r="AO426"/>
      <c r="AS426"/>
      <c r="BC426" s="225"/>
      <c r="BD426" s="225"/>
      <c r="BE426" s="225"/>
      <c r="BF426" s="225"/>
      <c r="BG426" s="225"/>
      <c r="BH426" s="225"/>
      <c r="BI426" s="225"/>
      <c r="BJ426" s="225"/>
      <c r="BK426" s="225"/>
      <c r="BL426" s="225"/>
      <c r="BM426" s="225"/>
    </row>
  </sheetData>
  <mergeCells count="168">
    <mergeCell ref="BC62:BF62"/>
    <mergeCell ref="BC61:BF61"/>
    <mergeCell ref="O63:R63"/>
    <mergeCell ref="S63:V63"/>
    <mergeCell ref="W63:Z63"/>
    <mergeCell ref="W62:Z62"/>
    <mergeCell ref="AA62:AD62"/>
    <mergeCell ref="S61:V61"/>
    <mergeCell ref="BJ62:BM62"/>
    <mergeCell ref="AA63:AD63"/>
    <mergeCell ref="AE63:AH63"/>
    <mergeCell ref="AI63:AL63"/>
    <mergeCell ref="AM63:AP63"/>
    <mergeCell ref="AQ63:AT63"/>
    <mergeCell ref="AU63:AX63"/>
    <mergeCell ref="AU62:AX62"/>
    <mergeCell ref="AY62:BB62"/>
    <mergeCell ref="AQ62:AT62"/>
    <mergeCell ref="BJ63:BM63"/>
    <mergeCell ref="AY63:BB63"/>
    <mergeCell ref="BC63:BF63"/>
    <mergeCell ref="BJ61:BM61"/>
    <mergeCell ref="AE62:AH62"/>
    <mergeCell ref="AE61:AH61"/>
    <mergeCell ref="AI61:AL61"/>
    <mergeCell ref="AM61:AP61"/>
    <mergeCell ref="AI62:AL62"/>
    <mergeCell ref="AM62:AP62"/>
    <mergeCell ref="B62:C62"/>
    <mergeCell ref="D62:F62"/>
    <mergeCell ref="G62:J62"/>
    <mergeCell ref="K62:N62"/>
    <mergeCell ref="O62:R62"/>
    <mergeCell ref="S62:V62"/>
    <mergeCell ref="AA61:AD61"/>
    <mergeCell ref="CF3:CF4"/>
    <mergeCell ref="CG3:CG4"/>
    <mergeCell ref="CB3:CB4"/>
    <mergeCell ref="CE3:CE4"/>
    <mergeCell ref="BV3:BV4"/>
    <mergeCell ref="BW3:BW4"/>
    <mergeCell ref="CD3:CD4"/>
    <mergeCell ref="AM60:AP60"/>
    <mergeCell ref="AQ60:AT60"/>
    <mergeCell ref="BX3:BX4"/>
    <mergeCell ref="BY3:BY4"/>
    <mergeCell ref="AY61:BB61"/>
    <mergeCell ref="AY60:BB60"/>
    <mergeCell ref="BC60:BF60"/>
    <mergeCell ref="AQ61:AT61"/>
    <mergeCell ref="AU61:AX61"/>
    <mergeCell ref="BJ3:BJ4"/>
    <mergeCell ref="BK3:BK4"/>
    <mergeCell ref="BL3:BL4"/>
    <mergeCell ref="BM3:BM4"/>
    <mergeCell ref="BJ60:BM60"/>
    <mergeCell ref="A48:A58"/>
    <mergeCell ref="A60:A63"/>
    <mergeCell ref="B60:C60"/>
    <mergeCell ref="D60:F60"/>
    <mergeCell ref="W60:Z60"/>
    <mergeCell ref="B63:C63"/>
    <mergeCell ref="D63:F63"/>
    <mergeCell ref="G63:J63"/>
    <mergeCell ref="K63:N63"/>
    <mergeCell ref="O60:R60"/>
    <mergeCell ref="S60:V60"/>
    <mergeCell ref="B61:C61"/>
    <mergeCell ref="D61:F61"/>
    <mergeCell ref="G61:J61"/>
    <mergeCell ref="K61:N61"/>
    <mergeCell ref="O61:R61"/>
    <mergeCell ref="W61:Z61"/>
    <mergeCell ref="G60:J60"/>
    <mergeCell ref="K60:N60"/>
    <mergeCell ref="A5:A13"/>
    <mergeCell ref="BQ3:BQ4"/>
    <mergeCell ref="BB3:BB4"/>
    <mergeCell ref="BC3:BC4"/>
    <mergeCell ref="BN3:BN4"/>
    <mergeCell ref="A46:A47"/>
    <mergeCell ref="BA3:BA4"/>
    <mergeCell ref="AR3:AR4"/>
    <mergeCell ref="AS3:AS4"/>
    <mergeCell ref="AT3:AT4"/>
    <mergeCell ref="AA60:AD60"/>
    <mergeCell ref="AE60:AH60"/>
    <mergeCell ref="AI60:AL60"/>
    <mergeCell ref="AU60:AX60"/>
    <mergeCell ref="AP3:AP4"/>
    <mergeCell ref="AQ3:AQ4"/>
    <mergeCell ref="BS3:BS4"/>
    <mergeCell ref="BT3:BT4"/>
    <mergeCell ref="BU3:BU4"/>
    <mergeCell ref="AY3:AY4"/>
    <mergeCell ref="AZ3:AZ4"/>
    <mergeCell ref="BO3:BO4"/>
    <mergeCell ref="AH3:AH4"/>
    <mergeCell ref="AI3:AI4"/>
    <mergeCell ref="AU3:AU4"/>
    <mergeCell ref="AV3:AV4"/>
    <mergeCell ref="AW3:AW4"/>
    <mergeCell ref="AX3:AX4"/>
    <mergeCell ref="AJ3:AJ4"/>
    <mergeCell ref="AK3:AK4"/>
    <mergeCell ref="AL3:AL4"/>
    <mergeCell ref="AM3:AM4"/>
    <mergeCell ref="AN3:AN4"/>
    <mergeCell ref="AO3:AO4"/>
    <mergeCell ref="CE2:CG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1:BR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AQ2:AT2"/>
    <mergeCell ref="AU2:AX2"/>
    <mergeCell ref="AY2:BB2"/>
    <mergeCell ref="AA3:AA4"/>
    <mergeCell ref="AB3:AB4"/>
    <mergeCell ref="AC3:AC4"/>
    <mergeCell ref="AD3:AD4"/>
    <mergeCell ref="AE3:AE4"/>
    <mergeCell ref="AF3:AF4"/>
    <mergeCell ref="AG3:AG4"/>
    <mergeCell ref="BG2:BI2"/>
    <mergeCell ref="BG3:BG4"/>
    <mergeCell ref="BH3:BH4"/>
    <mergeCell ref="BI3:BI4"/>
    <mergeCell ref="CC3:CC4"/>
    <mergeCell ref="BC2:BF2"/>
    <mergeCell ref="BP3:BP4"/>
    <mergeCell ref="BZ3:BZ4"/>
    <mergeCell ref="CA3:CA4"/>
    <mergeCell ref="BR3:BR4"/>
    <mergeCell ref="BJ2:B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B7A29-952F-4F43-A892-8C1300B02BA0}">
  <dimension ref="A1:CO426"/>
  <sheetViews>
    <sheetView zoomScale="85" zoomScaleNormal="85" workbookViewId="0">
      <pane xSplit="3" ySplit="4" topLeftCell="CD5" activePane="bottomRight" state="frozen"/>
      <selection pane="topRight" activeCell="D1" sqref="D1"/>
      <selection pane="bottomLeft" activeCell="A5" sqref="A5"/>
      <selection pane="bottomRight" activeCell="CL3" sqref="CL3:CL4"/>
    </sheetView>
  </sheetViews>
  <sheetFormatPr baseColWidth="10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2.81640625" customWidth="1"/>
    <col min="5" max="5" width="11" customWidth="1"/>
    <col min="6" max="6" width="12" customWidth="1"/>
    <col min="7" max="7" width="11.453125" customWidth="1"/>
    <col min="8" max="38" width="10.81640625" customWidth="1"/>
    <col min="39" max="39" width="12.54296875" customWidth="1"/>
    <col min="40" max="40" width="10.81640625" customWidth="1"/>
    <col min="41" max="41" width="10.81640625" style="57" customWidth="1"/>
    <col min="42" max="42" width="10.81640625" customWidth="1"/>
    <col min="43" max="43" width="17.1796875" bestFit="1" customWidth="1"/>
    <col min="44" max="44" width="10.81640625" customWidth="1"/>
    <col min="45" max="45" width="17.81640625" style="57" bestFit="1" customWidth="1"/>
    <col min="46" max="46" width="22.81640625" bestFit="1" customWidth="1"/>
    <col min="47" max="47" width="17.1796875" bestFit="1" customWidth="1"/>
    <col min="48" max="48" width="10.81640625" customWidth="1"/>
    <col min="49" max="49" width="17.81640625" bestFit="1" customWidth="1"/>
    <col min="50" max="50" width="22.81640625" bestFit="1" customWidth="1"/>
    <col min="51" max="51" width="21.1796875" customWidth="1"/>
    <col min="52" max="52" width="10.81640625" customWidth="1"/>
    <col min="53" max="53" width="17.81640625" bestFit="1" customWidth="1"/>
    <col min="54" max="54" width="22.81640625" bestFit="1" customWidth="1"/>
    <col min="55" max="55" width="24.1796875" style="191" bestFit="1" customWidth="1"/>
    <col min="56" max="58" width="10.81640625" style="191" customWidth="1"/>
    <col min="59" max="60" width="17.1796875" style="191" customWidth="1"/>
    <col min="61" max="65" width="15" style="191" customWidth="1"/>
    <col min="66" max="66" width="16.453125" style="191" customWidth="1"/>
    <col min="67" max="67" width="10.81640625" style="191" customWidth="1"/>
    <col min="68" max="68" width="12" style="191" customWidth="1"/>
    <col min="69" max="69" width="10.81640625" style="191" customWidth="1"/>
    <col min="70" max="87" width="11.1796875" customWidth="1"/>
    <col min="88" max="88" width="25.81640625" bestFit="1" customWidth="1"/>
    <col min="89" max="89" width="13" customWidth="1"/>
    <col min="90" max="90" width="15.453125" customWidth="1"/>
  </cols>
  <sheetData>
    <row r="1" spans="1:90" x14ac:dyDescent="0.25">
      <c r="A1" s="520" t="s">
        <v>55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  <c r="AP1" s="521"/>
      <c r="AQ1" s="521"/>
      <c r="AR1" s="521"/>
      <c r="AS1" s="521"/>
      <c r="AT1" s="521"/>
      <c r="AU1" s="521"/>
      <c r="AV1" s="521"/>
      <c r="AW1" s="521"/>
      <c r="AX1" s="521"/>
      <c r="AY1" s="521"/>
      <c r="AZ1" s="521"/>
      <c r="BA1" s="521"/>
      <c r="BB1" s="521"/>
      <c r="BC1" s="521"/>
      <c r="BD1" s="521"/>
      <c r="BE1" s="521"/>
      <c r="BF1" s="521"/>
      <c r="BG1" s="521"/>
      <c r="BH1" s="521"/>
      <c r="BI1" s="521"/>
      <c r="BJ1" s="521"/>
      <c r="BK1" s="521"/>
      <c r="BL1" s="521"/>
      <c r="BM1" s="521"/>
      <c r="BN1" s="521"/>
      <c r="BO1" s="521"/>
      <c r="BP1" s="521"/>
      <c r="BQ1" s="521"/>
      <c r="BR1" s="521"/>
      <c r="BS1" s="521"/>
      <c r="BT1" s="521"/>
      <c r="BU1" s="521"/>
      <c r="BV1" s="521"/>
    </row>
    <row r="2" spans="1:90" ht="12.75" customHeight="1" x14ac:dyDescent="0.25">
      <c r="A2" s="522" t="s">
        <v>0</v>
      </c>
      <c r="B2" s="522" t="s">
        <v>1</v>
      </c>
      <c r="C2" s="523" t="s">
        <v>2</v>
      </c>
      <c r="D2" s="524" t="s">
        <v>68</v>
      </c>
      <c r="E2" s="525"/>
      <c r="F2" s="526"/>
      <c r="G2" s="530">
        <v>2002</v>
      </c>
      <c r="H2" s="531"/>
      <c r="I2" s="531"/>
      <c r="J2" s="532"/>
      <c r="K2" s="503">
        <v>2003</v>
      </c>
      <c r="L2" s="504"/>
      <c r="M2" s="504"/>
      <c r="N2" s="505"/>
      <c r="O2" s="533">
        <v>2004</v>
      </c>
      <c r="P2" s="534"/>
      <c r="Q2" s="534"/>
      <c r="R2" s="535"/>
      <c r="S2" s="506">
        <v>2005</v>
      </c>
      <c r="T2" s="507"/>
      <c r="U2" s="507"/>
      <c r="V2" s="508"/>
      <c r="W2" s="530">
        <v>2006</v>
      </c>
      <c r="X2" s="531"/>
      <c r="Y2" s="531"/>
      <c r="Z2" s="532"/>
      <c r="AA2" s="503">
        <v>2007</v>
      </c>
      <c r="AB2" s="504"/>
      <c r="AC2" s="504"/>
      <c r="AD2" s="505"/>
      <c r="AE2" s="533">
        <v>2008</v>
      </c>
      <c r="AF2" s="534"/>
      <c r="AG2" s="534"/>
      <c r="AH2" s="535"/>
      <c r="AI2" s="506">
        <v>2009</v>
      </c>
      <c r="AJ2" s="507"/>
      <c r="AK2" s="507"/>
      <c r="AL2" s="508"/>
      <c r="AM2" s="509">
        <v>2010</v>
      </c>
      <c r="AN2" s="510"/>
      <c r="AO2" s="510"/>
      <c r="AP2" s="511"/>
      <c r="AQ2" s="512">
        <v>2011</v>
      </c>
      <c r="AR2" s="513"/>
      <c r="AS2" s="513"/>
      <c r="AT2" s="514"/>
      <c r="AU2" s="515">
        <v>2012</v>
      </c>
      <c r="AV2" s="516"/>
      <c r="AW2" s="516"/>
      <c r="AX2" s="517"/>
      <c r="AY2" s="527">
        <v>2013</v>
      </c>
      <c r="AZ2" s="528"/>
      <c r="BA2" s="528"/>
      <c r="BB2" s="529"/>
      <c r="BC2" s="435">
        <v>2014</v>
      </c>
      <c r="BD2" s="436"/>
      <c r="BE2" s="436"/>
      <c r="BF2" s="437"/>
      <c r="BG2" s="536">
        <v>2014.5</v>
      </c>
      <c r="BH2" s="537"/>
      <c r="BI2" s="538"/>
      <c r="BJ2" s="541">
        <v>2015</v>
      </c>
      <c r="BK2" s="542"/>
      <c r="BL2" s="542"/>
      <c r="BM2" s="543"/>
      <c r="BN2" s="552">
        <v>2016</v>
      </c>
      <c r="BO2" s="553"/>
      <c r="BP2" s="553"/>
      <c r="BQ2" s="553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498">
        <v>2016</v>
      </c>
      <c r="CK2" s="499"/>
      <c r="CL2" s="500"/>
    </row>
    <row r="3" spans="1:90" s="1" customFormat="1" ht="12.75" customHeight="1" x14ac:dyDescent="0.3">
      <c r="A3" s="522"/>
      <c r="B3" s="522"/>
      <c r="C3" s="523"/>
      <c r="D3" s="501" t="s">
        <v>69</v>
      </c>
      <c r="E3" s="501" t="s">
        <v>3</v>
      </c>
      <c r="F3" s="501" t="s">
        <v>70</v>
      </c>
      <c r="G3" s="492" t="s">
        <v>5</v>
      </c>
      <c r="H3" s="492" t="s">
        <v>4</v>
      </c>
      <c r="I3" s="492" t="s">
        <v>3</v>
      </c>
      <c r="J3" s="492" t="s">
        <v>45</v>
      </c>
      <c r="K3" s="494" t="s">
        <v>5</v>
      </c>
      <c r="L3" s="494" t="s">
        <v>4</v>
      </c>
      <c r="M3" s="494" t="s">
        <v>3</v>
      </c>
      <c r="N3" s="494" t="s">
        <v>45</v>
      </c>
      <c r="O3" s="518" t="s">
        <v>5</v>
      </c>
      <c r="P3" s="518" t="s">
        <v>4</v>
      </c>
      <c r="Q3" s="518" t="s">
        <v>3</v>
      </c>
      <c r="R3" s="518" t="s">
        <v>45</v>
      </c>
      <c r="S3" s="486" t="s">
        <v>5</v>
      </c>
      <c r="T3" s="486" t="s">
        <v>4</v>
      </c>
      <c r="U3" s="486" t="s">
        <v>3</v>
      </c>
      <c r="V3" s="486" t="s">
        <v>45</v>
      </c>
      <c r="W3" s="492" t="s">
        <v>5</v>
      </c>
      <c r="X3" s="492" t="s">
        <v>4</v>
      </c>
      <c r="Y3" s="492" t="s">
        <v>3</v>
      </c>
      <c r="Z3" s="492" t="s">
        <v>45</v>
      </c>
      <c r="AA3" s="494" t="s">
        <v>5</v>
      </c>
      <c r="AB3" s="494" t="s">
        <v>4</v>
      </c>
      <c r="AC3" s="494" t="s">
        <v>3</v>
      </c>
      <c r="AD3" s="494" t="s">
        <v>45</v>
      </c>
      <c r="AE3" s="518" t="s">
        <v>5</v>
      </c>
      <c r="AF3" s="518" t="s">
        <v>4</v>
      </c>
      <c r="AG3" s="518" t="s">
        <v>3</v>
      </c>
      <c r="AH3" s="518" t="s">
        <v>45</v>
      </c>
      <c r="AI3" s="486" t="s">
        <v>5</v>
      </c>
      <c r="AJ3" s="486" t="s">
        <v>4</v>
      </c>
      <c r="AK3" s="486" t="s">
        <v>3</v>
      </c>
      <c r="AL3" s="486" t="s">
        <v>45</v>
      </c>
      <c r="AM3" s="488" t="s">
        <v>5</v>
      </c>
      <c r="AN3" s="488" t="s">
        <v>4</v>
      </c>
      <c r="AO3" s="488" t="s">
        <v>3</v>
      </c>
      <c r="AP3" s="488" t="s">
        <v>93</v>
      </c>
      <c r="AQ3" s="496" t="s">
        <v>5</v>
      </c>
      <c r="AR3" s="484" t="s">
        <v>4</v>
      </c>
      <c r="AS3" s="484" t="s">
        <v>3</v>
      </c>
      <c r="AT3" s="484" t="s">
        <v>93</v>
      </c>
      <c r="AU3" s="449" t="s">
        <v>5</v>
      </c>
      <c r="AV3" s="449" t="s">
        <v>4</v>
      </c>
      <c r="AW3" s="449" t="s">
        <v>3</v>
      </c>
      <c r="AX3" s="449" t="s">
        <v>93</v>
      </c>
      <c r="AY3" s="451" t="s">
        <v>5</v>
      </c>
      <c r="AZ3" s="447" t="s">
        <v>4</v>
      </c>
      <c r="BA3" s="447" t="s">
        <v>3</v>
      </c>
      <c r="BB3" s="447" t="s">
        <v>93</v>
      </c>
      <c r="BC3" s="453" t="s">
        <v>5</v>
      </c>
      <c r="BD3" s="192" t="s">
        <v>4</v>
      </c>
      <c r="BE3" s="192" t="s">
        <v>3</v>
      </c>
      <c r="BF3" s="192" t="s">
        <v>93</v>
      </c>
      <c r="BG3" s="539" t="s">
        <v>105</v>
      </c>
      <c r="BH3" s="539" t="s">
        <v>107</v>
      </c>
      <c r="BI3" s="539" t="s">
        <v>106</v>
      </c>
      <c r="BJ3" s="544" t="s">
        <v>5</v>
      </c>
      <c r="BK3" s="544" t="s">
        <v>4</v>
      </c>
      <c r="BL3" s="544" t="s">
        <v>3</v>
      </c>
      <c r="BM3" s="544" t="s">
        <v>93</v>
      </c>
      <c r="BN3" s="554" t="s">
        <v>5</v>
      </c>
      <c r="BO3" s="554" t="s">
        <v>4</v>
      </c>
      <c r="BP3" s="554" t="s">
        <v>3</v>
      </c>
      <c r="BQ3" s="554" t="s">
        <v>93</v>
      </c>
      <c r="BR3" s="476" t="s">
        <v>63</v>
      </c>
      <c r="BS3" s="476" t="s">
        <v>71</v>
      </c>
      <c r="BT3" s="476" t="s">
        <v>72</v>
      </c>
      <c r="BU3" s="476" t="s">
        <v>73</v>
      </c>
      <c r="BV3" s="476" t="s">
        <v>74</v>
      </c>
      <c r="BW3" s="476" t="s">
        <v>75</v>
      </c>
      <c r="BX3" s="476" t="s">
        <v>62</v>
      </c>
      <c r="BY3" s="476" t="s">
        <v>64</v>
      </c>
      <c r="BZ3" s="476" t="s">
        <v>65</v>
      </c>
      <c r="CA3" s="476" t="s">
        <v>66</v>
      </c>
      <c r="CB3" s="476" t="s">
        <v>67</v>
      </c>
      <c r="CC3" s="476" t="s">
        <v>76</v>
      </c>
      <c r="CD3" s="476" t="s">
        <v>77</v>
      </c>
      <c r="CE3" s="476" t="s">
        <v>78</v>
      </c>
      <c r="CF3" s="476" t="s">
        <v>79</v>
      </c>
      <c r="CG3" s="476" t="s">
        <v>108</v>
      </c>
      <c r="CH3" s="476" t="s">
        <v>98</v>
      </c>
      <c r="CI3" s="476" t="s">
        <v>99</v>
      </c>
      <c r="CJ3" s="490" t="s">
        <v>56</v>
      </c>
      <c r="CK3" s="490" t="s">
        <v>57</v>
      </c>
      <c r="CL3" s="490" t="s">
        <v>58</v>
      </c>
    </row>
    <row r="4" spans="1:90" ht="26.25" customHeight="1" x14ac:dyDescent="0.25">
      <c r="A4" s="522"/>
      <c r="B4" s="522"/>
      <c r="C4" s="523"/>
      <c r="D4" s="502"/>
      <c r="E4" s="502"/>
      <c r="F4" s="502"/>
      <c r="G4" s="493"/>
      <c r="H4" s="493"/>
      <c r="I4" s="493"/>
      <c r="J4" s="493"/>
      <c r="K4" s="495"/>
      <c r="L4" s="495"/>
      <c r="M4" s="495"/>
      <c r="N4" s="495"/>
      <c r="O4" s="519"/>
      <c r="P4" s="519"/>
      <c r="Q4" s="519"/>
      <c r="R4" s="519"/>
      <c r="S4" s="487"/>
      <c r="T4" s="487"/>
      <c r="U4" s="487"/>
      <c r="V4" s="487"/>
      <c r="W4" s="493"/>
      <c r="X4" s="493"/>
      <c r="Y4" s="493"/>
      <c r="Z4" s="493"/>
      <c r="AA4" s="495"/>
      <c r="AB4" s="495"/>
      <c r="AC4" s="495"/>
      <c r="AD4" s="495"/>
      <c r="AE4" s="519"/>
      <c r="AF4" s="519"/>
      <c r="AG4" s="519"/>
      <c r="AH4" s="519"/>
      <c r="AI4" s="487"/>
      <c r="AJ4" s="487"/>
      <c r="AK4" s="487"/>
      <c r="AL4" s="487"/>
      <c r="AM4" s="489"/>
      <c r="AN4" s="489"/>
      <c r="AO4" s="489"/>
      <c r="AP4" s="489"/>
      <c r="AQ4" s="497"/>
      <c r="AR4" s="485"/>
      <c r="AS4" s="485"/>
      <c r="AT4" s="485"/>
      <c r="AU4" s="450"/>
      <c r="AV4" s="450"/>
      <c r="AW4" s="450"/>
      <c r="AX4" s="450"/>
      <c r="AY4" s="452"/>
      <c r="AZ4" s="448"/>
      <c r="BA4" s="448"/>
      <c r="BB4" s="448"/>
      <c r="BC4" s="454"/>
      <c r="BD4" s="193"/>
      <c r="BE4" s="193"/>
      <c r="BF4" s="193"/>
      <c r="BG4" s="540"/>
      <c r="BH4" s="540"/>
      <c r="BI4" s="540"/>
      <c r="BJ4" s="545"/>
      <c r="BK4" s="545"/>
      <c r="BL4" s="545"/>
      <c r="BM4" s="545"/>
      <c r="BN4" s="555"/>
      <c r="BO4" s="555"/>
      <c r="BP4" s="555"/>
      <c r="BQ4" s="555"/>
      <c r="BR4" s="477"/>
      <c r="BS4" s="477"/>
      <c r="BT4" s="477"/>
      <c r="BU4" s="477"/>
      <c r="BV4" s="477"/>
      <c r="BW4" s="477"/>
      <c r="BX4" s="477"/>
      <c r="BY4" s="477"/>
      <c r="BZ4" s="477"/>
      <c r="CA4" s="477"/>
      <c r="CB4" s="477"/>
      <c r="CC4" s="477"/>
      <c r="CD4" s="477"/>
      <c r="CE4" s="477"/>
      <c r="CF4" s="477"/>
      <c r="CG4" s="477"/>
      <c r="CH4" s="477"/>
      <c r="CI4" s="477"/>
      <c r="CJ4" s="491"/>
      <c r="CK4" s="491"/>
      <c r="CL4" s="491"/>
    </row>
    <row r="5" spans="1:90" ht="12.75" customHeight="1" x14ac:dyDescent="0.25">
      <c r="A5" s="478" t="s">
        <v>6</v>
      </c>
      <c r="B5" s="3" t="s">
        <v>7</v>
      </c>
      <c r="C5" s="7">
        <v>4</v>
      </c>
      <c r="D5" s="37">
        <v>2192460.6575303557</v>
      </c>
      <c r="E5" s="151"/>
      <c r="F5" s="152">
        <v>1449825.5495615059</v>
      </c>
      <c r="G5" s="87">
        <v>167256.03900000002</v>
      </c>
      <c r="H5" s="88"/>
      <c r="I5" s="127"/>
      <c r="J5" s="88"/>
      <c r="K5" s="89">
        <v>48031.15</v>
      </c>
      <c r="L5" s="90"/>
      <c r="M5" s="153"/>
      <c r="N5" s="91"/>
      <c r="O5" s="92">
        <v>65709.412000000011</v>
      </c>
      <c r="P5" s="93"/>
      <c r="Q5" s="94"/>
      <c r="R5" s="93"/>
      <c r="S5" s="154">
        <v>62165.65</v>
      </c>
      <c r="T5" s="114"/>
      <c r="U5" s="154"/>
      <c r="V5" s="155"/>
      <c r="W5" s="58">
        <v>90684.24</v>
      </c>
      <c r="X5" s="58">
        <v>0</v>
      </c>
      <c r="Y5" s="58"/>
      <c r="Z5" s="59"/>
      <c r="AA5" s="60">
        <v>32408.87</v>
      </c>
      <c r="AB5" s="156">
        <v>0</v>
      </c>
      <c r="AC5" s="157"/>
      <c r="AD5" s="61"/>
      <c r="AE5" s="63">
        <v>97632.98</v>
      </c>
      <c r="AF5" s="63">
        <v>0</v>
      </c>
      <c r="AG5" s="158"/>
      <c r="AH5" s="62"/>
      <c r="AI5" s="154">
        <v>249294.06387699995</v>
      </c>
      <c r="AJ5" s="154">
        <v>0</v>
      </c>
      <c r="AK5" s="154"/>
      <c r="AL5" s="155"/>
      <c r="AM5" s="49">
        <v>61005.71</v>
      </c>
      <c r="AN5" s="49">
        <v>0</v>
      </c>
      <c r="AO5" s="49"/>
      <c r="AP5" s="50"/>
      <c r="AQ5" s="159">
        <v>121471.92000000001</v>
      </c>
      <c r="AR5" s="198">
        <v>0</v>
      </c>
      <c r="AS5" s="198"/>
      <c r="AT5" s="198"/>
      <c r="AU5" s="210">
        <v>0</v>
      </c>
      <c r="AV5" s="210">
        <v>0</v>
      </c>
      <c r="AW5" s="210"/>
      <c r="AX5" s="210"/>
      <c r="AY5" s="129">
        <v>12228.079999999998</v>
      </c>
      <c r="AZ5" s="129">
        <v>0</v>
      </c>
      <c r="BA5" s="129"/>
      <c r="BB5" s="129"/>
      <c r="BC5" s="144">
        <v>78776.69</v>
      </c>
      <c r="BD5" s="136"/>
      <c r="BE5" s="136"/>
      <c r="BF5" s="136"/>
      <c r="BG5" s="252"/>
      <c r="BH5" s="252"/>
      <c r="BI5" s="252"/>
      <c r="BJ5" s="226">
        <v>602994.75999999989</v>
      </c>
      <c r="BK5" s="226"/>
      <c r="BL5" s="226"/>
      <c r="BM5" s="226"/>
      <c r="BN5" s="233">
        <v>934571.95000000007</v>
      </c>
      <c r="BO5" s="233"/>
      <c r="BP5" s="233"/>
      <c r="BQ5" s="233"/>
      <c r="BR5" s="26">
        <f t="shared" ref="BR5:BR12" si="0">IF(D5=0,0,2001-(D5-F5)*C5/D5)</f>
        <v>1999.6451111805941</v>
      </c>
      <c r="BS5" s="43">
        <f t="shared" ref="BS5:BS12" si="1">IF((1-($CJ$2-$BR5)/$C5)&gt;0,(1-($CJ$2-$BR5)/$C5),0)</f>
        <v>0</v>
      </c>
      <c r="BT5" s="43">
        <f t="shared" ref="BT5:BT12" si="2">IF((1-($CJ$2-G$2)/$C5)&gt;0,(1-($CJ$2-G$2)/$C5),0)</f>
        <v>0</v>
      </c>
      <c r="BU5" s="43">
        <f t="shared" ref="BU5:BU12" si="3">IF((1-($CJ$2-K$2)/$C5)&gt;0,(1-($CJ$2-K$2)/$C5),0)</f>
        <v>0</v>
      </c>
      <c r="BV5" s="43">
        <f t="shared" ref="BV5:BV12" si="4">IF((1-($CJ$2-O$2)/$C5)&gt;0,(1-($CJ$2-O$2)/$C5),0)</f>
        <v>0</v>
      </c>
      <c r="BW5" s="43">
        <f t="shared" ref="BW5:BW12" si="5">IF((1-($CJ$2-S$2)/$C5)&gt;0,(1-($CJ$2-S$2)/$C5),0)</f>
        <v>0</v>
      </c>
      <c r="BX5" s="43">
        <f t="shared" ref="BX5:BX12" si="6">IF((1-($CJ$2-W$2)/$C5)&gt;0,(1-($CJ$2-W$2)/$C5),0)</f>
        <v>0</v>
      </c>
      <c r="BY5" s="43">
        <f t="shared" ref="BY5:BY12" si="7">IF((1-($CJ$2-AA$2)/$C5)&gt;0,(1-($CJ$2-AA$2)/$C5),0)</f>
        <v>0</v>
      </c>
      <c r="BZ5" s="43">
        <f t="shared" ref="BZ5:BZ12" si="8">IF((1-($CJ$2-AE$2)/$C5)&gt;0,(1-($CJ$2-AE$2)/$C5),0)</f>
        <v>0</v>
      </c>
      <c r="CA5" s="43">
        <f t="shared" ref="CA5:CA12" si="9">IF((1-($CJ$2-AI$2)/$C5)&gt;0,(1-($CJ$2-AI$2)/$C5),0)</f>
        <v>0</v>
      </c>
      <c r="CB5" s="43">
        <f t="shared" ref="CB5:CB12" si="10">IF((1-($CJ$2-AM$2)/$C5)&gt;0,(1-($CJ$2-AM$2)/$C5),0)</f>
        <v>0</v>
      </c>
      <c r="CC5" s="43">
        <f t="shared" ref="CC5:CC12" si="11">IF((1-($CJ$2-AQ$2)/$C5)&gt;0,(1-($CJ$2-AQ$2)/$C5),0)</f>
        <v>0</v>
      </c>
      <c r="CD5" s="43">
        <f t="shared" ref="CD5:CD12" si="12">IF((1-($CJ$2-AU$2)/$C5)&gt;0,(1-($CJ$2-AU$2)/$C5),0)</f>
        <v>0</v>
      </c>
      <c r="CE5" s="43">
        <f t="shared" ref="CE5:CE12" si="13">IF((1-($CJ$2-AY$2)/$C5)&gt;0,(1-($CJ$2-AY$2)/$C5),0)</f>
        <v>0.25</v>
      </c>
      <c r="CF5" s="43">
        <f t="shared" ref="CF5:CF12" si="14">IF((1-($CJ$2-BC$2)/$C5)&gt;0,(1-($CJ$2-BC$2)/$C5),0)</f>
        <v>0.5</v>
      </c>
      <c r="CG5" s="43">
        <f>IF(BG5=0,0,1-($CJ$2-(2014.5-(BG5-BI5)*C5/BG5))/C5)</f>
        <v>0</v>
      </c>
      <c r="CH5" s="43">
        <f t="shared" ref="CH5:CH12" si="15">IF((1-($CJ$2-BJ$2)/$C5)&gt;0,(1-($CJ$2-BJ$2)/$C5),0)</f>
        <v>0.75</v>
      </c>
      <c r="CI5" s="43">
        <f t="shared" ref="CI5:CI12" si="16">IF((1-($CJ$2-BN$2)/$C5)&gt;0,(1-($CJ$2-BN$2)/$C5),0)</f>
        <v>1</v>
      </c>
      <c r="CJ5" s="239">
        <f t="shared" ref="CJ5:CJ12" si="17">D5-E5+(G5-I5)*G$60+(K5-M5)*K$60+(O5-Q5)*O$60+(S5-U5)*S$60+(W5-Y5)*W$60+(AA5-AC5)*AA$60+(AE5-AG5)*AE$60+(AI5-AK5)*AI$60+(AM5-AO5)*AM$60+(AQ5-AS5)*$AQ$60+(AU5-AW5)*$AU$60+(AY5-BA5)*$AY$60+(BC5-BE5)*$BC$60+(BJ5-BL5)*$BJ$60+BG5+(BN5-BP5)*$BN$60</f>
        <v>4438798.589851778</v>
      </c>
      <c r="CK5" s="239">
        <f t="shared" ref="CK5:CK12" si="18">CJ5-(IF(BS5=0,0,D5-E5)+IF(BT5=0,0,(G5-I5)*G$60)+IF(BU5=0,0,(K5-M5)*K$60)+IF(BV5=0,0,(O5-Q5)*O$60)+IF(BW5=0,0,(S5-U5)*S$60)+IF(BX5=0,0,(W5-Y5)*W$60)+IF(BY5=0,0,(AA5-AC5)*AA$60)+IF(BZ5=0,0,(AE5-AG5)*AE$60)+IF(CA5=0,0,(AI5-AK5)*AI$60)+IF(CB5=0,0,(AM5-AO5)*AM$60)+IF(CC5=0,0,(AQ5-AS5)*$AQ$60)+IF(CD5=0,0,(AU5-AW5)*$AU$60)+IF(CE5=0,0,(AY5-BA5)*$AY$60)++IF(CF5=0,0,(BC5-BE5)*$BC$60)+IF(CH5=0,0,(BJ5-BL5)*$BC$60)+IF(CG5=0,0,BG5)+IF(CI5=0,0,(BN5-BP5)*$BC$60))</f>
        <v>2970664.7774397433</v>
      </c>
      <c r="CL5" s="239">
        <f t="shared" ref="CL5:CL12" si="19">(D5-E5)*BS5+((G5-H5-(I5-J5))*G$60)*BT5+((K5-L5-(M5-N5))*K$60)*BU5+((O5-P5-(Q5-R5))*O$60)*BV5+((S5-T5-(U5-V5))*S$60)*BW5+((W5-X5-(Y5-Z5))*W$60)*BX5+((AA5-AB5-(AC5-AD5))*AA$60)*BY5+((AE5-AF5-(AG5-AH5))*AE$60)*BZ5+((AI5-AJ5-(AK5-AL5))*AI$60)*CA5+((AM5-AN5-(AO5-AP5))*$AM$60)*CB5+((AQ5-AR5-(AS5-AT5))*$AQ$60)*CC5+((AU5-AV5-(AW5-AX5))*$AU$60)*CD5+((AY5-AZ5-(BA5-BB5))*$AY$60)*CE5+((BC5-BD5-(BF5-BR5))*$BC$60)*CF5+((BJ5-BK5-(BL5-BM5))*$BC$60)*CH5+(BG5-BH5)*CG5+((BN5-BO5-(BP5-BQ5))*$BC$60)*CI5</f>
        <v>1288599.2320052641</v>
      </c>
    </row>
    <row r="6" spans="1:90" ht="12.75" customHeight="1" x14ac:dyDescent="0.25">
      <c r="A6" s="479"/>
      <c r="B6" s="3" t="s">
        <v>8</v>
      </c>
      <c r="C6" s="17">
        <v>1000</v>
      </c>
      <c r="D6" s="37">
        <v>103551.78496860871</v>
      </c>
      <c r="E6" s="151"/>
      <c r="F6" s="160">
        <v>103551.78496860871</v>
      </c>
      <c r="G6" s="87">
        <v>3081.72</v>
      </c>
      <c r="H6" s="88"/>
      <c r="I6" s="127"/>
      <c r="J6" s="88"/>
      <c r="K6" s="89">
        <v>0</v>
      </c>
      <c r="L6" s="90"/>
      <c r="M6" s="153"/>
      <c r="N6" s="91"/>
      <c r="O6" s="95">
        <v>0</v>
      </c>
      <c r="P6" s="93"/>
      <c r="Q6" s="94"/>
      <c r="R6" s="93"/>
      <c r="S6" s="154">
        <v>0</v>
      </c>
      <c r="T6" s="114"/>
      <c r="U6" s="154"/>
      <c r="V6" s="155"/>
      <c r="W6" s="58">
        <v>0</v>
      </c>
      <c r="X6" s="58">
        <v>0</v>
      </c>
      <c r="Y6" s="58"/>
      <c r="Z6" s="59"/>
      <c r="AA6" s="76">
        <v>0</v>
      </c>
      <c r="AB6" s="156">
        <v>0</v>
      </c>
      <c r="AC6" s="157"/>
      <c r="AD6" s="61"/>
      <c r="AE6" s="63">
        <v>0</v>
      </c>
      <c r="AF6" s="63">
        <v>0</v>
      </c>
      <c r="AG6" s="158"/>
      <c r="AH6" s="62"/>
      <c r="AI6" s="154">
        <v>0</v>
      </c>
      <c r="AJ6" s="154">
        <v>0</v>
      </c>
      <c r="AK6" s="154"/>
      <c r="AL6" s="155"/>
      <c r="AM6" s="49">
        <v>0</v>
      </c>
      <c r="AN6" s="49">
        <v>0</v>
      </c>
      <c r="AO6" s="49"/>
      <c r="AP6" s="50"/>
      <c r="AQ6" s="159">
        <v>0</v>
      </c>
      <c r="AR6" s="198">
        <v>0</v>
      </c>
      <c r="AS6" s="198"/>
      <c r="AT6" s="198"/>
      <c r="AU6" s="210">
        <v>0</v>
      </c>
      <c r="AV6" s="210">
        <v>0</v>
      </c>
      <c r="AW6" s="210"/>
      <c r="AX6" s="210"/>
      <c r="AY6" s="129">
        <v>0</v>
      </c>
      <c r="AZ6" s="129">
        <v>0</v>
      </c>
      <c r="BA6" s="129"/>
      <c r="BB6" s="129"/>
      <c r="BC6" s="144">
        <v>215517.81</v>
      </c>
      <c r="BD6" s="136"/>
      <c r="BE6" s="136"/>
      <c r="BF6" s="136"/>
      <c r="BG6" s="252">
        <v>690000</v>
      </c>
      <c r="BH6" s="252"/>
      <c r="BI6" s="252">
        <v>690000</v>
      </c>
      <c r="BJ6" s="226">
        <v>0</v>
      </c>
      <c r="BK6" s="226"/>
      <c r="BL6" s="226"/>
      <c r="BM6" s="226"/>
      <c r="BN6" s="233">
        <v>0</v>
      </c>
      <c r="BO6" s="233"/>
      <c r="BP6" s="233"/>
      <c r="BQ6" s="233"/>
      <c r="BR6" s="26">
        <f t="shared" si="0"/>
        <v>2001</v>
      </c>
      <c r="BS6" s="43">
        <f t="shared" si="1"/>
        <v>0.98499999999999999</v>
      </c>
      <c r="BT6" s="43">
        <f t="shared" si="2"/>
        <v>0.98599999999999999</v>
      </c>
      <c r="BU6" s="43">
        <f t="shared" si="3"/>
        <v>0.98699999999999999</v>
      </c>
      <c r="BV6" s="43">
        <f t="shared" si="4"/>
        <v>0.98799999999999999</v>
      </c>
      <c r="BW6" s="43">
        <f t="shared" si="5"/>
        <v>0.98899999999999999</v>
      </c>
      <c r="BX6" s="43">
        <f t="shared" si="6"/>
        <v>0.99</v>
      </c>
      <c r="BY6" s="43">
        <f t="shared" si="7"/>
        <v>0.99099999999999999</v>
      </c>
      <c r="BZ6" s="43">
        <f t="shared" si="8"/>
        <v>0.99199999999999999</v>
      </c>
      <c r="CA6" s="43">
        <f t="shared" si="9"/>
        <v>0.99299999999999999</v>
      </c>
      <c r="CB6" s="43">
        <f t="shared" si="10"/>
        <v>0.99399999999999999</v>
      </c>
      <c r="CC6" s="43">
        <f t="shared" si="11"/>
        <v>0.995</v>
      </c>
      <c r="CD6" s="43">
        <f t="shared" si="12"/>
        <v>0.996</v>
      </c>
      <c r="CE6" s="43">
        <f t="shared" si="13"/>
        <v>0.997</v>
      </c>
      <c r="CF6" s="43">
        <f t="shared" si="14"/>
        <v>0.998</v>
      </c>
      <c r="CG6" s="43">
        <f t="shared" ref="CG6:CG12" si="20">IF(BG6=0,0,1-($CJ$2-(2014.5-(BG6-BI6)*C6/BG6))/C6)</f>
        <v>0.99850000000000005</v>
      </c>
      <c r="CH6" s="43">
        <f t="shared" si="15"/>
        <v>0.999</v>
      </c>
      <c r="CI6" s="43">
        <f t="shared" si="16"/>
        <v>1</v>
      </c>
      <c r="CJ6" s="239">
        <f t="shared" si="17"/>
        <v>989940.15600311663</v>
      </c>
      <c r="CK6" s="239">
        <f t="shared" si="18"/>
        <v>0</v>
      </c>
      <c r="CL6" s="239">
        <f t="shared" si="19"/>
        <v>988730.72579856054</v>
      </c>
    </row>
    <row r="7" spans="1:90" ht="12.75" customHeight="1" x14ac:dyDescent="0.25">
      <c r="A7" s="479"/>
      <c r="B7" s="3" t="s">
        <v>9</v>
      </c>
      <c r="C7" s="7">
        <v>40</v>
      </c>
      <c r="D7" s="37">
        <v>1140916.4856518731</v>
      </c>
      <c r="E7" s="151"/>
      <c r="F7" s="152">
        <v>709242.31697422103</v>
      </c>
      <c r="G7" s="87">
        <v>4550.21</v>
      </c>
      <c r="H7" s="88"/>
      <c r="I7" s="127"/>
      <c r="J7" s="88"/>
      <c r="K7" s="89">
        <v>8402.57</v>
      </c>
      <c r="L7" s="90"/>
      <c r="M7" s="153"/>
      <c r="N7" s="91"/>
      <c r="O7" s="95">
        <v>0</v>
      </c>
      <c r="P7" s="93"/>
      <c r="Q7" s="94"/>
      <c r="R7" s="93"/>
      <c r="S7" s="154">
        <v>38527</v>
      </c>
      <c r="T7" s="114"/>
      <c r="U7" s="154"/>
      <c r="V7" s="155"/>
      <c r="W7" s="58">
        <v>34301.56</v>
      </c>
      <c r="X7" s="58">
        <v>0</v>
      </c>
      <c r="Y7" s="58"/>
      <c r="Z7" s="59"/>
      <c r="AA7" s="70">
        <v>58280.87</v>
      </c>
      <c r="AB7" s="156">
        <v>0</v>
      </c>
      <c r="AC7" s="157"/>
      <c r="AD7" s="61"/>
      <c r="AE7" s="63">
        <v>2487.96</v>
      </c>
      <c r="AF7" s="63">
        <v>0</v>
      </c>
      <c r="AG7" s="158"/>
      <c r="AH7" s="62"/>
      <c r="AI7" s="154">
        <v>0</v>
      </c>
      <c r="AJ7" s="154">
        <v>0</v>
      </c>
      <c r="AK7" s="154"/>
      <c r="AL7" s="155"/>
      <c r="AM7" s="49">
        <v>0</v>
      </c>
      <c r="AN7" s="49">
        <v>0</v>
      </c>
      <c r="AO7" s="49"/>
      <c r="AP7" s="50"/>
      <c r="AQ7" s="159">
        <v>7039.45</v>
      </c>
      <c r="AR7" s="198">
        <v>0</v>
      </c>
      <c r="AS7" s="198"/>
      <c r="AT7" s="198"/>
      <c r="AU7" s="210">
        <v>0</v>
      </c>
      <c r="AV7" s="210">
        <v>0</v>
      </c>
      <c r="AW7" s="210"/>
      <c r="AX7" s="210"/>
      <c r="AY7" s="129">
        <v>0</v>
      </c>
      <c r="AZ7" s="129">
        <v>0</v>
      </c>
      <c r="BA7" s="129"/>
      <c r="BB7" s="129"/>
      <c r="BC7" s="144">
        <v>8855.2000000000007</v>
      </c>
      <c r="BD7" s="136"/>
      <c r="BE7" s="136"/>
      <c r="BF7" s="136"/>
      <c r="BG7" s="252">
        <v>250000</v>
      </c>
      <c r="BH7" s="252"/>
      <c r="BI7" s="252">
        <v>250000</v>
      </c>
      <c r="BJ7" s="226">
        <v>132639.19</v>
      </c>
      <c r="BK7" s="226"/>
      <c r="BL7" s="226"/>
      <c r="BM7" s="226"/>
      <c r="BN7" s="233">
        <v>0</v>
      </c>
      <c r="BO7" s="233"/>
      <c r="BP7" s="233"/>
      <c r="BQ7" s="233"/>
      <c r="BR7" s="26">
        <f t="shared" si="0"/>
        <v>1985.8657049273502</v>
      </c>
      <c r="BS7" s="43">
        <f t="shared" si="1"/>
        <v>0.24664262318375452</v>
      </c>
      <c r="BT7" s="43">
        <f t="shared" si="2"/>
        <v>0.65</v>
      </c>
      <c r="BU7" s="43">
        <f t="shared" si="3"/>
        <v>0.67500000000000004</v>
      </c>
      <c r="BV7" s="43">
        <f t="shared" si="4"/>
        <v>0.7</v>
      </c>
      <c r="BW7" s="43">
        <f t="shared" si="5"/>
        <v>0.72499999999999998</v>
      </c>
      <c r="BX7" s="43">
        <f t="shared" si="6"/>
        <v>0.75</v>
      </c>
      <c r="BY7" s="43">
        <f t="shared" si="7"/>
        <v>0.77500000000000002</v>
      </c>
      <c r="BZ7" s="43">
        <f t="shared" si="8"/>
        <v>0.8</v>
      </c>
      <c r="CA7" s="43">
        <f t="shared" si="9"/>
        <v>0.82499999999999996</v>
      </c>
      <c r="CB7" s="43">
        <f t="shared" si="10"/>
        <v>0.85</v>
      </c>
      <c r="CC7" s="43">
        <f t="shared" si="11"/>
        <v>0.875</v>
      </c>
      <c r="CD7" s="43">
        <f t="shared" si="12"/>
        <v>0.9</v>
      </c>
      <c r="CE7" s="43">
        <f t="shared" si="13"/>
        <v>0.92500000000000004</v>
      </c>
      <c r="CF7" s="43">
        <f t="shared" si="14"/>
        <v>0.95</v>
      </c>
      <c r="CG7" s="43">
        <f t="shared" si="20"/>
        <v>0.96250000000000002</v>
      </c>
      <c r="CH7" s="43">
        <f t="shared" si="15"/>
        <v>0.97499999999999998</v>
      </c>
      <c r="CI7" s="43">
        <f t="shared" si="16"/>
        <v>1</v>
      </c>
      <c r="CJ7" s="239">
        <f t="shared" si="17"/>
        <v>1628486.3546337117</v>
      </c>
      <c r="CK7" s="239">
        <f t="shared" si="18"/>
        <v>-10525.299460712587</v>
      </c>
      <c r="CL7" s="239">
        <f t="shared" si="19"/>
        <v>739079.04295859626</v>
      </c>
    </row>
    <row r="8" spans="1:90" ht="12.75" customHeight="1" x14ac:dyDescent="0.25">
      <c r="A8" s="479"/>
      <c r="B8" s="3" t="s">
        <v>10</v>
      </c>
      <c r="C8" s="7">
        <v>7</v>
      </c>
      <c r="D8" s="37">
        <v>945208.52892382524</v>
      </c>
      <c r="E8" s="151"/>
      <c r="F8" s="152">
        <v>67667.069379360895</v>
      </c>
      <c r="G8" s="87">
        <v>7357.58</v>
      </c>
      <c r="H8" s="88"/>
      <c r="I8" s="127"/>
      <c r="J8" s="88"/>
      <c r="K8" s="89">
        <v>6582.56</v>
      </c>
      <c r="L8" s="90"/>
      <c r="M8" s="153"/>
      <c r="N8" s="91"/>
      <c r="O8" s="95">
        <v>282.37</v>
      </c>
      <c r="P8" s="93"/>
      <c r="Q8" s="94"/>
      <c r="R8" s="93"/>
      <c r="S8" s="154">
        <v>0</v>
      </c>
      <c r="T8" s="114"/>
      <c r="U8" s="154"/>
      <c r="V8" s="155"/>
      <c r="W8" s="58">
        <v>17809.370000000003</v>
      </c>
      <c r="X8" s="58">
        <v>0</v>
      </c>
      <c r="Y8" s="58"/>
      <c r="Z8" s="59"/>
      <c r="AA8" s="76">
        <v>5325</v>
      </c>
      <c r="AB8" s="156">
        <v>0</v>
      </c>
      <c r="AC8" s="157"/>
      <c r="AD8" s="61"/>
      <c r="AE8" s="63">
        <v>5151</v>
      </c>
      <c r="AF8" s="63">
        <v>0</v>
      </c>
      <c r="AG8" s="158"/>
      <c r="AH8" s="62"/>
      <c r="AI8" s="154">
        <v>7295</v>
      </c>
      <c r="AJ8" s="154">
        <v>0</v>
      </c>
      <c r="AK8" s="154"/>
      <c r="AL8" s="155"/>
      <c r="AM8" s="49">
        <v>0</v>
      </c>
      <c r="AN8" s="49">
        <v>0</v>
      </c>
      <c r="AO8" s="49"/>
      <c r="AP8" s="53"/>
      <c r="AQ8" s="159">
        <v>8381.86</v>
      </c>
      <c r="AR8" s="198">
        <v>0</v>
      </c>
      <c r="AS8" s="198"/>
      <c r="AT8" s="198"/>
      <c r="AU8" s="210">
        <v>0</v>
      </c>
      <c r="AV8" s="210">
        <v>0</v>
      </c>
      <c r="AW8" s="210"/>
      <c r="AX8" s="210"/>
      <c r="AY8" s="129">
        <v>22739</v>
      </c>
      <c r="AZ8" s="129">
        <v>0</v>
      </c>
      <c r="BA8" s="129"/>
      <c r="BB8" s="129"/>
      <c r="BC8" s="144">
        <v>0</v>
      </c>
      <c r="BD8" s="136"/>
      <c r="BE8" s="136"/>
      <c r="BF8" s="136"/>
      <c r="BG8" s="252"/>
      <c r="BH8" s="252"/>
      <c r="BI8" s="252"/>
      <c r="BJ8" s="226">
        <v>0</v>
      </c>
      <c r="BK8" s="226"/>
      <c r="BL8" s="226"/>
      <c r="BM8" s="226"/>
      <c r="BN8" s="233">
        <v>18775.16</v>
      </c>
      <c r="BO8" s="233"/>
      <c r="BP8" s="233"/>
      <c r="BQ8" s="233"/>
      <c r="BR8" s="26">
        <f t="shared" si="0"/>
        <v>1994.501126969511</v>
      </c>
      <c r="BS8" s="43">
        <f t="shared" si="1"/>
        <v>0</v>
      </c>
      <c r="BT8" s="43">
        <f t="shared" si="2"/>
        <v>0</v>
      </c>
      <c r="BU8" s="43">
        <f t="shared" si="3"/>
        <v>0</v>
      </c>
      <c r="BV8" s="43">
        <f t="shared" si="4"/>
        <v>0</v>
      </c>
      <c r="BW8" s="43">
        <f t="shared" si="5"/>
        <v>0</v>
      </c>
      <c r="BX8" s="43">
        <f t="shared" si="6"/>
        <v>0</v>
      </c>
      <c r="BY8" s="43">
        <f t="shared" si="7"/>
        <v>0</v>
      </c>
      <c r="BZ8" s="43">
        <f t="shared" si="8"/>
        <v>0</v>
      </c>
      <c r="CA8" s="43">
        <f t="shared" si="9"/>
        <v>0</v>
      </c>
      <c r="CB8" s="43">
        <f t="shared" si="10"/>
        <v>0.1428571428571429</v>
      </c>
      <c r="CC8" s="43">
        <f t="shared" si="11"/>
        <v>0.2857142857142857</v>
      </c>
      <c r="CD8" s="43">
        <f t="shared" si="12"/>
        <v>0.4285714285714286</v>
      </c>
      <c r="CE8" s="43">
        <f t="shared" si="13"/>
        <v>0.5714285714285714</v>
      </c>
      <c r="CF8" s="43">
        <f t="shared" si="14"/>
        <v>0.7142857142857143</v>
      </c>
      <c r="CG8" s="43">
        <f t="shared" si="20"/>
        <v>0</v>
      </c>
      <c r="CH8" s="43">
        <f t="shared" si="15"/>
        <v>0.85714285714285721</v>
      </c>
      <c r="CI8" s="43">
        <f t="shared" si="16"/>
        <v>1</v>
      </c>
      <c r="CJ8" s="239">
        <f t="shared" si="17"/>
        <v>1034143.6239721309</v>
      </c>
      <c r="CK8" s="239">
        <f t="shared" si="18"/>
        <v>986408.71292099054</v>
      </c>
      <c r="CL8" s="239">
        <f t="shared" si="19"/>
        <v>33498.311724957806</v>
      </c>
    </row>
    <row r="9" spans="1:90" ht="12.75" customHeight="1" x14ac:dyDescent="0.25">
      <c r="A9" s="479"/>
      <c r="B9" s="3" t="s">
        <v>11</v>
      </c>
      <c r="C9" s="7">
        <v>4</v>
      </c>
      <c r="D9" s="37">
        <v>626223.15650914935</v>
      </c>
      <c r="E9" s="151"/>
      <c r="F9" s="152">
        <v>147123.07508079166</v>
      </c>
      <c r="G9" s="87">
        <v>22741.82</v>
      </c>
      <c r="H9" s="88"/>
      <c r="I9" s="127"/>
      <c r="J9" s="88"/>
      <c r="K9" s="89">
        <v>15401.33</v>
      </c>
      <c r="L9" s="90"/>
      <c r="M9" s="153"/>
      <c r="N9" s="91"/>
      <c r="O9" s="95">
        <v>44549.32</v>
      </c>
      <c r="P9" s="93"/>
      <c r="Q9" s="94"/>
      <c r="R9" s="93"/>
      <c r="S9" s="154">
        <v>11154.82</v>
      </c>
      <c r="T9" s="114"/>
      <c r="U9" s="154"/>
      <c r="V9" s="155"/>
      <c r="W9" s="58">
        <v>87253.48000000001</v>
      </c>
      <c r="X9" s="58">
        <v>0</v>
      </c>
      <c r="Y9" s="58"/>
      <c r="Z9" s="59"/>
      <c r="AA9" s="76">
        <v>38353.979999999996</v>
      </c>
      <c r="AB9" s="156">
        <v>0</v>
      </c>
      <c r="AC9" s="157"/>
      <c r="AD9" s="61"/>
      <c r="AE9" s="63">
        <v>0</v>
      </c>
      <c r="AF9" s="63">
        <v>0</v>
      </c>
      <c r="AG9" s="158"/>
      <c r="AH9" s="62"/>
      <c r="AI9" s="154">
        <v>51587.420000000006</v>
      </c>
      <c r="AJ9" s="154">
        <v>0</v>
      </c>
      <c r="AK9" s="154"/>
      <c r="AL9" s="155"/>
      <c r="AM9" s="49">
        <v>20997.82</v>
      </c>
      <c r="AN9" s="49">
        <v>0</v>
      </c>
      <c r="AO9" s="49"/>
      <c r="AP9" s="50"/>
      <c r="AQ9" s="159">
        <v>2369.5</v>
      </c>
      <c r="AR9" s="198">
        <v>0</v>
      </c>
      <c r="AS9" s="198"/>
      <c r="AT9" s="198"/>
      <c r="AU9" s="210">
        <v>0</v>
      </c>
      <c r="AV9" s="210">
        <v>0</v>
      </c>
      <c r="AW9" s="210"/>
      <c r="AX9" s="210"/>
      <c r="AY9" s="129">
        <v>4786.7</v>
      </c>
      <c r="AZ9" s="129">
        <v>0</v>
      </c>
      <c r="BA9" s="129"/>
      <c r="BB9" s="129"/>
      <c r="BC9" s="144">
        <v>931198.84</v>
      </c>
      <c r="BD9" s="136"/>
      <c r="BE9" s="136"/>
      <c r="BF9" s="136"/>
      <c r="BG9" s="252"/>
      <c r="BH9" s="252"/>
      <c r="BI9" s="252"/>
      <c r="BJ9" s="226">
        <v>0</v>
      </c>
      <c r="BK9" s="226"/>
      <c r="BL9" s="226"/>
      <c r="BM9" s="226"/>
      <c r="BN9" s="233">
        <v>2422.0500000000002</v>
      </c>
      <c r="BO9" s="233"/>
      <c r="BP9" s="233"/>
      <c r="BQ9" s="233"/>
      <c r="BR9" s="26">
        <f t="shared" si="0"/>
        <v>1997.9397485452369</v>
      </c>
      <c r="BS9" s="43">
        <f t="shared" si="1"/>
        <v>0</v>
      </c>
      <c r="BT9" s="43">
        <f t="shared" si="2"/>
        <v>0</v>
      </c>
      <c r="BU9" s="43">
        <f t="shared" si="3"/>
        <v>0</v>
      </c>
      <c r="BV9" s="43">
        <f t="shared" si="4"/>
        <v>0</v>
      </c>
      <c r="BW9" s="43">
        <f t="shared" si="5"/>
        <v>0</v>
      </c>
      <c r="BX9" s="43">
        <f t="shared" si="6"/>
        <v>0</v>
      </c>
      <c r="BY9" s="43">
        <f t="shared" si="7"/>
        <v>0</v>
      </c>
      <c r="BZ9" s="43">
        <f t="shared" si="8"/>
        <v>0</v>
      </c>
      <c r="CA9" s="43">
        <f t="shared" si="9"/>
        <v>0</v>
      </c>
      <c r="CB9" s="43">
        <f t="shared" si="10"/>
        <v>0</v>
      </c>
      <c r="CC9" s="43">
        <f t="shared" si="11"/>
        <v>0</v>
      </c>
      <c r="CD9" s="43">
        <f t="shared" si="12"/>
        <v>0</v>
      </c>
      <c r="CE9" s="43">
        <f t="shared" si="13"/>
        <v>0.25</v>
      </c>
      <c r="CF9" s="43">
        <f t="shared" si="14"/>
        <v>0.5</v>
      </c>
      <c r="CG9" s="43">
        <f t="shared" si="20"/>
        <v>0</v>
      </c>
      <c r="CH9" s="43">
        <f t="shared" si="15"/>
        <v>0.75</v>
      </c>
      <c r="CI9" s="43">
        <f t="shared" si="16"/>
        <v>1</v>
      </c>
      <c r="CJ9" s="239">
        <f t="shared" si="17"/>
        <v>1719393.2318830094</v>
      </c>
      <c r="CK9" s="239">
        <f t="shared" si="18"/>
        <v>873656.51739312708</v>
      </c>
      <c r="CL9" s="239">
        <f t="shared" si="19"/>
        <v>423662.31381868641</v>
      </c>
    </row>
    <row r="10" spans="1:90" ht="12.75" customHeight="1" x14ac:dyDescent="0.25">
      <c r="A10" s="479"/>
      <c r="B10" s="3" t="s">
        <v>12</v>
      </c>
      <c r="C10" s="7">
        <v>5</v>
      </c>
      <c r="D10" s="37">
        <v>1564545.6307439422</v>
      </c>
      <c r="E10" s="151"/>
      <c r="F10" s="152">
        <v>275838.40370647283</v>
      </c>
      <c r="G10" s="87">
        <v>0</v>
      </c>
      <c r="H10" s="88"/>
      <c r="I10" s="127"/>
      <c r="J10" s="88"/>
      <c r="K10" s="89">
        <v>0</v>
      </c>
      <c r="L10" s="90"/>
      <c r="M10" s="153"/>
      <c r="N10" s="91"/>
      <c r="O10" s="95">
        <v>0</v>
      </c>
      <c r="P10" s="93"/>
      <c r="Q10" s="94"/>
      <c r="R10" s="93"/>
      <c r="S10" s="154">
        <v>0</v>
      </c>
      <c r="T10" s="114"/>
      <c r="U10" s="154"/>
      <c r="V10" s="155"/>
      <c r="W10" s="58">
        <v>74281.899999999994</v>
      </c>
      <c r="X10" s="58">
        <v>0</v>
      </c>
      <c r="Y10" s="58"/>
      <c r="Z10" s="59"/>
      <c r="AA10" s="76">
        <v>0</v>
      </c>
      <c r="AB10" s="156">
        <v>0</v>
      </c>
      <c r="AC10" s="157"/>
      <c r="AD10" s="61"/>
      <c r="AE10" s="63">
        <v>0</v>
      </c>
      <c r="AF10" s="63">
        <v>0</v>
      </c>
      <c r="AG10" s="158"/>
      <c r="AH10" s="62"/>
      <c r="AI10" s="154">
        <v>0</v>
      </c>
      <c r="AJ10" s="154">
        <v>0</v>
      </c>
      <c r="AK10" s="154"/>
      <c r="AL10" s="155"/>
      <c r="AM10" s="49">
        <v>0</v>
      </c>
      <c r="AN10" s="49">
        <v>0</v>
      </c>
      <c r="AO10" s="49"/>
      <c r="AP10" s="50"/>
      <c r="AQ10" s="159">
        <v>94920</v>
      </c>
      <c r="AR10" s="198">
        <v>0</v>
      </c>
      <c r="AS10" s="198"/>
      <c r="AT10" s="198"/>
      <c r="AU10" s="210">
        <v>0</v>
      </c>
      <c r="AV10" s="210">
        <v>0</v>
      </c>
      <c r="AW10" s="210"/>
      <c r="AX10" s="210"/>
      <c r="AY10" s="129">
        <v>16667</v>
      </c>
      <c r="AZ10" s="129">
        <v>0</v>
      </c>
      <c r="BA10" s="129"/>
      <c r="BB10" s="129"/>
      <c r="BC10" s="144">
        <v>0</v>
      </c>
      <c r="BD10" s="136"/>
      <c r="BE10" s="136"/>
      <c r="BF10" s="136"/>
      <c r="BG10" s="252"/>
      <c r="BH10" s="252"/>
      <c r="BI10" s="252"/>
      <c r="BJ10" s="226">
        <v>113500</v>
      </c>
      <c r="BK10" s="226"/>
      <c r="BL10" s="226"/>
      <c r="BM10" s="226"/>
      <c r="BN10" s="233">
        <v>149806.51</v>
      </c>
      <c r="BO10" s="233"/>
      <c r="BP10" s="233"/>
      <c r="BQ10" s="233"/>
      <c r="BR10" s="26">
        <f t="shared" si="0"/>
        <v>1996.8815287911268</v>
      </c>
      <c r="BS10" s="43">
        <f t="shared" si="1"/>
        <v>0</v>
      </c>
      <c r="BT10" s="43">
        <f t="shared" si="2"/>
        <v>0</v>
      </c>
      <c r="BU10" s="43">
        <f t="shared" si="3"/>
        <v>0</v>
      </c>
      <c r="BV10" s="43">
        <f t="shared" si="4"/>
        <v>0</v>
      </c>
      <c r="BW10" s="43">
        <f t="shared" si="5"/>
        <v>0</v>
      </c>
      <c r="BX10" s="43">
        <f t="shared" si="6"/>
        <v>0</v>
      </c>
      <c r="BY10" s="43">
        <f t="shared" si="7"/>
        <v>0</v>
      </c>
      <c r="BZ10" s="43">
        <f t="shared" si="8"/>
        <v>0</v>
      </c>
      <c r="CA10" s="43">
        <f t="shared" si="9"/>
        <v>0</v>
      </c>
      <c r="CB10" s="43">
        <f t="shared" si="10"/>
        <v>0</v>
      </c>
      <c r="CC10" s="43">
        <f t="shared" si="11"/>
        <v>0</v>
      </c>
      <c r="CD10" s="43">
        <f t="shared" si="12"/>
        <v>0.19999999999999996</v>
      </c>
      <c r="CE10" s="43">
        <f t="shared" si="13"/>
        <v>0.4</v>
      </c>
      <c r="CF10" s="43">
        <f t="shared" si="14"/>
        <v>0.6</v>
      </c>
      <c r="CG10" s="43">
        <f t="shared" si="20"/>
        <v>0</v>
      </c>
      <c r="CH10" s="43">
        <f t="shared" si="15"/>
        <v>0.8</v>
      </c>
      <c r="CI10" s="43">
        <f t="shared" si="16"/>
        <v>1</v>
      </c>
      <c r="CJ10" s="239">
        <f t="shared" si="17"/>
        <v>1965930.6793448166</v>
      </c>
      <c r="CK10" s="239">
        <f t="shared" si="18"/>
        <v>1712092.8793215007</v>
      </c>
      <c r="CL10" s="239">
        <f t="shared" si="19"/>
        <v>224469.99697131341</v>
      </c>
    </row>
    <row r="11" spans="1:90" ht="12.75" customHeight="1" x14ac:dyDescent="0.25">
      <c r="A11" s="479"/>
      <c r="B11" s="3" t="s">
        <v>13</v>
      </c>
      <c r="C11" s="7">
        <v>8</v>
      </c>
      <c r="D11" s="37">
        <v>0</v>
      </c>
      <c r="E11" s="151"/>
      <c r="F11" s="152">
        <v>0</v>
      </c>
      <c r="G11" s="87">
        <v>51708.179991999998</v>
      </c>
      <c r="H11" s="88"/>
      <c r="I11" s="127"/>
      <c r="J11" s="88"/>
      <c r="K11" s="89">
        <v>4151.08</v>
      </c>
      <c r="L11" s="90"/>
      <c r="M11" s="153"/>
      <c r="N11" s="91"/>
      <c r="O11" s="95">
        <v>30862.359060999996</v>
      </c>
      <c r="P11" s="93"/>
      <c r="Q11" s="94"/>
      <c r="R11" s="93"/>
      <c r="S11" s="154">
        <v>0</v>
      </c>
      <c r="T11" s="114"/>
      <c r="U11" s="154"/>
      <c r="V11" s="155"/>
      <c r="W11" s="58">
        <v>0</v>
      </c>
      <c r="X11" s="58">
        <v>0</v>
      </c>
      <c r="Y11" s="58"/>
      <c r="Z11" s="59"/>
      <c r="AA11" s="76">
        <v>0</v>
      </c>
      <c r="AB11" s="156">
        <v>0</v>
      </c>
      <c r="AC11" s="157"/>
      <c r="AD11" s="61"/>
      <c r="AE11" s="63">
        <v>0</v>
      </c>
      <c r="AF11" s="63">
        <v>0</v>
      </c>
      <c r="AG11" s="158"/>
      <c r="AH11" s="62"/>
      <c r="AI11" s="154">
        <v>14365.63</v>
      </c>
      <c r="AJ11" s="154">
        <v>0</v>
      </c>
      <c r="AK11" s="154"/>
      <c r="AL11" s="155"/>
      <c r="AM11" s="49">
        <v>9332.4</v>
      </c>
      <c r="AN11" s="49">
        <v>0</v>
      </c>
      <c r="AO11" s="49"/>
      <c r="AP11" s="50"/>
      <c r="AQ11" s="159">
        <v>9332</v>
      </c>
      <c r="AR11" s="198">
        <v>0</v>
      </c>
      <c r="AS11" s="198"/>
      <c r="AT11" s="198"/>
      <c r="AU11" s="210">
        <v>0</v>
      </c>
      <c r="AV11" s="210">
        <v>0</v>
      </c>
      <c r="AW11" s="210"/>
      <c r="AX11" s="210"/>
      <c r="AY11" s="129">
        <v>0</v>
      </c>
      <c r="AZ11" s="129">
        <v>0</v>
      </c>
      <c r="BA11" s="129"/>
      <c r="BB11" s="129"/>
      <c r="BC11" s="144">
        <v>41463</v>
      </c>
      <c r="BD11" s="136"/>
      <c r="BE11" s="136"/>
      <c r="BF11" s="136"/>
      <c r="BG11" s="252"/>
      <c r="BH11" s="252"/>
      <c r="BI11" s="252"/>
      <c r="BJ11" s="226">
        <v>31935.4</v>
      </c>
      <c r="BK11" s="226"/>
      <c r="BL11" s="226"/>
      <c r="BM11" s="226"/>
      <c r="BN11" s="233">
        <v>0</v>
      </c>
      <c r="BO11" s="233"/>
      <c r="BP11" s="233"/>
      <c r="BQ11" s="233"/>
      <c r="BR11" s="26">
        <f t="shared" si="0"/>
        <v>0</v>
      </c>
      <c r="BS11" s="43">
        <f t="shared" si="1"/>
        <v>0</v>
      </c>
      <c r="BT11" s="43">
        <f t="shared" si="2"/>
        <v>0</v>
      </c>
      <c r="BU11" s="43">
        <f t="shared" si="3"/>
        <v>0</v>
      </c>
      <c r="BV11" s="43">
        <f t="shared" si="4"/>
        <v>0</v>
      </c>
      <c r="BW11" s="43">
        <f t="shared" si="5"/>
        <v>0</v>
      </c>
      <c r="BX11" s="43">
        <f t="shared" si="6"/>
        <v>0</v>
      </c>
      <c r="BY11" s="43">
        <f t="shared" si="7"/>
        <v>0</v>
      </c>
      <c r="BZ11" s="43">
        <f t="shared" si="8"/>
        <v>0</v>
      </c>
      <c r="CA11" s="43">
        <f t="shared" si="9"/>
        <v>0.125</v>
      </c>
      <c r="CB11" s="43">
        <f t="shared" si="10"/>
        <v>0.25</v>
      </c>
      <c r="CC11" s="43">
        <f t="shared" si="11"/>
        <v>0.375</v>
      </c>
      <c r="CD11" s="43">
        <f t="shared" si="12"/>
        <v>0.5</v>
      </c>
      <c r="CE11" s="43">
        <f t="shared" si="13"/>
        <v>0.625</v>
      </c>
      <c r="CF11" s="43">
        <f t="shared" si="14"/>
        <v>0.75</v>
      </c>
      <c r="CG11" s="43">
        <f t="shared" si="20"/>
        <v>0</v>
      </c>
      <c r="CH11" s="43">
        <f t="shared" si="15"/>
        <v>0.875</v>
      </c>
      <c r="CI11" s="43">
        <f t="shared" si="16"/>
        <v>1</v>
      </c>
      <c r="CJ11" s="239">
        <f t="shared" si="17"/>
        <v>160060.38764167234</v>
      </c>
      <c r="CK11" s="239">
        <f t="shared" si="18"/>
        <v>63259.152056213425</v>
      </c>
      <c r="CL11" s="239">
        <f t="shared" si="19"/>
        <v>60433.15153822492</v>
      </c>
    </row>
    <row r="12" spans="1:90" ht="12.75" customHeight="1" thickBot="1" x14ac:dyDescent="0.3">
      <c r="A12" s="479"/>
      <c r="B12" s="10" t="s">
        <v>14</v>
      </c>
      <c r="C12" s="11">
        <v>17</v>
      </c>
      <c r="D12" s="161">
        <v>793536.7407842034</v>
      </c>
      <c r="E12" s="151"/>
      <c r="F12" s="162">
        <v>403574.94180041947</v>
      </c>
      <c r="G12" s="87">
        <v>9410.98</v>
      </c>
      <c r="H12" s="96"/>
      <c r="I12" s="127"/>
      <c r="J12" s="96"/>
      <c r="K12" s="89">
        <v>24691.65</v>
      </c>
      <c r="L12" s="97"/>
      <c r="M12" s="153"/>
      <c r="N12" s="98"/>
      <c r="O12" s="92">
        <v>28613.58</v>
      </c>
      <c r="P12" s="99"/>
      <c r="Q12" s="94"/>
      <c r="R12" s="99"/>
      <c r="S12" s="84">
        <v>29705.16</v>
      </c>
      <c r="T12" s="114"/>
      <c r="U12" s="154"/>
      <c r="V12" s="35"/>
      <c r="W12" s="58">
        <v>29915.59</v>
      </c>
      <c r="X12" s="58">
        <v>0</v>
      </c>
      <c r="Y12" s="58"/>
      <c r="Z12" s="64"/>
      <c r="AA12" s="70">
        <v>33499.410000000003</v>
      </c>
      <c r="AB12" s="156">
        <v>0</v>
      </c>
      <c r="AC12" s="157"/>
      <c r="AD12" s="65"/>
      <c r="AE12" s="63">
        <v>27239.34</v>
      </c>
      <c r="AF12" s="63">
        <v>0</v>
      </c>
      <c r="AG12" s="158"/>
      <c r="AH12" s="66"/>
      <c r="AI12" s="84">
        <v>771.99</v>
      </c>
      <c r="AJ12" s="154">
        <v>0</v>
      </c>
      <c r="AK12" s="154"/>
      <c r="AL12" s="35"/>
      <c r="AM12" s="49">
        <v>0</v>
      </c>
      <c r="AN12" s="49">
        <v>0</v>
      </c>
      <c r="AO12" s="49"/>
      <c r="AP12" s="51"/>
      <c r="AQ12" s="159">
        <v>0</v>
      </c>
      <c r="AR12" s="199">
        <v>0</v>
      </c>
      <c r="AS12" s="199"/>
      <c r="AT12" s="199"/>
      <c r="AU12" s="211">
        <v>0</v>
      </c>
      <c r="AV12" s="211">
        <v>0</v>
      </c>
      <c r="AW12" s="211"/>
      <c r="AX12" s="211"/>
      <c r="AY12" s="130">
        <v>0</v>
      </c>
      <c r="AZ12" s="130">
        <v>0</v>
      </c>
      <c r="BA12" s="130"/>
      <c r="BB12" s="130"/>
      <c r="BC12" s="144">
        <v>0</v>
      </c>
      <c r="BD12" s="144"/>
      <c r="BE12" s="137"/>
      <c r="BF12" s="137"/>
      <c r="BG12" s="253"/>
      <c r="BH12" s="253"/>
      <c r="BI12" s="253"/>
      <c r="BJ12" s="227">
        <v>36106.51</v>
      </c>
      <c r="BK12" s="227"/>
      <c r="BL12" s="227"/>
      <c r="BM12" s="227"/>
      <c r="BN12" s="234">
        <v>0</v>
      </c>
      <c r="BO12" s="234"/>
      <c r="BP12" s="234"/>
      <c r="BQ12" s="234"/>
      <c r="BR12" s="26">
        <f t="shared" si="0"/>
        <v>1992.645817714536</v>
      </c>
      <c r="BS12" s="43">
        <f t="shared" si="1"/>
        <v>0</v>
      </c>
      <c r="BT12" s="43">
        <f t="shared" si="2"/>
        <v>0.17647058823529416</v>
      </c>
      <c r="BU12" s="43">
        <f t="shared" si="3"/>
        <v>0.23529411764705888</v>
      </c>
      <c r="BV12" s="43">
        <f t="shared" si="4"/>
        <v>0.29411764705882348</v>
      </c>
      <c r="BW12" s="43">
        <f t="shared" si="5"/>
        <v>0.3529411764705882</v>
      </c>
      <c r="BX12" s="44">
        <f t="shared" si="6"/>
        <v>0.41176470588235292</v>
      </c>
      <c r="BY12" s="43">
        <f t="shared" si="7"/>
        <v>0.47058823529411764</v>
      </c>
      <c r="BZ12" s="43">
        <f t="shared" si="8"/>
        <v>0.52941176470588236</v>
      </c>
      <c r="CA12" s="43">
        <f t="shared" si="9"/>
        <v>0.58823529411764708</v>
      </c>
      <c r="CB12" s="43">
        <f t="shared" si="10"/>
        <v>0.64705882352941169</v>
      </c>
      <c r="CC12" s="43">
        <f t="shared" si="11"/>
        <v>0.70588235294117641</v>
      </c>
      <c r="CD12" s="43">
        <f t="shared" si="12"/>
        <v>0.76470588235294112</v>
      </c>
      <c r="CE12" s="43">
        <f t="shared" si="13"/>
        <v>0.82352941176470584</v>
      </c>
      <c r="CF12" s="43">
        <f t="shared" si="14"/>
        <v>0.88235294117647056</v>
      </c>
      <c r="CG12" s="43">
        <f t="shared" si="20"/>
        <v>0</v>
      </c>
      <c r="CH12" s="43">
        <f t="shared" si="15"/>
        <v>0.94117647058823528</v>
      </c>
      <c r="CI12" s="43">
        <f t="shared" si="16"/>
        <v>1</v>
      </c>
      <c r="CJ12" s="239">
        <f t="shared" si="17"/>
        <v>967295.55713017168</v>
      </c>
      <c r="CK12" s="239">
        <f t="shared" si="18"/>
        <v>790671.58584597427</v>
      </c>
      <c r="CL12" s="239">
        <f t="shared" si="19"/>
        <v>87506.145815142474</v>
      </c>
    </row>
    <row r="13" spans="1:90" ht="12.75" customHeight="1" thickBot="1" x14ac:dyDescent="0.35">
      <c r="A13" s="480"/>
      <c r="B13" s="13" t="s">
        <v>15</v>
      </c>
      <c r="C13" s="14"/>
      <c r="D13" s="38">
        <v>7366442.9851119583</v>
      </c>
      <c r="E13" s="38"/>
      <c r="F13" s="38">
        <v>3156823.1414713804</v>
      </c>
      <c r="G13" s="67">
        <v>266106.52899199998</v>
      </c>
      <c r="H13" s="67">
        <v>0</v>
      </c>
      <c r="I13" s="67"/>
      <c r="J13" s="67"/>
      <c r="K13" s="116">
        <v>107260.34</v>
      </c>
      <c r="L13" s="116">
        <v>0</v>
      </c>
      <c r="M13" s="116"/>
      <c r="N13" s="116"/>
      <c r="O13" s="68">
        <v>170017.04106100003</v>
      </c>
      <c r="P13" s="68">
        <v>0</v>
      </c>
      <c r="Q13" s="68"/>
      <c r="R13" s="68"/>
      <c r="S13" s="163">
        <v>141552.63</v>
      </c>
      <c r="T13" s="164">
        <v>0</v>
      </c>
      <c r="U13" s="164"/>
      <c r="V13" s="165"/>
      <c r="W13" s="67">
        <v>334246.14000000007</v>
      </c>
      <c r="X13" s="67">
        <v>0</v>
      </c>
      <c r="Y13" s="67"/>
      <c r="Z13" s="67"/>
      <c r="AA13" s="116">
        <v>167868.13</v>
      </c>
      <c r="AB13" s="116">
        <v>0</v>
      </c>
      <c r="AC13" s="116"/>
      <c r="AD13" s="116"/>
      <c r="AE13" s="68">
        <v>132511.28</v>
      </c>
      <c r="AF13" s="68">
        <v>0</v>
      </c>
      <c r="AG13" s="68"/>
      <c r="AH13" s="117"/>
      <c r="AI13" s="163">
        <v>323314.10387699993</v>
      </c>
      <c r="AJ13" s="164">
        <v>0</v>
      </c>
      <c r="AK13" s="164"/>
      <c r="AL13" s="165"/>
      <c r="AM13" s="52">
        <v>91335.93</v>
      </c>
      <c r="AN13" s="189">
        <v>0</v>
      </c>
      <c r="AO13" s="118"/>
      <c r="AP13" s="119"/>
      <c r="AQ13" s="206">
        <v>243514.73</v>
      </c>
      <c r="AR13" s="200">
        <v>0</v>
      </c>
      <c r="AS13" s="200"/>
      <c r="AT13" s="200"/>
      <c r="AU13" s="212">
        <v>0</v>
      </c>
      <c r="AV13" s="212">
        <v>0</v>
      </c>
      <c r="AW13" s="212"/>
      <c r="AX13" s="212"/>
      <c r="AY13" s="131">
        <v>56420.78</v>
      </c>
      <c r="AZ13" s="131">
        <v>0</v>
      </c>
      <c r="BA13" s="131"/>
      <c r="BB13" s="131"/>
      <c r="BC13" s="145">
        <f>+SUM(BC5:BC12)</f>
        <v>1275811.54</v>
      </c>
      <c r="BD13" s="138"/>
      <c r="BE13" s="138"/>
      <c r="BF13" s="138"/>
      <c r="BG13" s="254">
        <f t="shared" ref="BG13:BO13" si="21">+SUM(BG5:BG12)</f>
        <v>940000</v>
      </c>
      <c r="BH13" s="254">
        <f t="shared" si="21"/>
        <v>0</v>
      </c>
      <c r="BI13" s="254">
        <f t="shared" si="21"/>
        <v>940000</v>
      </c>
      <c r="BJ13" s="228">
        <f t="shared" si="21"/>
        <v>917175.86</v>
      </c>
      <c r="BK13" s="228">
        <f t="shared" si="21"/>
        <v>0</v>
      </c>
      <c r="BL13" s="228"/>
      <c r="BM13" s="228"/>
      <c r="BN13" s="235">
        <f t="shared" si="21"/>
        <v>1105575.6700000002</v>
      </c>
      <c r="BO13" s="235">
        <f t="shared" si="21"/>
        <v>0</v>
      </c>
      <c r="BP13" s="235"/>
      <c r="BQ13" s="23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240">
        <f>SUM(CJ5:CJ12)</f>
        <v>12904048.580460407</v>
      </c>
      <c r="CK13" s="240">
        <f>SUM(CK5:CK12)</f>
        <v>7386228.3255168367</v>
      </c>
      <c r="CL13" s="240">
        <f>SUM(CL5:CL12)</f>
        <v>3845978.9206307461</v>
      </c>
    </row>
    <row r="14" spans="1:90" ht="12.75" customHeight="1" x14ac:dyDescent="0.35">
      <c r="A14" s="6"/>
      <c r="B14" s="4" t="s">
        <v>18</v>
      </c>
      <c r="C14" s="15"/>
      <c r="D14" s="40">
        <v>0</v>
      </c>
      <c r="E14" s="195"/>
      <c r="F14" s="77">
        <v>0</v>
      </c>
      <c r="G14" s="104"/>
      <c r="H14" s="104"/>
      <c r="I14" s="104"/>
      <c r="J14" s="104"/>
      <c r="K14" s="105"/>
      <c r="L14" s="106">
        <v>0</v>
      </c>
      <c r="M14" s="106"/>
      <c r="N14" s="105"/>
      <c r="O14" s="107"/>
      <c r="P14" s="107"/>
      <c r="Q14" s="107"/>
      <c r="R14" s="107"/>
      <c r="S14" s="168"/>
      <c r="T14" s="168"/>
      <c r="U14" s="169"/>
      <c r="V14" s="170"/>
      <c r="W14" s="73"/>
      <c r="X14" s="73"/>
      <c r="Y14" s="74"/>
      <c r="Z14" s="73"/>
      <c r="AA14" s="75"/>
      <c r="AB14" s="75"/>
      <c r="AC14" s="171"/>
      <c r="AD14" s="75"/>
      <c r="AE14" s="50"/>
      <c r="AF14" s="50"/>
      <c r="AG14" s="53"/>
      <c r="AH14" s="50"/>
      <c r="AI14" s="169"/>
      <c r="AJ14" s="170"/>
      <c r="AK14" s="170"/>
      <c r="AL14" s="170"/>
      <c r="AM14" s="190">
        <v>0</v>
      </c>
      <c r="AN14" s="85">
        <v>0</v>
      </c>
      <c r="AO14" s="85"/>
      <c r="AP14" s="86"/>
      <c r="AQ14" s="207">
        <v>0</v>
      </c>
      <c r="AR14" s="202">
        <v>0</v>
      </c>
      <c r="AS14" s="202"/>
      <c r="AT14" s="202"/>
      <c r="AU14" s="218">
        <v>0</v>
      </c>
      <c r="AV14" s="214">
        <v>0</v>
      </c>
      <c r="AW14" s="214"/>
      <c r="AX14" s="219"/>
      <c r="AY14" s="128">
        <v>0</v>
      </c>
      <c r="AZ14" s="128">
        <v>0</v>
      </c>
      <c r="BA14" s="128"/>
      <c r="BB14" s="128"/>
      <c r="BC14" s="147"/>
      <c r="BD14" s="143"/>
      <c r="BE14" s="143"/>
      <c r="BF14" s="143"/>
      <c r="BG14" s="252"/>
      <c r="BH14" s="252"/>
      <c r="BI14" s="252"/>
      <c r="BJ14" s="226"/>
      <c r="BK14" s="226"/>
      <c r="BL14" s="226"/>
      <c r="BM14" s="226"/>
      <c r="BN14" s="233"/>
      <c r="BO14" s="233"/>
      <c r="BP14" s="233"/>
      <c r="BQ14" s="233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241"/>
      <c r="CK14" s="241"/>
      <c r="CL14" s="241"/>
    </row>
    <row r="15" spans="1:90" ht="12.75" customHeight="1" x14ac:dyDescent="0.25">
      <c r="A15" s="6"/>
      <c r="B15" s="3" t="s">
        <v>95</v>
      </c>
      <c r="C15" s="7">
        <v>30</v>
      </c>
      <c r="D15" s="37">
        <v>0</v>
      </c>
      <c r="E15" s="151"/>
      <c r="F15" s="152">
        <v>0</v>
      </c>
      <c r="G15" s="87">
        <v>0</v>
      </c>
      <c r="H15" s="88"/>
      <c r="I15" s="127"/>
      <c r="J15" s="88"/>
      <c r="K15" s="89">
        <v>0</v>
      </c>
      <c r="L15" s="90">
        <v>0</v>
      </c>
      <c r="M15" s="153"/>
      <c r="N15" s="91"/>
      <c r="O15" s="95">
        <v>0</v>
      </c>
      <c r="P15" s="93"/>
      <c r="Q15" s="94"/>
      <c r="R15" s="93"/>
      <c r="S15" s="154">
        <v>0</v>
      </c>
      <c r="T15" s="114"/>
      <c r="U15" s="154"/>
      <c r="V15" s="155"/>
      <c r="W15" s="58">
        <v>0</v>
      </c>
      <c r="X15" s="58">
        <v>0</v>
      </c>
      <c r="Y15" s="58"/>
      <c r="Z15" s="59"/>
      <c r="AA15" s="76">
        <v>0</v>
      </c>
      <c r="AB15" s="156">
        <v>0</v>
      </c>
      <c r="AC15" s="157"/>
      <c r="AD15" s="61"/>
      <c r="AE15" s="63">
        <v>0</v>
      </c>
      <c r="AF15" s="63">
        <v>0</v>
      </c>
      <c r="AG15" s="158"/>
      <c r="AH15" s="62"/>
      <c r="AI15" s="154">
        <v>0</v>
      </c>
      <c r="AJ15" s="154">
        <v>0</v>
      </c>
      <c r="AK15" s="154"/>
      <c r="AL15" s="155"/>
      <c r="AM15" s="49">
        <v>0</v>
      </c>
      <c r="AN15" s="49">
        <v>0</v>
      </c>
      <c r="AO15" s="49"/>
      <c r="AP15" s="50"/>
      <c r="AQ15" s="159">
        <v>0</v>
      </c>
      <c r="AR15" s="198">
        <v>0</v>
      </c>
      <c r="AS15" s="198"/>
      <c r="AT15" s="198"/>
      <c r="AU15" s="210">
        <v>0</v>
      </c>
      <c r="AV15" s="210">
        <v>0</v>
      </c>
      <c r="AW15" s="210"/>
      <c r="AX15" s="210"/>
      <c r="AY15" s="129">
        <v>0</v>
      </c>
      <c r="AZ15" s="129">
        <v>0</v>
      </c>
      <c r="BA15" s="129"/>
      <c r="BB15" s="129"/>
      <c r="BC15" s="146">
        <v>0</v>
      </c>
      <c r="BD15" s="136"/>
      <c r="BE15" s="136"/>
      <c r="BF15" s="136"/>
      <c r="BG15" s="252"/>
      <c r="BH15" s="252"/>
      <c r="BI15" s="252"/>
      <c r="BJ15" s="226">
        <v>0</v>
      </c>
      <c r="BK15" s="226"/>
      <c r="BL15" s="226"/>
      <c r="BM15" s="226"/>
      <c r="BN15" s="233">
        <v>2482078.3499999996</v>
      </c>
      <c r="BO15" s="233"/>
      <c r="BP15" s="233"/>
      <c r="BQ15" s="233"/>
      <c r="BR15" s="26">
        <f>IF(D15=0,0,2001-(D15-F15)*C15/D15)</f>
        <v>0</v>
      </c>
      <c r="BS15" s="43">
        <f>IF((1-($CJ$2-$BR15)/$C15)&gt;0,(1-($CJ$2-$BR15)/$C15),0)</f>
        <v>0</v>
      </c>
      <c r="BT15" s="43">
        <f>IF((1-($CJ$2-G$2)/$C15)&gt;0,(1-($CJ$2-G$2)/$C15),0)</f>
        <v>0.53333333333333333</v>
      </c>
      <c r="BU15" s="43">
        <f>IF((1-($CJ$2-K$2)/$C15)&gt;0,(1-($CJ$2-K$2)/$C15),0)</f>
        <v>0.56666666666666665</v>
      </c>
      <c r="BV15" s="43">
        <f>IF((1-($CJ$2-O$2)/$C15)&gt;0,(1-($CJ$2-O$2)/$C15),0)</f>
        <v>0.6</v>
      </c>
      <c r="BW15" s="43">
        <f>IF((1-($CJ$2-S$2)/$C15)&gt;0,(1-($CJ$2-S$2)/$C15),0)</f>
        <v>0.6333333333333333</v>
      </c>
      <c r="BX15" s="43">
        <f>IF((1-($CJ$2-W$2)/$C15)&gt;0,(1-($CJ$2-W$2)/$C15),0)</f>
        <v>0.66666666666666674</v>
      </c>
      <c r="BY15" s="43">
        <f>IF((1-($CJ$2-AA$2)/$C15)&gt;0,(1-($CJ$2-AA$2)/$C15),0)</f>
        <v>0.7</v>
      </c>
      <c r="BZ15" s="43">
        <f>IF((1-($CJ$2-AE$2)/$C15)&gt;0,(1-($CJ$2-AE$2)/$C15),0)</f>
        <v>0.73333333333333339</v>
      </c>
      <c r="CA15" s="43">
        <f>IF((1-($CJ$2-AI$2)/$C15)&gt;0,(1-($CJ$2-AI$2)/$C15),0)</f>
        <v>0.76666666666666661</v>
      </c>
      <c r="CB15" s="43">
        <f>IF((1-($CJ$2-AM$2)/$C15)&gt;0,(1-($CJ$2-AM$2)/$C15),0)</f>
        <v>0.8</v>
      </c>
      <c r="CC15" s="43">
        <f>IF((1-($CJ$2-AQ$2)/$C15)&gt;0,(1-($CJ$2-AQ$2)/$C15),0)</f>
        <v>0.83333333333333337</v>
      </c>
      <c r="CD15" s="43">
        <f>IF((1-($CJ$2-AU$2)/$C15)&gt;0,(1-($CJ$2-AU$2)/$C15),0)</f>
        <v>0.8666666666666667</v>
      </c>
      <c r="CE15" s="43">
        <f>IF((1-($CJ$2-AY$2)/$C15)&gt;0,(1-($CJ$2-AY$2)/$C15),0)</f>
        <v>0.9</v>
      </c>
      <c r="CF15" s="43">
        <f>IF((1-($CJ$2-BC$2)/$C15)&gt;0,(1-($CJ$2-BC$2)/$C15),0)</f>
        <v>0.93333333333333335</v>
      </c>
      <c r="CG15" s="43">
        <f>IF(BG15=0,0,1-($CJ$2-(2014.5-(BG15-BI15)*C15/BG15))/C15)</f>
        <v>0</v>
      </c>
      <c r="CH15" s="43">
        <f>IF((1-($CJ$2-BJ$2)/$C15)&gt;0,(1-($CJ$2-BJ$2)/$C15),0)</f>
        <v>0.96666666666666667</v>
      </c>
      <c r="CI15" s="43">
        <f>IF((1-($CJ$2-BN$2)/$C15)&gt;0,(1-($CJ$2-BN$2)/$C15),0)</f>
        <v>1</v>
      </c>
      <c r="CJ15" s="239">
        <f>D15-E15+(G15-I15)*G$61+(K15-M15)*K$61+(O15-Q15)*O$61+(S15-U15)*S$61+(W15-Y15)*W$61+(AA15-AC15)*AA$61+(AE15-AG15)*AE$61+(AI15-AK15)*AI$61+(AM15-AO15)*AM$61+(AQ15-AS15)*$AQ$61+(AU15-AW15)*$AU$61+(AY15-BA15)*$AY$61+(BC15-BE15)*$BC$61+(BJ15-BL15)*$BJ$61+BG15+(BN15-BP15)*$BN$61</f>
        <v>2170367.98068809</v>
      </c>
      <c r="CK15" s="239">
        <f>CJ15-(IF(BS15=0,0,D15-E15)+IF(BT15=0,0,(G15-I15)*G$61)+IF(BU15=0,0,(K15-M15)*K$61)+IF(BV15=0,0,(O15-Q15)*O$61)+IF(BW15=0,0,(S15-U15)*S$61)+IF(BX15=0,0,(W15-Y15)*W$61)+IF(BY15=0,0,(AA15-AC15)*AA$61)+IF(BZ15=0,0,(AE15-AG15)*AE$61)+IF(CA15=0,0,(AI15-AK15)*AI$61)+IF(CB15=0,0,(AM15-AO15)*AM$61)+IF(CC15=0,0,(AQ15-AS15)*$AQ$61)+IF(CD15=0,0,(AU15-AW15)*$AU$61)+IF(CE15=0,0,(AY15-BA15)*$AY$61)++IF(CF15=0,0,(BC15-BE15)*$BC$61)+IF(CH15=0,0,(BJ15-BL15)*$BC$61)+IF(CG15=0,0,BG15)+IF(CI15=0,0,(BN15-BP15)*$BC$61))</f>
        <v>117955.05387782352</v>
      </c>
      <c r="CL15" s="239">
        <f>(D15-E15)*BS15+((G15-H15-(I15-J15))*G$61)*BT15+((K15-L15-(M15-N15))*K$61)*BU15+((O15-P15-(Q15-R15))*O$61)*BV15+((S15-T15-(U15-V15))*S$61)*BW15+((W15-X15-(Y15-Z15))*W$61)*BX15+((AA15-AB15-(AC15-AD15))*AA$61)*BY15+((AE15-AF15-(AG15-AH15))*AE$61)*BZ15+((AI15-AJ15-(AK15-AL15))*AI$61)*CA15+((AM15-AN15-(AO15-AP15))*$AM$61)*CB15+((AQ15-AR15-(AS15-AT15))*$AQ$61)*CC15+((AU15-AV15-(AW15-AX15))*$AU$61)*CD15+((AY15-AZ15-(BA15-BB15))*$AY$61)*CE15+((BC15-BD15-(BF15-BR15))*$BC$61)*CF15+((BJ15-BK15-(BL15-BM15))*$BC$61)*CH15+(BG15-BH15)*CG15+((BN15-BO15-(BP15-BQ15))*$BC$61)*CI15</f>
        <v>2052412.9268102665</v>
      </c>
    </row>
    <row r="16" spans="1:90" ht="12.75" customHeight="1" x14ac:dyDescent="0.25">
      <c r="A16" s="6"/>
      <c r="B16" s="3" t="s">
        <v>96</v>
      </c>
      <c r="C16" s="7">
        <v>30</v>
      </c>
      <c r="D16" s="37">
        <v>0</v>
      </c>
      <c r="E16" s="151"/>
      <c r="F16" s="152">
        <v>0</v>
      </c>
      <c r="G16" s="87">
        <v>0</v>
      </c>
      <c r="H16" s="88"/>
      <c r="I16" s="127"/>
      <c r="J16" s="88"/>
      <c r="K16" s="89">
        <v>0</v>
      </c>
      <c r="L16" s="90">
        <v>0</v>
      </c>
      <c r="M16" s="153"/>
      <c r="N16" s="91"/>
      <c r="O16" s="95">
        <v>0</v>
      </c>
      <c r="P16" s="93"/>
      <c r="Q16" s="94"/>
      <c r="R16" s="93"/>
      <c r="S16" s="154">
        <v>0</v>
      </c>
      <c r="T16" s="114"/>
      <c r="U16" s="154"/>
      <c r="V16" s="155"/>
      <c r="W16" s="58">
        <v>0</v>
      </c>
      <c r="X16" s="58">
        <v>0</v>
      </c>
      <c r="Y16" s="58"/>
      <c r="Z16" s="59"/>
      <c r="AA16" s="76">
        <v>0</v>
      </c>
      <c r="AB16" s="156">
        <v>0</v>
      </c>
      <c r="AC16" s="157"/>
      <c r="AD16" s="61"/>
      <c r="AE16" s="63">
        <v>0</v>
      </c>
      <c r="AF16" s="63">
        <v>0</v>
      </c>
      <c r="AG16" s="158"/>
      <c r="AH16" s="62"/>
      <c r="AI16" s="154">
        <v>0</v>
      </c>
      <c r="AJ16" s="154">
        <v>0</v>
      </c>
      <c r="AK16" s="154"/>
      <c r="AL16" s="155"/>
      <c r="AM16" s="49">
        <v>0</v>
      </c>
      <c r="AN16" s="49">
        <v>0</v>
      </c>
      <c r="AO16" s="49"/>
      <c r="AP16" s="50"/>
      <c r="AQ16" s="159">
        <v>0</v>
      </c>
      <c r="AR16" s="198">
        <v>0</v>
      </c>
      <c r="AS16" s="198"/>
      <c r="AT16" s="198"/>
      <c r="AU16" s="210">
        <v>0</v>
      </c>
      <c r="AV16" s="210">
        <v>0</v>
      </c>
      <c r="AW16" s="210"/>
      <c r="AX16" s="210"/>
      <c r="AY16" s="129">
        <v>0</v>
      </c>
      <c r="AZ16" s="129">
        <v>0</v>
      </c>
      <c r="BA16" s="129"/>
      <c r="BB16" s="129"/>
      <c r="BC16" s="146">
        <v>0</v>
      </c>
      <c r="BD16" s="136"/>
      <c r="BE16" s="136"/>
      <c r="BF16" s="136"/>
      <c r="BG16" s="252"/>
      <c r="BH16" s="252"/>
      <c r="BI16" s="252"/>
      <c r="BJ16" s="226">
        <v>0</v>
      </c>
      <c r="BK16" s="226"/>
      <c r="BL16" s="226"/>
      <c r="BM16" s="226"/>
      <c r="BN16" s="233">
        <v>2388601.21</v>
      </c>
      <c r="BO16" s="233"/>
      <c r="BP16" s="233"/>
      <c r="BQ16" s="233"/>
      <c r="BR16" s="26">
        <f>IF(D16=0,0,2001-(D16-F16)*C16/D16)</f>
        <v>0</v>
      </c>
      <c r="BS16" s="43">
        <f>IF((1-($CJ$2-$BR16)/$C16)&gt;0,(1-($CJ$2-$BR16)/$C16),0)</f>
        <v>0</v>
      </c>
      <c r="BT16" s="43">
        <f>IF((1-($CJ$2-G$2)/$C16)&gt;0,(1-($CJ$2-G$2)/$C16),0)</f>
        <v>0.53333333333333333</v>
      </c>
      <c r="BU16" s="43">
        <f>IF((1-($CJ$2-K$2)/$C16)&gt;0,(1-($CJ$2-K$2)/$C16),0)</f>
        <v>0.56666666666666665</v>
      </c>
      <c r="BV16" s="43">
        <f>IF((1-($CJ$2-O$2)/$C16)&gt;0,(1-($CJ$2-O$2)/$C16),0)</f>
        <v>0.6</v>
      </c>
      <c r="BW16" s="43">
        <f>IF((1-($CJ$2-S$2)/$C16)&gt;0,(1-($CJ$2-S$2)/$C16),0)</f>
        <v>0.6333333333333333</v>
      </c>
      <c r="BX16" s="43">
        <f>IF((1-($CJ$2-W$2)/$C16)&gt;0,(1-($CJ$2-W$2)/$C16),0)</f>
        <v>0.66666666666666674</v>
      </c>
      <c r="BY16" s="43">
        <f>IF((1-($CJ$2-AA$2)/$C16)&gt;0,(1-($CJ$2-AA$2)/$C16),0)</f>
        <v>0.7</v>
      </c>
      <c r="BZ16" s="43">
        <f>IF((1-($CJ$2-AE$2)/$C16)&gt;0,(1-($CJ$2-AE$2)/$C16),0)</f>
        <v>0.73333333333333339</v>
      </c>
      <c r="CA16" s="43">
        <f>IF((1-($CJ$2-AI$2)/$C16)&gt;0,(1-($CJ$2-AI$2)/$C16),0)</f>
        <v>0.76666666666666661</v>
      </c>
      <c r="CB16" s="43">
        <f>IF((1-($CJ$2-AM$2)/$C16)&gt;0,(1-($CJ$2-AM$2)/$C16),0)</f>
        <v>0.8</v>
      </c>
      <c r="CC16" s="43">
        <f>IF((1-($CJ$2-AQ$2)/$C16)&gt;0,(1-($CJ$2-AQ$2)/$C16),0)</f>
        <v>0.83333333333333337</v>
      </c>
      <c r="CD16" s="43">
        <f>IF((1-($CJ$2-AU$2)/$C16)&gt;0,(1-($CJ$2-AU$2)/$C16),0)</f>
        <v>0.8666666666666667</v>
      </c>
      <c r="CE16" s="43">
        <f>IF((1-($CJ$2-AY$2)/$C16)&gt;0,(1-($CJ$2-AY$2)/$C16),0)</f>
        <v>0.9</v>
      </c>
      <c r="CF16" s="43">
        <f>IF((1-($CJ$2-BC$2)/$C16)&gt;0,(1-($CJ$2-BC$2)/$C16),0)</f>
        <v>0.93333333333333335</v>
      </c>
      <c r="CG16" s="43">
        <f>IF(BG16=0,0,1-($CJ$2-(2014.5-(BG16-BI16)*C16/BG16))/C16)</f>
        <v>0</v>
      </c>
      <c r="CH16" s="43">
        <f>IF((1-($CJ$2-BJ$2)/$C16)&gt;0,(1-($CJ$2-BJ$2)/$C16),0)</f>
        <v>0.96666666666666667</v>
      </c>
      <c r="CI16" s="43">
        <f>IF((1-($CJ$2-BN$2)/$C16)&gt;0,(1-($CJ$2-BN$2)/$C16),0)</f>
        <v>1</v>
      </c>
      <c r="CJ16" s="239">
        <f>D16-E16+(G16-I16)*G$61+(K16-M16)*K$61+(O16-Q16)*O$61+(S16-U16)*S$61+(W16-Y16)*W$61+(AA16-AC16)*AA$61+(AE16-AG16)*AE$61+(AI16-AK16)*AI$61+(AM16-AO16)*AM$61+(AQ16-AS16)*$AQ$61+(AU16-AW16)*$AU$61+(AY16-BA16)*$AY$61+(BC16-BE16)*$BC$61+(BJ16-BL16)*$BJ$61+BG16+(BN16-BP16)*$BN$61</f>
        <v>2088630.1130731143</v>
      </c>
      <c r="CK16" s="239">
        <f>CJ16-(IF(BS16=0,0,D16-E16)+IF(BT16=0,0,(G16-I16)*G$61)+IF(BU16=0,0,(K16-M16)*K$61)+IF(BV16=0,0,(O16-Q16)*O$61)+IF(BW16=0,0,(S16-U16)*S$61)+IF(BX16=0,0,(W16-Y16)*W$61)+IF(BY16=0,0,(AA16-AC16)*AA$61)+IF(BZ16=0,0,(AE16-AG16)*AE$61)+IF(CA16=0,0,(AI16-AK16)*AI$61)+IF(CB16=0,0,(AM16-AO16)*AM$61)+IF(CC16=0,0,(AQ16-AS16)*$AQ$61)+IF(CD16=0,0,(AU16-AW16)*$AU$61)+IF(CE16=0,0,(AY16-BA16)*$AY$61)++IF(CF16=0,0,(BC16-BE16)*$BC$61)+IF(CH16=0,0,(BJ16-BL16)*$BC$61)+IF(CG16=0,0,BG16)+IF(CI16=0,0,(BN16-BP16)*$BC$61))</f>
        <v>113512.76820821734</v>
      </c>
      <c r="CL16" s="239">
        <f>(D16-E16)*BS16+((G16-H16-(I16-J16))*G$61)*BT16+((K16-L16-(M16-N16))*K$61)*BU16+((O16-P16-(Q16-R16))*O$61)*BV16+((S16-T16-(U16-V16))*S$61)*BW16+((W16-X16-(Y16-Z16))*W$61)*BX16+((AA16-AB16-(AC16-AD16))*AA$61)*BY16+((AE16-AF16-(AG16-AH16))*AE$61)*BZ16+((AI16-AJ16-(AK16-AL16))*AI$61)*CA16+((AM16-AN16-(AO16-AP16))*$AM$61)*CB16+((AQ16-AR16-(AS16-AT16))*$AQ$61)*CC16+((AU16-AV16-(AW16-AX16))*$AU$61)*CD16+((AY16-AZ16-(BA16-BB16))*$AY$61)*CE16+((BC16-BD16-(BF16-BR16))*$BC$61)*CF16+((BJ16-BK16-(BL16-BM16))*$BC$61)*CH16+(BG16-BH16)*CG16+((BN16-BO16-(BP16-BQ16))*$BC$61)*CI16</f>
        <v>1975117.344864897</v>
      </c>
    </row>
    <row r="17" spans="1:93" ht="12.75" customHeight="1" x14ac:dyDescent="0.25">
      <c r="A17" s="6"/>
      <c r="B17" s="3" t="s">
        <v>97</v>
      </c>
      <c r="C17" s="7">
        <v>30</v>
      </c>
      <c r="D17" s="37">
        <v>0</v>
      </c>
      <c r="E17" s="151"/>
      <c r="F17" s="152">
        <v>0</v>
      </c>
      <c r="G17" s="87">
        <v>0</v>
      </c>
      <c r="H17" s="88"/>
      <c r="I17" s="127"/>
      <c r="J17" s="88"/>
      <c r="K17" s="89">
        <v>0</v>
      </c>
      <c r="L17" s="90">
        <v>0</v>
      </c>
      <c r="M17" s="153"/>
      <c r="N17" s="91"/>
      <c r="O17" s="95">
        <v>0</v>
      </c>
      <c r="P17" s="93"/>
      <c r="Q17" s="94"/>
      <c r="R17" s="93"/>
      <c r="S17" s="154">
        <v>0</v>
      </c>
      <c r="T17" s="114"/>
      <c r="U17" s="154"/>
      <c r="V17" s="155"/>
      <c r="W17" s="58">
        <v>0</v>
      </c>
      <c r="X17" s="58">
        <v>0</v>
      </c>
      <c r="Y17" s="58"/>
      <c r="Z17" s="59"/>
      <c r="AA17" s="76">
        <v>0</v>
      </c>
      <c r="AB17" s="156">
        <v>0</v>
      </c>
      <c r="AC17" s="157"/>
      <c r="AD17" s="61"/>
      <c r="AE17" s="63">
        <v>0</v>
      </c>
      <c r="AF17" s="63">
        <v>0</v>
      </c>
      <c r="AG17" s="158"/>
      <c r="AH17" s="62"/>
      <c r="AI17" s="154">
        <v>0</v>
      </c>
      <c r="AJ17" s="154">
        <v>0</v>
      </c>
      <c r="AK17" s="154"/>
      <c r="AL17" s="155"/>
      <c r="AM17" s="49">
        <v>0</v>
      </c>
      <c r="AN17" s="49">
        <v>0</v>
      </c>
      <c r="AO17" s="49"/>
      <c r="AP17" s="50"/>
      <c r="AQ17" s="159">
        <v>0</v>
      </c>
      <c r="AR17" s="198">
        <v>0</v>
      </c>
      <c r="AS17" s="198"/>
      <c r="AT17" s="198"/>
      <c r="AU17" s="210">
        <v>0</v>
      </c>
      <c r="AV17" s="210">
        <v>0</v>
      </c>
      <c r="AW17" s="210"/>
      <c r="AX17" s="210"/>
      <c r="AY17" s="129">
        <v>0</v>
      </c>
      <c r="AZ17" s="129">
        <v>0</v>
      </c>
      <c r="BA17" s="129"/>
      <c r="BB17" s="129"/>
      <c r="BC17" s="146">
        <v>882092.27</v>
      </c>
      <c r="BD17" s="136"/>
      <c r="BE17" s="136"/>
      <c r="BF17" s="136"/>
      <c r="BG17" s="252"/>
      <c r="BH17" s="252"/>
      <c r="BI17" s="252"/>
      <c r="BJ17" s="226">
        <v>0</v>
      </c>
      <c r="BK17" s="226"/>
      <c r="BL17" s="226"/>
      <c r="BM17" s="226"/>
      <c r="BN17" s="233">
        <v>5584871.6299999999</v>
      </c>
      <c r="BO17" s="233"/>
      <c r="BP17" s="233"/>
      <c r="BQ17" s="233"/>
      <c r="BR17" s="26">
        <f>IF(D17=0,0,2001-(D17-F17)*C17/D17)</f>
        <v>0</v>
      </c>
      <c r="BS17" s="43">
        <f>IF((1-($CJ$2-$BR17)/$C17)&gt;0,(1-($CJ$2-$BR17)/$C17),0)</f>
        <v>0</v>
      </c>
      <c r="BT17" s="43">
        <f>IF((1-($CJ$2-G$2)/$C17)&gt;0,(1-($CJ$2-G$2)/$C17),0)</f>
        <v>0.53333333333333333</v>
      </c>
      <c r="BU17" s="43">
        <f>IF((1-($CJ$2-K$2)/$C17)&gt;0,(1-($CJ$2-K$2)/$C17),0)</f>
        <v>0.56666666666666665</v>
      </c>
      <c r="BV17" s="43">
        <f>IF((1-($CJ$2-O$2)/$C17)&gt;0,(1-($CJ$2-O$2)/$C17),0)</f>
        <v>0.6</v>
      </c>
      <c r="BW17" s="43">
        <f>IF((1-($CJ$2-S$2)/$C17)&gt;0,(1-($CJ$2-S$2)/$C17),0)</f>
        <v>0.6333333333333333</v>
      </c>
      <c r="BX17" s="43">
        <f>IF((1-($CJ$2-W$2)/$C17)&gt;0,(1-($CJ$2-W$2)/$C17),0)</f>
        <v>0.66666666666666674</v>
      </c>
      <c r="BY17" s="43">
        <f>IF((1-($CJ$2-AA$2)/$C17)&gt;0,(1-($CJ$2-AA$2)/$C17),0)</f>
        <v>0.7</v>
      </c>
      <c r="BZ17" s="43">
        <f>IF((1-($CJ$2-AE$2)/$C17)&gt;0,(1-($CJ$2-AE$2)/$C17),0)</f>
        <v>0.73333333333333339</v>
      </c>
      <c r="CA17" s="43">
        <f>IF((1-($CJ$2-AI$2)/$C17)&gt;0,(1-($CJ$2-AI$2)/$C17),0)</f>
        <v>0.76666666666666661</v>
      </c>
      <c r="CB17" s="43">
        <f>IF((1-($CJ$2-AM$2)/$C17)&gt;0,(1-($CJ$2-AM$2)/$C17),0)</f>
        <v>0.8</v>
      </c>
      <c r="CC17" s="43">
        <f>IF((1-($CJ$2-AQ$2)/$C17)&gt;0,(1-($CJ$2-AQ$2)/$C17),0)</f>
        <v>0.83333333333333337</v>
      </c>
      <c r="CD17" s="43">
        <f>IF((1-($CJ$2-AU$2)/$C17)&gt;0,(1-($CJ$2-AU$2)/$C17),0)</f>
        <v>0.8666666666666667</v>
      </c>
      <c r="CE17" s="43">
        <f>IF((1-($CJ$2-AY$2)/$C17)&gt;0,(1-($CJ$2-AY$2)/$C17),0)</f>
        <v>0.9</v>
      </c>
      <c r="CF17" s="43">
        <f>IF((1-($CJ$2-BC$2)/$C17)&gt;0,(1-($CJ$2-BC$2)/$C17),0)</f>
        <v>0.93333333333333335</v>
      </c>
      <c r="CG17" s="43">
        <f>IF(BG17=0,0,1-($CJ$2-(2014.5-(BG17-BI17)*C17/BG17))/C17)</f>
        <v>0</v>
      </c>
      <c r="CH17" s="43">
        <f>IF((1-($CJ$2-BJ$2)/$C17)&gt;0,(1-($CJ$2-BJ$2)/$C17),0)</f>
        <v>0.96666666666666667</v>
      </c>
      <c r="CI17" s="43">
        <f>IF((1-($CJ$2-BN$2)/$C17)&gt;0,(1-($CJ$2-BN$2)/$C17),0)</f>
        <v>1</v>
      </c>
      <c r="CJ17" s="239">
        <f>D17-E17+(G17-I17)*G$61+(K17-M17)*K$61+(O17-Q17)*O$61+(S17-U17)*S$61+(W17-Y17)*W$61+(AA17-AC17)*AA$61+(AE17-AG17)*AE$61+(AI17-AK17)*AI$61+(AM17-AO17)*AM$61+(AQ17-AS17)*$AQ$61+(AU17-AW17)*$AU$61+(AY17-BA17)*$AY$61+(BC17-BE17)*$BC$61+(BJ17-BL17)*$BJ$61+BG17+(BN17-BP17)*$BN$61</f>
        <v>5612894.5887597445</v>
      </c>
      <c r="CK17" s="239">
        <f>CJ17-(IF(BS17=0,0,D17-E17)+IF(BT17=0,0,(G17-I17)*G$61)+IF(BU17=0,0,(K17-M17)*K$61)+IF(BV17=0,0,(O17-Q17)*O$61)+IF(BW17=0,0,(S17-U17)*S$61)+IF(BX17=0,0,(W17-Y17)*W$61)+IF(BY17=0,0,(AA17-AC17)*AA$61)+IF(BZ17=0,0,(AE17-AG17)*AE$61)+IF(CA17=0,0,(AI17-AK17)*AI$61)+IF(CB17=0,0,(AM17-AO17)*AM$61)+IF(CC17=0,0,(AQ17-AS17)*$AQ$61)+IF(CD17=0,0,(AU17-AW17)*$AU$61)+IF(CE17=0,0,(AY17-BA17)*$AY$61)++IF(CF17=0,0,(BC17-BE17)*$BC$61)+IF(CH17=0,0,(BJ17-BL17)*$BC$61)+IF(CG17=0,0,BG17)+IF(CI17=0,0,(BN17-BP17)*$BC$61))</f>
        <v>265408.15442726761</v>
      </c>
      <c r="CL17" s="239">
        <f>(D17-E17)*BS17+((G17-H17-(I17-J17))*G$61)*BT17+((K17-L17-(M17-N17))*K$61)*BU17+((O17-P17-(Q17-R17))*O$61)*BV17+((S17-T17-(U17-V17))*S$61)*BW17+((W17-X17-(Y17-Z17))*W$61)*BX17+((AA17-AB17-(AC17-AD17))*AA$61)*BY17+((AE17-AF17-(AG17-AH17))*AE$61)*BZ17+((AI17-AJ17-(AK17-AL17))*AI$61)*CA17+((AM17-AN17-(AO17-AP17))*$AM$61)*CB17+((AQ17-AR17-(AS17-AT17))*$AQ$61)*CC17+((AU17-AV17-(AW17-AX17))*$AU$61)*CD17+((AY17-AZ17-(BA17-BB17))*$AY$61)*CE17+((BC17-BD17-(BF17-BR17))*$BC$61)*CF17+((BJ17-BK17-(BL17-BM17))*$BC$61)*CH17+(BG17-BH17)*CG17+((BN17-BO17-(BP17-BQ17))*$BC$61)*CI17</f>
        <v>5298860.0462200735</v>
      </c>
    </row>
    <row r="18" spans="1:93" ht="12.75" customHeight="1" x14ac:dyDescent="0.35">
      <c r="A18" s="6"/>
      <c r="B18" s="4" t="s">
        <v>19</v>
      </c>
      <c r="C18" s="15"/>
      <c r="D18" s="77">
        <v>0</v>
      </c>
      <c r="E18" s="109"/>
      <c r="F18" s="77">
        <v>0</v>
      </c>
      <c r="G18" s="104"/>
      <c r="H18" s="104"/>
      <c r="I18" s="104"/>
      <c r="J18" s="104"/>
      <c r="K18" s="105"/>
      <c r="L18" s="106">
        <v>0</v>
      </c>
      <c r="M18" s="106"/>
      <c r="N18" s="105"/>
      <c r="O18" s="107"/>
      <c r="P18" s="107"/>
      <c r="Q18" s="107"/>
      <c r="R18" s="107"/>
      <c r="S18" s="168"/>
      <c r="T18" s="168"/>
      <c r="U18" s="169"/>
      <c r="V18" s="170"/>
      <c r="W18" s="74"/>
      <c r="X18" s="73"/>
      <c r="Y18" s="74"/>
      <c r="Z18" s="73"/>
      <c r="AA18" s="75"/>
      <c r="AB18" s="75"/>
      <c r="AC18" s="171"/>
      <c r="AD18" s="75"/>
      <c r="AE18" s="50"/>
      <c r="AF18" s="50"/>
      <c r="AG18" s="53"/>
      <c r="AH18" s="50"/>
      <c r="AI18" s="169"/>
      <c r="AJ18" s="170"/>
      <c r="AK18" s="170"/>
      <c r="AL18" s="170"/>
      <c r="AM18" s="190">
        <v>0</v>
      </c>
      <c r="AN18" s="85">
        <v>0</v>
      </c>
      <c r="AO18" s="85"/>
      <c r="AP18" s="86"/>
      <c r="AQ18" s="207">
        <v>0</v>
      </c>
      <c r="AR18" s="202">
        <v>0</v>
      </c>
      <c r="AS18" s="202"/>
      <c r="AT18" s="202"/>
      <c r="AU18" s="218">
        <v>0</v>
      </c>
      <c r="AV18" s="214">
        <v>0</v>
      </c>
      <c r="AW18" s="214"/>
      <c r="AX18" s="219"/>
      <c r="AY18" s="128">
        <v>0</v>
      </c>
      <c r="AZ18" s="128">
        <v>0</v>
      </c>
      <c r="BA18" s="128"/>
      <c r="BB18" s="128"/>
      <c r="BC18" s="147"/>
      <c r="BD18" s="143"/>
      <c r="BE18" s="143"/>
      <c r="BF18" s="143"/>
      <c r="BG18" s="252"/>
      <c r="BH18" s="252"/>
      <c r="BI18" s="252"/>
      <c r="BJ18" s="226"/>
      <c r="BK18" s="226"/>
      <c r="BL18" s="226"/>
      <c r="BM18" s="226"/>
      <c r="BN18" s="233"/>
      <c r="BO18" s="233"/>
      <c r="BP18" s="233"/>
      <c r="BQ18" s="233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241"/>
      <c r="CK18" s="241"/>
      <c r="CL18" s="241"/>
    </row>
    <row r="19" spans="1:93" ht="12.75" customHeight="1" x14ac:dyDescent="0.25">
      <c r="A19" s="6"/>
      <c r="B19" s="3" t="s">
        <v>20</v>
      </c>
      <c r="C19" s="7">
        <v>30</v>
      </c>
      <c r="D19" s="37">
        <v>20631115.423739497</v>
      </c>
      <c r="E19" s="151"/>
      <c r="F19" s="152">
        <v>11427451.59935529</v>
      </c>
      <c r="G19" s="87">
        <v>275088</v>
      </c>
      <c r="H19" s="88"/>
      <c r="I19" s="127"/>
      <c r="J19" s="88"/>
      <c r="K19" s="89">
        <v>838585.51</v>
      </c>
      <c r="L19" s="90">
        <v>252735</v>
      </c>
      <c r="M19" s="153"/>
      <c r="N19" s="91"/>
      <c r="O19" s="95">
        <v>682132.64</v>
      </c>
      <c r="P19" s="93"/>
      <c r="Q19" s="94"/>
      <c r="R19" s="93"/>
      <c r="S19" s="154">
        <v>853048</v>
      </c>
      <c r="T19" s="114"/>
      <c r="U19" s="154"/>
      <c r="V19" s="155"/>
      <c r="W19" s="58">
        <v>1150963.24</v>
      </c>
      <c r="X19" s="58">
        <v>0</v>
      </c>
      <c r="Y19" s="58"/>
      <c r="Z19" s="59"/>
      <c r="AA19" s="76">
        <v>1286599.07</v>
      </c>
      <c r="AB19" s="156">
        <v>255770.07</v>
      </c>
      <c r="AC19" s="157"/>
      <c r="AD19" s="61"/>
      <c r="AE19" s="63">
        <v>1756704.5</v>
      </c>
      <c r="AF19" s="63">
        <v>0</v>
      </c>
      <c r="AG19" s="158"/>
      <c r="AH19" s="62"/>
      <c r="AI19" s="154">
        <v>3549323.0099999965</v>
      </c>
      <c r="AJ19" s="154">
        <v>0</v>
      </c>
      <c r="AK19" s="154"/>
      <c r="AL19" s="155"/>
      <c r="AM19" s="49">
        <v>1341910.8899999994</v>
      </c>
      <c r="AN19" s="49">
        <v>0</v>
      </c>
      <c r="AO19" s="49"/>
      <c r="AP19" s="53"/>
      <c r="AQ19" s="159">
        <v>1605662.6499999997</v>
      </c>
      <c r="AR19" s="198">
        <v>0</v>
      </c>
      <c r="AS19" s="198"/>
      <c r="AT19" s="198"/>
      <c r="AU19" s="210">
        <v>974437.2</v>
      </c>
      <c r="AV19" s="210">
        <v>0</v>
      </c>
      <c r="AW19" s="210"/>
      <c r="AX19" s="210"/>
      <c r="AY19" s="129">
        <v>2945753.8299999982</v>
      </c>
      <c r="AZ19" s="129">
        <v>0</v>
      </c>
      <c r="BA19" s="129"/>
      <c r="BB19" s="129"/>
      <c r="BC19" s="146">
        <v>1470098.0800000005</v>
      </c>
      <c r="BD19" s="136"/>
      <c r="BE19" s="136"/>
      <c r="BF19" s="136"/>
      <c r="BG19" s="252">
        <f>+BH19+726319.84</f>
        <v>2828060.8582160217</v>
      </c>
      <c r="BH19" s="252">
        <v>2101741.0182160218</v>
      </c>
      <c r="BI19" s="252">
        <f>1049501.95+206250+329221.56+314738.6</f>
        <v>1899712.1099999999</v>
      </c>
      <c r="BJ19" s="226">
        <v>1038342.7200000007</v>
      </c>
      <c r="BK19" s="226"/>
      <c r="BL19" s="226"/>
      <c r="BM19" s="226"/>
      <c r="BN19" s="233">
        <v>2936315.89</v>
      </c>
      <c r="BO19" s="233"/>
      <c r="BP19" s="233"/>
      <c r="BQ19" s="233"/>
      <c r="BR19" s="26">
        <f t="shared" ref="BR19:BR31" si="22">IF(D19=0,0,2001-(D19-F19)*C19/D19)</f>
        <v>1987.6168208038905</v>
      </c>
      <c r="BS19" s="43">
        <f t="shared" ref="BS19:BS31" si="23">IF((1-($CJ$2-$BR19)/$C19)&gt;0,(1-($CJ$2-$BR19)/$C19),0)</f>
        <v>5.3894026796350136E-2</v>
      </c>
      <c r="BT19" s="43">
        <f t="shared" ref="BT19:BT31" si="24">IF((1-($CJ$2-G$2)/$C19)&gt;0,(1-($CJ$2-G$2)/$C19),0)</f>
        <v>0.53333333333333333</v>
      </c>
      <c r="BU19" s="43">
        <f t="shared" ref="BU19:BU31" si="25">IF((1-($CJ$2-K$2)/$C19)&gt;0,(1-($CJ$2-K$2)/$C19),0)</f>
        <v>0.56666666666666665</v>
      </c>
      <c r="BV19" s="43">
        <f t="shared" ref="BV19:BV31" si="26">IF((1-($CJ$2-O$2)/$C19)&gt;0,(1-($CJ$2-O$2)/$C19),0)</f>
        <v>0.6</v>
      </c>
      <c r="BW19" s="43">
        <f t="shared" ref="BW19:BW31" si="27">IF((1-($CJ$2-S$2)/$C19)&gt;0,(1-($CJ$2-S$2)/$C19),0)</f>
        <v>0.6333333333333333</v>
      </c>
      <c r="BX19" s="43">
        <f t="shared" ref="BX19:BX31" si="28">IF((1-($CJ$2-W$2)/$C19)&gt;0,(1-($CJ$2-W$2)/$C19),0)</f>
        <v>0.66666666666666674</v>
      </c>
      <c r="BY19" s="43">
        <f t="shared" ref="BY19:BY31" si="29">IF((1-($CJ$2-AA$2)/$C19)&gt;0,(1-($CJ$2-AA$2)/$C19),0)</f>
        <v>0.7</v>
      </c>
      <c r="BZ19" s="43">
        <f t="shared" ref="BZ19:BZ31" si="30">IF((1-($CJ$2-AE$2)/$C19)&gt;0,(1-($CJ$2-AE$2)/$C19),0)</f>
        <v>0.73333333333333339</v>
      </c>
      <c r="CA19" s="43">
        <f t="shared" ref="CA19:CA31" si="31">IF((1-($CJ$2-AI$2)/$C19)&gt;0,(1-($CJ$2-AI$2)/$C19),0)</f>
        <v>0.76666666666666661</v>
      </c>
      <c r="CB19" s="43">
        <f t="shared" ref="CB19:CB31" si="32">IF((1-($CJ$2-AM$2)/$C19)&gt;0,(1-($CJ$2-AM$2)/$C19),0)</f>
        <v>0.8</v>
      </c>
      <c r="CC19" s="43">
        <f t="shared" ref="CC19:CC31" si="33">IF((1-($CJ$2-AQ$2)/$C19)&gt;0,(1-($CJ$2-AQ$2)/$C19),0)</f>
        <v>0.83333333333333337</v>
      </c>
      <c r="CD19" s="43">
        <f t="shared" ref="CD19:CD31" si="34">IF((1-($CJ$2-AU$2)/$C19)&gt;0,(1-($CJ$2-AU$2)/$C19),0)</f>
        <v>0.8666666666666667</v>
      </c>
      <c r="CE19" s="43">
        <f t="shared" ref="CE19:CE31" si="35">IF((1-($CJ$2-AY$2)/$C19)&gt;0,(1-($CJ$2-AY$2)/$C19),0)</f>
        <v>0.9</v>
      </c>
      <c r="CF19" s="43">
        <f t="shared" ref="CF19:CF31" si="36">IF((1-($CJ$2-BC$2)/$C19)&gt;0,(1-($CJ$2-BC$2)/$C19),0)</f>
        <v>0.93333333333333335</v>
      </c>
      <c r="CG19" s="43">
        <f t="shared" ref="CG19:CG31" si="37">IF(BG19=0,0,1-($CJ$2-(2014.5-(BG19-BI19)*C19/BG19))/C19)</f>
        <v>0.62173664402623674</v>
      </c>
      <c r="CH19" s="43">
        <f t="shared" ref="CH19:CH31" si="38">IF((1-($CJ$2-BJ$2)/$C19)&gt;0,(1-($CJ$2-BJ$2)/$C19),0)</f>
        <v>0.96666666666666667</v>
      </c>
      <c r="CI19" s="43">
        <f t="shared" ref="CI19:CI31" si="39">IF((1-($CJ$2-BN$2)/$C19)&gt;0,(1-($CJ$2-BN$2)/$C19),0)</f>
        <v>1</v>
      </c>
      <c r="CJ19" s="239">
        <f t="shared" ref="CJ19:CJ31" si="40">D19-E19+(G19-I19)*G$61+(K19-M19)*K$61+(O19-Q19)*O$61+(S19-U19)*S$61+(W19-Y19)*W$61+(AA19-AC19)*AA$61+(AE19-AG19)*AE$61+(AI19-AK19)*AI$61+(AM19-AO19)*AM$61+(AQ19-AS19)*$AQ$61+(AU19-AW19)*$AU$61+(AY19-BA19)*$AY$61+(BC19-BE19)*$BC$61+(BJ19-BL19)*$BJ$61+BG19+(BN19-BP19)*$BN$61</f>
        <v>41734997.496677905</v>
      </c>
      <c r="CK19" s="239">
        <f t="shared" ref="CK19:CK31" si="41">CJ19-(IF(BS19=0,0,D19-E19)+IF(BT19=0,0,(G19-I19)*G$61)+IF(BU19=0,0,(K19-M19)*K$61)+IF(BV19=0,0,(O19-Q19)*O$61)+IF(BW19=0,0,(S19-U19)*S$61)+IF(BX19=0,0,(W19-Y19)*W$61)+IF(BY19=0,0,(AA19-AC19)*AA$61)+IF(BZ19=0,0,(AE19-AG19)*AE$61)+IF(CA19=0,0,(AI19-AK19)*AI$61)+IF(CB19=0,0,(AM19-AO19)*AM$61)+IF(CC19=0,0,(AQ19-AS19)*$AQ$61)+IF(CD19=0,0,(AU19-AW19)*$AU$61)+IF(CE19=0,0,(AY19-BA19)*$AY$61)++IF(CF19=0,0,(BC19-BE19)*$BC$61)+IF(CH19=0,0,(BJ19-BL19)*$BC$61)+IF(CG19=0,0,BG19)+IF(CI19=0,0,(BN19-BP19)*$BC$61))</f>
        <v>139430.77921014279</v>
      </c>
      <c r="CL19" s="239">
        <f t="shared" ref="CL19:CL31" si="42">(D19-E19)*BS19+((G19-H19-(I19-J19))*G$61)*BT19+((K19-L19-(M19-N19))*K$61)*BU19+((O19-P19-(Q19-R19))*O$61)*BV19+((S19-T19-(U19-V19))*S$61)*BW19+((W19-X19-(Y19-Z19))*W$61)*BX19+((AA19-AB19-(AC19-AD19))*AA$61)*BY19+((AE19-AF19-(AG19-AH19))*AE$61)*BZ19+((AI19-AJ19-(AK19-AL19))*AI$61)*CA19+((AM19-AN19-(AO19-AP19))*$AM$61)*CB19+((AQ19-AR19-(AS19-AT19))*$AQ$61)*CC19+((AU19-AV19-(AW19-AX19))*$AU$61)*CD19+((AY19-AZ19-(BA19-BB19))*$AY$61)*CE19+((BC19-BD19-(BF19-BR19))*$BC$61)*CF19+((BJ19-BK19-(BL19-BM19))*$BC$61)*CH19+(BG19-BH19)*CG19+((BN19-BO19-(BP19-BQ19))*$BC$61)*CI19</f>
        <v>15924897.280344218</v>
      </c>
      <c r="CM19">
        <f>+IF(BS19=0,D19-E19,0)+IF(BT19=0,(G19-I19)*$G$61,0)+IF(BU19=0,(K19-M19)*$K$61,0)+IF(BV19=0,(O19-Q19)*$O$61,0)+IF(BW19=0,(S19-U19)*$S$61,0)</f>
        <v>0</v>
      </c>
      <c r="CN19">
        <f>IF(BS19=0,0,D19-E19)+IF(BT19=0,0,(G19-I19)*G$61)+IF(BU19=0,0,(K19-M19)*K$61)+IF(BV19=0,0,(O19-Q19)*O$61)+IF(BW19=0,0,(S19-U19)*S$61)+IF(BX19=0,0,(W19-Y19)*W$61)+IF(BY19=0,0,(AA19-AC19)*AA$61)+IF(BZ19=0,0,(AE19-AG19)*AE$61)+IF(CA19=0,0,(AI19-AK19)*AI$61)+IF(CB19=0,0,(AM19-AO19)*AM$61)+IF(CC19=0,0,(AQ19-AS19)*$AQ$61)+IF(CD19=0,0,(AU19-AW19)*$AU$61)+IF(CE19=0,0,(AY19-BA19)*$AY$61)+IF(CF19=0,0,(BC19-BE19)*$BC$61)</f>
        <v>35480888.93564748</v>
      </c>
      <c r="CO19" s="222">
        <f>+D19-E19+(G19-I19)*G$61+(K19-M19)*K$61+(O19-Q19)*O$61+(S19-U19)*S$61+(W19-Y19)*W$61+(AA19-AC19)*AA$61+(AE19-AG19)*AE$61+(AI19-AK19)*AI$61+(AM19-AO19)*AM$61+(AQ19-AS19)*$AQ$61+(AU19-AW19)*$AU$61+(AY19-BA19)*$AY$61+(BC19-BE19)*$BC$61</f>
        <v>35480888.93564748</v>
      </c>
    </row>
    <row r="20" spans="1:93" ht="12.75" customHeight="1" x14ac:dyDescent="0.25">
      <c r="A20" s="6" t="s">
        <v>60</v>
      </c>
      <c r="B20" s="3" t="s">
        <v>21</v>
      </c>
      <c r="C20" s="7">
        <v>30</v>
      </c>
      <c r="D20" s="37">
        <v>20319163.888809633</v>
      </c>
      <c r="E20" s="151"/>
      <c r="F20" s="152">
        <v>11254485.314634677</v>
      </c>
      <c r="G20" s="87">
        <v>81953.06180000001</v>
      </c>
      <c r="H20" s="88"/>
      <c r="I20" s="127"/>
      <c r="J20" s="88"/>
      <c r="K20" s="89">
        <v>480527.24</v>
      </c>
      <c r="L20" s="90">
        <v>0</v>
      </c>
      <c r="M20" s="153"/>
      <c r="N20" s="91"/>
      <c r="O20" s="95">
        <v>359813.26</v>
      </c>
      <c r="P20" s="93"/>
      <c r="Q20" s="94"/>
      <c r="R20" s="93"/>
      <c r="S20" s="154">
        <v>329504</v>
      </c>
      <c r="T20" s="114"/>
      <c r="U20" s="154"/>
      <c r="V20" s="155"/>
      <c r="W20" s="58">
        <v>210021.37999999998</v>
      </c>
      <c r="X20" s="58">
        <v>0</v>
      </c>
      <c r="Y20" s="58"/>
      <c r="Z20" s="59"/>
      <c r="AA20" s="76">
        <v>443891</v>
      </c>
      <c r="AB20" s="156">
        <v>0</v>
      </c>
      <c r="AC20" s="157"/>
      <c r="AD20" s="61"/>
      <c r="AE20" s="63">
        <v>422858.36</v>
      </c>
      <c r="AF20" s="63">
        <v>0</v>
      </c>
      <c r="AG20" s="158"/>
      <c r="AH20" s="62"/>
      <c r="AI20" s="154">
        <v>219533.05</v>
      </c>
      <c r="AJ20" s="154">
        <v>0</v>
      </c>
      <c r="AK20" s="154"/>
      <c r="AL20" s="155"/>
      <c r="AM20" s="49">
        <v>325380.67999999993</v>
      </c>
      <c r="AN20" s="49">
        <v>0</v>
      </c>
      <c r="AO20" s="49"/>
      <c r="AP20" s="50"/>
      <c r="AQ20" s="159">
        <v>361263.11000000028</v>
      </c>
      <c r="AR20" s="198">
        <v>0</v>
      </c>
      <c r="AS20" s="198"/>
      <c r="AT20" s="198"/>
      <c r="AU20" s="210">
        <v>277474.00999999978</v>
      </c>
      <c r="AV20" s="210">
        <v>0</v>
      </c>
      <c r="AW20" s="210"/>
      <c r="AX20" s="210"/>
      <c r="AY20" s="129">
        <v>696693.82999999949</v>
      </c>
      <c r="AZ20" s="129">
        <v>0</v>
      </c>
      <c r="BA20" s="129"/>
      <c r="BB20" s="129"/>
      <c r="BC20" s="146">
        <v>871356.4600000002</v>
      </c>
      <c r="BD20" s="136"/>
      <c r="BE20" s="136"/>
      <c r="BF20" s="136"/>
      <c r="BG20" s="252"/>
      <c r="BH20" s="252"/>
      <c r="BI20" s="252"/>
      <c r="BJ20" s="226">
        <v>1635346.59</v>
      </c>
      <c r="BK20" s="226"/>
      <c r="BL20" s="226"/>
      <c r="BM20" s="226"/>
      <c r="BN20" s="233">
        <v>1677625.9800000002</v>
      </c>
      <c r="BO20" s="233"/>
      <c r="BP20" s="233"/>
      <c r="BQ20" s="233"/>
      <c r="BR20" s="26">
        <f t="shared" si="22"/>
        <v>1987.6165577130359</v>
      </c>
      <c r="BS20" s="43">
        <f t="shared" si="23"/>
        <v>5.3885257101198181E-2</v>
      </c>
      <c r="BT20" s="43">
        <f t="shared" si="24"/>
        <v>0.53333333333333333</v>
      </c>
      <c r="BU20" s="43">
        <f t="shared" si="25"/>
        <v>0.56666666666666665</v>
      </c>
      <c r="BV20" s="43">
        <f t="shared" si="26"/>
        <v>0.6</v>
      </c>
      <c r="BW20" s="43">
        <f t="shared" si="27"/>
        <v>0.6333333333333333</v>
      </c>
      <c r="BX20" s="43">
        <f t="shared" si="28"/>
        <v>0.66666666666666674</v>
      </c>
      <c r="BY20" s="43">
        <f t="shared" si="29"/>
        <v>0.7</v>
      </c>
      <c r="BZ20" s="43">
        <f t="shared" si="30"/>
        <v>0.73333333333333339</v>
      </c>
      <c r="CA20" s="43">
        <f t="shared" si="31"/>
        <v>0.76666666666666661</v>
      </c>
      <c r="CB20" s="43">
        <f t="shared" si="32"/>
        <v>0.8</v>
      </c>
      <c r="CC20" s="43">
        <f t="shared" si="33"/>
        <v>0.83333333333333337</v>
      </c>
      <c r="CD20" s="43">
        <f t="shared" si="34"/>
        <v>0.8666666666666667</v>
      </c>
      <c r="CE20" s="43">
        <f t="shared" si="35"/>
        <v>0.9</v>
      </c>
      <c r="CF20" s="43">
        <f t="shared" si="36"/>
        <v>0.93333333333333335</v>
      </c>
      <c r="CG20" s="43">
        <f t="shared" si="37"/>
        <v>0</v>
      </c>
      <c r="CH20" s="43">
        <f t="shared" si="38"/>
        <v>0.96666666666666667</v>
      </c>
      <c r="CI20" s="43">
        <f t="shared" si="39"/>
        <v>1</v>
      </c>
      <c r="CJ20" s="239">
        <f t="shared" si="40"/>
        <v>27208957.599787135</v>
      </c>
      <c r="CK20" s="239">
        <f t="shared" si="41"/>
        <v>79550.697845745832</v>
      </c>
      <c r="CL20" s="239">
        <f t="shared" si="42"/>
        <v>6887190.0723439334</v>
      </c>
    </row>
    <row r="21" spans="1:93" ht="12.75" customHeight="1" x14ac:dyDescent="0.25">
      <c r="A21" s="6" t="s">
        <v>61</v>
      </c>
      <c r="B21" s="3" t="s">
        <v>22</v>
      </c>
      <c r="C21" s="7">
        <v>30</v>
      </c>
      <c r="D21" s="37">
        <v>149580.82704669842</v>
      </c>
      <c r="E21" s="151"/>
      <c r="F21" s="152">
        <v>82851.686520415911</v>
      </c>
      <c r="G21" s="87">
        <v>0</v>
      </c>
      <c r="H21" s="88"/>
      <c r="I21" s="127"/>
      <c r="J21" s="88"/>
      <c r="K21" s="89">
        <v>0</v>
      </c>
      <c r="L21" s="90">
        <v>0</v>
      </c>
      <c r="M21" s="153"/>
      <c r="N21" s="91"/>
      <c r="O21" s="95">
        <v>0</v>
      </c>
      <c r="P21" s="93"/>
      <c r="Q21" s="94"/>
      <c r="R21" s="93"/>
      <c r="S21" s="154">
        <v>0</v>
      </c>
      <c r="T21" s="114"/>
      <c r="U21" s="154"/>
      <c r="V21" s="155"/>
      <c r="W21" s="58">
        <v>0</v>
      </c>
      <c r="X21" s="58">
        <v>0</v>
      </c>
      <c r="Y21" s="58"/>
      <c r="Z21" s="59"/>
      <c r="AA21" s="76">
        <v>133700</v>
      </c>
      <c r="AB21" s="156">
        <v>133700</v>
      </c>
      <c r="AC21" s="157"/>
      <c r="AD21" s="61"/>
      <c r="AE21" s="63">
        <v>0</v>
      </c>
      <c r="AF21" s="63">
        <v>0</v>
      </c>
      <c r="AG21" s="158"/>
      <c r="AH21" s="62"/>
      <c r="AI21" s="154">
        <v>0</v>
      </c>
      <c r="AJ21" s="154">
        <v>0</v>
      </c>
      <c r="AK21" s="154"/>
      <c r="AL21" s="155"/>
      <c r="AM21" s="49">
        <v>0</v>
      </c>
      <c r="AN21" s="49">
        <v>0</v>
      </c>
      <c r="AO21" s="49"/>
      <c r="AP21" s="50"/>
      <c r="AQ21" s="159">
        <v>0</v>
      </c>
      <c r="AR21" s="198">
        <v>0</v>
      </c>
      <c r="AS21" s="198"/>
      <c r="AT21" s="198"/>
      <c r="AU21" s="210">
        <v>0</v>
      </c>
      <c r="AV21" s="210">
        <v>0</v>
      </c>
      <c r="AW21" s="210"/>
      <c r="AX21" s="210"/>
      <c r="AY21" s="129">
        <v>0</v>
      </c>
      <c r="AZ21" s="129">
        <v>0</v>
      </c>
      <c r="BA21" s="129"/>
      <c r="BB21" s="129"/>
      <c r="BC21" s="146">
        <v>0</v>
      </c>
      <c r="BD21" s="136"/>
      <c r="BE21" s="136"/>
      <c r="BF21" s="136"/>
      <c r="BG21" s="252">
        <v>70991.850000000006</v>
      </c>
      <c r="BH21" s="252"/>
      <c r="BI21" s="252">
        <v>49694.3</v>
      </c>
      <c r="BJ21" s="226">
        <v>0</v>
      </c>
      <c r="BK21" s="226"/>
      <c r="BL21" s="226"/>
      <c r="BM21" s="226"/>
      <c r="BN21" s="233">
        <v>0</v>
      </c>
      <c r="BO21" s="233"/>
      <c r="BP21" s="233"/>
      <c r="BQ21" s="233"/>
      <c r="BR21" s="26">
        <f t="shared" si="22"/>
        <v>1987.6167726485194</v>
      </c>
      <c r="BS21" s="43">
        <f t="shared" si="23"/>
        <v>5.3892421617312447E-2</v>
      </c>
      <c r="BT21" s="43">
        <f t="shared" si="24"/>
        <v>0.53333333333333333</v>
      </c>
      <c r="BU21" s="43">
        <f t="shared" si="25"/>
        <v>0.56666666666666665</v>
      </c>
      <c r="BV21" s="43">
        <f t="shared" si="26"/>
        <v>0.6</v>
      </c>
      <c r="BW21" s="43">
        <f t="shared" si="27"/>
        <v>0.6333333333333333</v>
      </c>
      <c r="BX21" s="43">
        <f t="shared" si="28"/>
        <v>0.66666666666666674</v>
      </c>
      <c r="BY21" s="43">
        <f t="shared" si="29"/>
        <v>0.7</v>
      </c>
      <c r="BZ21" s="43">
        <f t="shared" si="30"/>
        <v>0.73333333333333339</v>
      </c>
      <c r="CA21" s="43">
        <f t="shared" si="31"/>
        <v>0.76666666666666661</v>
      </c>
      <c r="CB21" s="43">
        <f t="shared" si="32"/>
        <v>0.8</v>
      </c>
      <c r="CC21" s="43">
        <f t="shared" si="33"/>
        <v>0.83333333333333337</v>
      </c>
      <c r="CD21" s="43">
        <f t="shared" si="34"/>
        <v>0.8666666666666667</v>
      </c>
      <c r="CE21" s="43">
        <f t="shared" si="35"/>
        <v>0.9</v>
      </c>
      <c r="CF21" s="43">
        <f t="shared" si="36"/>
        <v>0.93333333333333335</v>
      </c>
      <c r="CG21" s="43">
        <f t="shared" si="37"/>
        <v>0.65000007043061792</v>
      </c>
      <c r="CH21" s="43">
        <f t="shared" si="38"/>
        <v>0.96666666666666667</v>
      </c>
      <c r="CI21" s="43">
        <f t="shared" si="39"/>
        <v>1</v>
      </c>
      <c r="CJ21" s="239">
        <f t="shared" si="40"/>
        <v>336252.69188789546</v>
      </c>
      <c r="CK21" s="239">
        <f t="shared" si="41"/>
        <v>0</v>
      </c>
      <c r="CL21" s="239">
        <f t="shared" si="42"/>
        <v>55739.95691937174</v>
      </c>
    </row>
    <row r="22" spans="1:93" ht="12.75" customHeight="1" x14ac:dyDescent="0.25">
      <c r="A22" s="6"/>
      <c r="B22" s="3" t="s">
        <v>23</v>
      </c>
      <c r="C22" s="7">
        <v>30</v>
      </c>
      <c r="D22" s="37">
        <v>0</v>
      </c>
      <c r="E22" s="151"/>
      <c r="F22" s="152">
        <v>0</v>
      </c>
      <c r="G22" s="87">
        <v>0</v>
      </c>
      <c r="H22" s="88"/>
      <c r="I22" s="127"/>
      <c r="J22" s="88"/>
      <c r="K22" s="89">
        <v>7945</v>
      </c>
      <c r="L22" s="90">
        <v>0</v>
      </c>
      <c r="M22" s="153"/>
      <c r="N22" s="91"/>
      <c r="O22" s="95">
        <v>11509.8</v>
      </c>
      <c r="P22" s="93"/>
      <c r="Q22" s="94"/>
      <c r="R22" s="93"/>
      <c r="S22" s="154">
        <v>67325</v>
      </c>
      <c r="T22" s="114"/>
      <c r="U22" s="154"/>
      <c r="V22" s="155"/>
      <c r="W22" s="58">
        <v>56607.360000000001</v>
      </c>
      <c r="X22" s="58">
        <v>0</v>
      </c>
      <c r="Y22" s="58"/>
      <c r="Z22" s="59"/>
      <c r="AA22" s="76">
        <v>26335</v>
      </c>
      <c r="AB22" s="156">
        <v>0</v>
      </c>
      <c r="AC22" s="157"/>
      <c r="AD22" s="61"/>
      <c r="AE22" s="63">
        <v>117016</v>
      </c>
      <c r="AF22" s="63">
        <v>0</v>
      </c>
      <c r="AG22" s="158"/>
      <c r="AH22" s="62"/>
      <c r="AI22" s="154">
        <v>177430.08</v>
      </c>
      <c r="AJ22" s="154">
        <v>0</v>
      </c>
      <c r="AK22" s="154"/>
      <c r="AL22" s="155"/>
      <c r="AM22" s="49">
        <v>419033.79200000002</v>
      </c>
      <c r="AN22" s="49">
        <v>0</v>
      </c>
      <c r="AO22" s="49"/>
      <c r="AP22" s="50"/>
      <c r="AQ22" s="159">
        <v>15078.509999999998</v>
      </c>
      <c r="AR22" s="198">
        <v>0</v>
      </c>
      <c r="AS22" s="198"/>
      <c r="AT22" s="198"/>
      <c r="AU22" s="210">
        <v>12954.53</v>
      </c>
      <c r="AV22" s="210">
        <v>0</v>
      </c>
      <c r="AW22" s="210"/>
      <c r="AX22" s="210"/>
      <c r="AY22" s="129">
        <v>358492.62</v>
      </c>
      <c r="AZ22" s="129">
        <v>0</v>
      </c>
      <c r="BA22" s="129"/>
      <c r="BB22" s="129"/>
      <c r="BC22" s="146">
        <v>169979.92999999996</v>
      </c>
      <c r="BD22" s="136"/>
      <c r="BE22" s="136"/>
      <c r="BF22" s="136"/>
      <c r="BG22" s="252"/>
      <c r="BH22" s="252"/>
      <c r="BI22" s="252"/>
      <c r="BJ22" s="226">
        <v>60736.35</v>
      </c>
      <c r="BK22" s="226"/>
      <c r="BL22" s="226"/>
      <c r="BM22" s="226"/>
      <c r="BN22" s="233">
        <v>71213.51999999999</v>
      </c>
      <c r="BO22" s="233"/>
      <c r="BP22" s="233"/>
      <c r="BQ22" s="233"/>
      <c r="BR22" s="26">
        <f t="shared" si="22"/>
        <v>0</v>
      </c>
      <c r="BS22" s="43">
        <f t="shared" si="23"/>
        <v>0</v>
      </c>
      <c r="BT22" s="43">
        <f t="shared" si="24"/>
        <v>0.53333333333333333</v>
      </c>
      <c r="BU22" s="43">
        <f t="shared" si="25"/>
        <v>0.56666666666666665</v>
      </c>
      <c r="BV22" s="43">
        <f t="shared" si="26"/>
        <v>0.6</v>
      </c>
      <c r="BW22" s="43">
        <f t="shared" si="27"/>
        <v>0.6333333333333333</v>
      </c>
      <c r="BX22" s="43">
        <f t="shared" si="28"/>
        <v>0.66666666666666674</v>
      </c>
      <c r="BY22" s="43">
        <f t="shared" si="29"/>
        <v>0.7</v>
      </c>
      <c r="BZ22" s="43">
        <f t="shared" si="30"/>
        <v>0.73333333333333339</v>
      </c>
      <c r="CA22" s="43">
        <f t="shared" si="31"/>
        <v>0.76666666666666661</v>
      </c>
      <c r="CB22" s="43">
        <f t="shared" si="32"/>
        <v>0.8</v>
      </c>
      <c r="CC22" s="43">
        <f t="shared" si="33"/>
        <v>0.83333333333333337</v>
      </c>
      <c r="CD22" s="43">
        <f t="shared" si="34"/>
        <v>0.8666666666666667</v>
      </c>
      <c r="CE22" s="43">
        <f t="shared" si="35"/>
        <v>0.9</v>
      </c>
      <c r="CF22" s="43">
        <f t="shared" si="36"/>
        <v>0.93333333333333335</v>
      </c>
      <c r="CG22" s="43">
        <f t="shared" si="37"/>
        <v>0</v>
      </c>
      <c r="CH22" s="43">
        <f t="shared" si="38"/>
        <v>0.96666666666666667</v>
      </c>
      <c r="CI22" s="43">
        <f t="shared" si="39"/>
        <v>1</v>
      </c>
      <c r="CJ22" s="239">
        <f t="shared" si="40"/>
        <v>1171194.6040544629</v>
      </c>
      <c r="CK22" s="239">
        <f t="shared" si="41"/>
        <v>3377.7734286128543</v>
      </c>
      <c r="CL22" s="239">
        <f t="shared" si="42"/>
        <v>961744.51700243237</v>
      </c>
    </row>
    <row r="23" spans="1:93" ht="12.75" customHeight="1" x14ac:dyDescent="0.25">
      <c r="A23" s="6"/>
      <c r="B23" s="3" t="s">
        <v>24</v>
      </c>
      <c r="C23" s="7">
        <v>30</v>
      </c>
      <c r="D23" s="37">
        <v>0</v>
      </c>
      <c r="E23" s="151"/>
      <c r="F23" s="152">
        <v>0</v>
      </c>
      <c r="G23" s="87">
        <v>441.38</v>
      </c>
      <c r="H23" s="88"/>
      <c r="I23" s="127"/>
      <c r="J23" s="88"/>
      <c r="K23" s="89">
        <v>2038.59</v>
      </c>
      <c r="L23" s="90">
        <v>0</v>
      </c>
      <c r="M23" s="153"/>
      <c r="N23" s="91"/>
      <c r="O23" s="95">
        <v>30511.68</v>
      </c>
      <c r="P23" s="93"/>
      <c r="Q23" s="94"/>
      <c r="R23" s="93"/>
      <c r="S23" s="154">
        <v>47275</v>
      </c>
      <c r="T23" s="114"/>
      <c r="U23" s="154"/>
      <c r="V23" s="155"/>
      <c r="W23" s="58">
        <v>29162</v>
      </c>
      <c r="X23" s="58">
        <v>0</v>
      </c>
      <c r="Y23" s="58"/>
      <c r="Z23" s="59"/>
      <c r="AA23" s="76">
        <v>227643</v>
      </c>
      <c r="AB23" s="156">
        <v>0</v>
      </c>
      <c r="AC23" s="157"/>
      <c r="AD23" s="61"/>
      <c r="AE23" s="63">
        <v>30843</v>
      </c>
      <c r="AF23" s="63">
        <v>0</v>
      </c>
      <c r="AG23" s="158"/>
      <c r="AH23" s="62"/>
      <c r="AI23" s="154">
        <v>13617.82</v>
      </c>
      <c r="AJ23" s="154">
        <v>0</v>
      </c>
      <c r="AK23" s="154"/>
      <c r="AL23" s="155"/>
      <c r="AM23" s="49">
        <v>558680.16</v>
      </c>
      <c r="AN23" s="49">
        <v>0</v>
      </c>
      <c r="AO23" s="49"/>
      <c r="AP23" s="50"/>
      <c r="AQ23" s="159">
        <v>84681.959999999992</v>
      </c>
      <c r="AR23" s="198">
        <v>0</v>
      </c>
      <c r="AS23" s="198"/>
      <c r="AT23" s="198"/>
      <c r="AU23" s="210">
        <v>36276.959999999999</v>
      </c>
      <c r="AV23" s="210">
        <v>0</v>
      </c>
      <c r="AW23" s="210"/>
      <c r="AX23" s="210"/>
      <c r="AY23" s="129">
        <v>29336.300000000003</v>
      </c>
      <c r="AZ23" s="129">
        <v>0</v>
      </c>
      <c r="BA23" s="129"/>
      <c r="BB23" s="129"/>
      <c r="BC23" s="146">
        <v>67647.91</v>
      </c>
      <c r="BD23" s="136"/>
      <c r="BE23" s="136"/>
      <c r="BF23" s="136"/>
      <c r="BG23" s="252"/>
      <c r="BH23" s="252"/>
      <c r="BI23" s="252"/>
      <c r="BJ23" s="226">
        <v>510773.58</v>
      </c>
      <c r="BK23" s="226"/>
      <c r="BL23" s="226"/>
      <c r="BM23" s="226"/>
      <c r="BN23" s="233">
        <v>394867.46</v>
      </c>
      <c r="BO23" s="233"/>
      <c r="BP23" s="233"/>
      <c r="BQ23" s="233"/>
      <c r="BR23" s="26">
        <f t="shared" si="22"/>
        <v>0</v>
      </c>
      <c r="BS23" s="43">
        <f t="shared" si="23"/>
        <v>0</v>
      </c>
      <c r="BT23" s="43">
        <f t="shared" si="24"/>
        <v>0.53333333333333333</v>
      </c>
      <c r="BU23" s="43">
        <f t="shared" si="25"/>
        <v>0.56666666666666665</v>
      </c>
      <c r="BV23" s="43">
        <f t="shared" si="26"/>
        <v>0.6</v>
      </c>
      <c r="BW23" s="43">
        <f t="shared" si="27"/>
        <v>0.6333333333333333</v>
      </c>
      <c r="BX23" s="43">
        <f t="shared" si="28"/>
        <v>0.66666666666666674</v>
      </c>
      <c r="BY23" s="43">
        <f t="shared" si="29"/>
        <v>0.7</v>
      </c>
      <c r="BZ23" s="43">
        <f t="shared" si="30"/>
        <v>0.73333333333333339</v>
      </c>
      <c r="CA23" s="43">
        <f t="shared" si="31"/>
        <v>0.76666666666666661</v>
      </c>
      <c r="CB23" s="43">
        <f t="shared" si="32"/>
        <v>0.8</v>
      </c>
      <c r="CC23" s="43">
        <f t="shared" si="33"/>
        <v>0.83333333333333337</v>
      </c>
      <c r="CD23" s="43">
        <f t="shared" si="34"/>
        <v>0.8666666666666667</v>
      </c>
      <c r="CE23" s="43">
        <f t="shared" si="35"/>
        <v>0.9</v>
      </c>
      <c r="CF23" s="43">
        <f t="shared" si="36"/>
        <v>0.93333333333333335</v>
      </c>
      <c r="CG23" s="43">
        <f t="shared" si="37"/>
        <v>0</v>
      </c>
      <c r="CH23" s="43">
        <f t="shared" si="38"/>
        <v>0.96666666666666667</v>
      </c>
      <c r="CI23" s="43">
        <f t="shared" si="39"/>
        <v>1</v>
      </c>
      <c r="CJ23" s="239">
        <f t="shared" si="40"/>
        <v>1659240.412650513</v>
      </c>
      <c r="CK23" s="239">
        <f t="shared" si="41"/>
        <v>18710.629254533211</v>
      </c>
      <c r="CL23" s="239">
        <f t="shared" si="42"/>
        <v>1424241.021347875</v>
      </c>
    </row>
    <row r="24" spans="1:93" ht="12.75" customHeight="1" x14ac:dyDescent="0.25">
      <c r="A24" s="6"/>
      <c r="B24" s="3" t="s">
        <v>25</v>
      </c>
      <c r="C24" s="7">
        <v>30</v>
      </c>
      <c r="D24" s="37">
        <v>0</v>
      </c>
      <c r="E24" s="151"/>
      <c r="F24" s="152">
        <v>0</v>
      </c>
      <c r="G24" s="87">
        <v>0</v>
      </c>
      <c r="H24" s="88"/>
      <c r="I24" s="127"/>
      <c r="J24" s="88"/>
      <c r="K24" s="89">
        <v>0</v>
      </c>
      <c r="L24" s="90">
        <v>0</v>
      </c>
      <c r="M24" s="153"/>
      <c r="N24" s="91"/>
      <c r="O24" s="95">
        <v>0</v>
      </c>
      <c r="P24" s="93"/>
      <c r="Q24" s="94"/>
      <c r="R24" s="93"/>
      <c r="S24" s="154">
        <v>0</v>
      </c>
      <c r="T24" s="114"/>
      <c r="U24" s="154"/>
      <c r="V24" s="155"/>
      <c r="W24" s="58">
        <v>0</v>
      </c>
      <c r="X24" s="58">
        <v>0</v>
      </c>
      <c r="Y24" s="58"/>
      <c r="Z24" s="59"/>
      <c r="AA24" s="76">
        <v>0</v>
      </c>
      <c r="AB24" s="156">
        <v>0</v>
      </c>
      <c r="AC24" s="157"/>
      <c r="AD24" s="61"/>
      <c r="AE24" s="63">
        <v>0</v>
      </c>
      <c r="AF24" s="63">
        <v>0</v>
      </c>
      <c r="AG24" s="158"/>
      <c r="AH24" s="62"/>
      <c r="AI24" s="154">
        <v>0</v>
      </c>
      <c r="AJ24" s="154">
        <v>0</v>
      </c>
      <c r="AK24" s="154"/>
      <c r="AL24" s="155"/>
      <c r="AM24" s="49">
        <v>0</v>
      </c>
      <c r="AN24" s="49">
        <v>0</v>
      </c>
      <c r="AO24" s="49"/>
      <c r="AP24" s="50"/>
      <c r="AQ24" s="159">
        <v>0</v>
      </c>
      <c r="AR24" s="198">
        <v>0</v>
      </c>
      <c r="AS24" s="198"/>
      <c r="AT24" s="198"/>
      <c r="AU24" s="210">
        <v>0</v>
      </c>
      <c r="AV24" s="210">
        <v>0</v>
      </c>
      <c r="AW24" s="210"/>
      <c r="AX24" s="210"/>
      <c r="AY24" s="129">
        <v>0</v>
      </c>
      <c r="AZ24" s="129">
        <v>0</v>
      </c>
      <c r="BA24" s="129"/>
      <c r="BB24" s="129"/>
      <c r="BC24" s="146">
        <v>0</v>
      </c>
      <c r="BD24" s="136"/>
      <c r="BE24" s="136"/>
      <c r="BF24" s="136"/>
      <c r="BG24" s="252"/>
      <c r="BH24" s="252"/>
      <c r="BI24" s="252"/>
      <c r="BJ24" s="226">
        <v>0</v>
      </c>
      <c r="BK24" s="226"/>
      <c r="BL24" s="226"/>
      <c r="BM24" s="226"/>
      <c r="BN24" s="233">
        <v>0</v>
      </c>
      <c r="BO24" s="233"/>
      <c r="BP24" s="233"/>
      <c r="BQ24" s="233"/>
      <c r="BR24" s="26">
        <f t="shared" si="22"/>
        <v>0</v>
      </c>
      <c r="BS24" s="43">
        <f t="shared" si="23"/>
        <v>0</v>
      </c>
      <c r="BT24" s="43">
        <f t="shared" si="24"/>
        <v>0.53333333333333333</v>
      </c>
      <c r="BU24" s="43">
        <f t="shared" si="25"/>
        <v>0.56666666666666665</v>
      </c>
      <c r="BV24" s="43">
        <f t="shared" si="26"/>
        <v>0.6</v>
      </c>
      <c r="BW24" s="43">
        <f t="shared" si="27"/>
        <v>0.6333333333333333</v>
      </c>
      <c r="BX24" s="43">
        <f t="shared" si="28"/>
        <v>0.66666666666666674</v>
      </c>
      <c r="BY24" s="43">
        <f t="shared" si="29"/>
        <v>0.7</v>
      </c>
      <c r="BZ24" s="43">
        <f t="shared" si="30"/>
        <v>0.73333333333333339</v>
      </c>
      <c r="CA24" s="43">
        <f t="shared" si="31"/>
        <v>0.76666666666666661</v>
      </c>
      <c r="CB24" s="43">
        <f t="shared" si="32"/>
        <v>0.8</v>
      </c>
      <c r="CC24" s="43">
        <f t="shared" si="33"/>
        <v>0.83333333333333337</v>
      </c>
      <c r="CD24" s="43">
        <f t="shared" si="34"/>
        <v>0.8666666666666667</v>
      </c>
      <c r="CE24" s="43">
        <f t="shared" si="35"/>
        <v>0.9</v>
      </c>
      <c r="CF24" s="43">
        <f t="shared" si="36"/>
        <v>0.93333333333333335</v>
      </c>
      <c r="CG24" s="43">
        <f t="shared" si="37"/>
        <v>0</v>
      </c>
      <c r="CH24" s="43">
        <f t="shared" si="38"/>
        <v>0.96666666666666667</v>
      </c>
      <c r="CI24" s="43">
        <f t="shared" si="39"/>
        <v>1</v>
      </c>
      <c r="CJ24" s="239">
        <f t="shared" si="40"/>
        <v>0</v>
      </c>
      <c r="CK24" s="239">
        <f t="shared" si="41"/>
        <v>0</v>
      </c>
      <c r="CL24" s="239">
        <f t="shared" si="42"/>
        <v>0</v>
      </c>
    </row>
    <row r="25" spans="1:93" ht="12.75" customHeight="1" x14ac:dyDescent="0.25">
      <c r="A25" s="6"/>
      <c r="B25" s="3" t="s">
        <v>26</v>
      </c>
      <c r="C25" s="7">
        <v>30</v>
      </c>
      <c r="D25" s="37">
        <v>5501374.3444445133</v>
      </c>
      <c r="E25" s="151"/>
      <c r="F25" s="152">
        <v>2211179.1957926331</v>
      </c>
      <c r="G25" s="87">
        <v>246248.65</v>
      </c>
      <c r="H25" s="88"/>
      <c r="I25" s="127"/>
      <c r="J25" s="88"/>
      <c r="K25" s="89">
        <v>0</v>
      </c>
      <c r="L25" s="90">
        <v>0</v>
      </c>
      <c r="M25" s="153"/>
      <c r="N25" s="91"/>
      <c r="O25" s="95">
        <v>73556.03</v>
      </c>
      <c r="P25" s="93"/>
      <c r="Q25" s="94"/>
      <c r="R25" s="93"/>
      <c r="S25" s="154">
        <v>34597</v>
      </c>
      <c r="T25" s="114"/>
      <c r="U25" s="154"/>
      <c r="V25" s="155"/>
      <c r="W25" s="58">
        <v>13668.23</v>
      </c>
      <c r="X25" s="58">
        <v>0</v>
      </c>
      <c r="Y25" s="58"/>
      <c r="Z25" s="59"/>
      <c r="AA25" s="76">
        <v>92007</v>
      </c>
      <c r="AB25" s="156">
        <v>0</v>
      </c>
      <c r="AC25" s="157"/>
      <c r="AD25" s="61"/>
      <c r="AE25" s="63">
        <v>14698</v>
      </c>
      <c r="AF25" s="63">
        <v>0</v>
      </c>
      <c r="AG25" s="158"/>
      <c r="AH25" s="62"/>
      <c r="AI25" s="154">
        <v>1190332.1199999999</v>
      </c>
      <c r="AJ25" s="154">
        <v>0</v>
      </c>
      <c r="AK25" s="154"/>
      <c r="AL25" s="155"/>
      <c r="AM25" s="49">
        <v>61476</v>
      </c>
      <c r="AN25" s="49">
        <v>0</v>
      </c>
      <c r="AO25" s="49"/>
      <c r="AP25" s="50"/>
      <c r="AQ25" s="159">
        <v>736704.62000000011</v>
      </c>
      <c r="AR25" s="198">
        <v>0</v>
      </c>
      <c r="AS25" s="198"/>
      <c r="AT25" s="198"/>
      <c r="AU25" s="210">
        <v>142747</v>
      </c>
      <c r="AV25" s="210">
        <v>0</v>
      </c>
      <c r="AW25" s="210"/>
      <c r="AX25" s="210"/>
      <c r="AY25" s="129">
        <v>72665.05</v>
      </c>
      <c r="AZ25" s="129">
        <v>0</v>
      </c>
      <c r="BA25" s="129"/>
      <c r="BB25" s="129"/>
      <c r="BC25" s="146">
        <v>78936.5</v>
      </c>
      <c r="BD25" s="136"/>
      <c r="BE25" s="136"/>
      <c r="BF25" s="136"/>
      <c r="BG25" s="252">
        <f>+BH25+240211+130000</f>
        <v>407143.26455643016</v>
      </c>
      <c r="BH25" s="252">
        <v>36932.264556430164</v>
      </c>
      <c r="BI25" s="252">
        <f>27851.51+106065.67+91000</f>
        <v>224917.18</v>
      </c>
      <c r="BJ25" s="226">
        <v>52811.259999999995</v>
      </c>
      <c r="BK25" s="226"/>
      <c r="BL25" s="226"/>
      <c r="BM25" s="226"/>
      <c r="BN25" s="233">
        <v>0</v>
      </c>
      <c r="BO25" s="233"/>
      <c r="BP25" s="233"/>
      <c r="BQ25" s="233"/>
      <c r="BR25" s="26">
        <f t="shared" si="22"/>
        <v>1983.0579643777135</v>
      </c>
      <c r="BS25" s="43">
        <f t="shared" si="23"/>
        <v>0</v>
      </c>
      <c r="BT25" s="43">
        <f t="shared" si="24"/>
        <v>0.53333333333333333</v>
      </c>
      <c r="BU25" s="43">
        <f t="shared" si="25"/>
        <v>0.56666666666666665</v>
      </c>
      <c r="BV25" s="43">
        <f t="shared" si="26"/>
        <v>0.6</v>
      </c>
      <c r="BW25" s="43">
        <f t="shared" si="27"/>
        <v>0.6333333333333333</v>
      </c>
      <c r="BX25" s="43">
        <f t="shared" si="28"/>
        <v>0.66666666666666674</v>
      </c>
      <c r="BY25" s="43">
        <f t="shared" si="29"/>
        <v>0.7</v>
      </c>
      <c r="BZ25" s="43">
        <f t="shared" si="30"/>
        <v>0.73333333333333339</v>
      </c>
      <c r="CA25" s="43">
        <f t="shared" si="31"/>
        <v>0.76666666666666661</v>
      </c>
      <c r="CB25" s="43">
        <f t="shared" si="32"/>
        <v>0.8</v>
      </c>
      <c r="CC25" s="43">
        <f t="shared" si="33"/>
        <v>0.83333333333333337</v>
      </c>
      <c r="CD25" s="43">
        <f t="shared" si="34"/>
        <v>0.8666666666666667</v>
      </c>
      <c r="CE25" s="43">
        <f t="shared" si="35"/>
        <v>0.9</v>
      </c>
      <c r="CF25" s="43">
        <f t="shared" si="36"/>
        <v>0.93333333333333335</v>
      </c>
      <c r="CG25" s="43">
        <f t="shared" si="37"/>
        <v>0.50242760860858193</v>
      </c>
      <c r="CH25" s="43">
        <f t="shared" si="38"/>
        <v>0.96666666666666667</v>
      </c>
      <c r="CI25" s="43">
        <f t="shared" si="39"/>
        <v>1</v>
      </c>
      <c r="CJ25" s="239">
        <f t="shared" si="40"/>
        <v>8248999.3679702803</v>
      </c>
      <c r="CK25" s="239">
        <f t="shared" si="41"/>
        <v>5501368.7056256551</v>
      </c>
      <c r="CL25" s="239">
        <f t="shared" si="42"/>
        <v>1986636.5214917127</v>
      </c>
    </row>
    <row r="26" spans="1:93" ht="12.75" customHeight="1" x14ac:dyDescent="0.25">
      <c r="A26" s="6"/>
      <c r="B26" s="3" t="s">
        <v>27</v>
      </c>
      <c r="C26" s="7">
        <v>30</v>
      </c>
      <c r="D26" s="37">
        <v>0</v>
      </c>
      <c r="E26" s="151"/>
      <c r="F26" s="152">
        <v>0</v>
      </c>
      <c r="G26" s="87">
        <v>0</v>
      </c>
      <c r="H26" s="88"/>
      <c r="I26" s="127"/>
      <c r="J26" s="88"/>
      <c r="K26" s="89">
        <v>0</v>
      </c>
      <c r="L26" s="90">
        <v>0</v>
      </c>
      <c r="M26" s="153"/>
      <c r="N26" s="91"/>
      <c r="O26" s="95">
        <v>0</v>
      </c>
      <c r="P26" s="93"/>
      <c r="Q26" s="94"/>
      <c r="R26" s="93"/>
      <c r="S26" s="154">
        <v>0</v>
      </c>
      <c r="T26" s="114"/>
      <c r="U26" s="154"/>
      <c r="V26" s="155"/>
      <c r="W26" s="58">
        <v>0</v>
      </c>
      <c r="X26" s="58">
        <v>0</v>
      </c>
      <c r="Y26" s="58"/>
      <c r="Z26" s="59"/>
      <c r="AA26" s="76">
        <v>0</v>
      </c>
      <c r="AB26" s="156">
        <v>0</v>
      </c>
      <c r="AC26" s="157"/>
      <c r="AD26" s="61"/>
      <c r="AE26" s="63">
        <v>0</v>
      </c>
      <c r="AF26" s="63">
        <v>0</v>
      </c>
      <c r="AG26" s="158"/>
      <c r="AH26" s="62"/>
      <c r="AI26" s="154">
        <v>0</v>
      </c>
      <c r="AJ26" s="154">
        <v>0</v>
      </c>
      <c r="AK26" s="154"/>
      <c r="AL26" s="155"/>
      <c r="AM26" s="49">
        <v>0</v>
      </c>
      <c r="AN26" s="49">
        <v>0</v>
      </c>
      <c r="AO26" s="49"/>
      <c r="AP26" s="50"/>
      <c r="AQ26" s="159">
        <v>0</v>
      </c>
      <c r="AR26" s="198">
        <v>0</v>
      </c>
      <c r="AS26" s="198"/>
      <c r="AT26" s="198"/>
      <c r="AU26" s="210">
        <v>0</v>
      </c>
      <c r="AV26" s="210">
        <v>0</v>
      </c>
      <c r="AW26" s="210"/>
      <c r="AX26" s="210"/>
      <c r="AY26" s="129">
        <v>0</v>
      </c>
      <c r="AZ26" s="129">
        <v>0</v>
      </c>
      <c r="BA26" s="129"/>
      <c r="BB26" s="129"/>
      <c r="BC26" s="146">
        <v>0</v>
      </c>
      <c r="BD26" s="136"/>
      <c r="BE26" s="136"/>
      <c r="BF26" s="136"/>
      <c r="BG26" s="252">
        <f>+BH26</f>
        <v>2503042.5259680757</v>
      </c>
      <c r="BH26" s="252">
        <v>2503042.5259680757</v>
      </c>
      <c r="BI26" s="252">
        <v>1887604.64</v>
      </c>
      <c r="BJ26" s="226">
        <v>0</v>
      </c>
      <c r="BK26" s="226"/>
      <c r="BL26" s="226"/>
      <c r="BM26" s="226"/>
      <c r="BN26" s="233">
        <v>0</v>
      </c>
      <c r="BO26" s="233"/>
      <c r="BP26" s="233"/>
      <c r="BQ26" s="233"/>
      <c r="BR26" s="26">
        <f t="shared" si="22"/>
        <v>0</v>
      </c>
      <c r="BS26" s="43">
        <f t="shared" si="23"/>
        <v>0</v>
      </c>
      <c r="BT26" s="43">
        <f t="shared" si="24"/>
        <v>0.53333333333333333</v>
      </c>
      <c r="BU26" s="43">
        <f t="shared" si="25"/>
        <v>0.56666666666666665</v>
      </c>
      <c r="BV26" s="43">
        <f t="shared" si="26"/>
        <v>0.6</v>
      </c>
      <c r="BW26" s="43">
        <f t="shared" si="27"/>
        <v>0.6333333333333333</v>
      </c>
      <c r="BX26" s="43">
        <f t="shared" si="28"/>
        <v>0.66666666666666674</v>
      </c>
      <c r="BY26" s="43">
        <f t="shared" si="29"/>
        <v>0.7</v>
      </c>
      <c r="BZ26" s="43">
        <f t="shared" si="30"/>
        <v>0.73333333333333339</v>
      </c>
      <c r="CA26" s="43">
        <f t="shared" si="31"/>
        <v>0.76666666666666661</v>
      </c>
      <c r="CB26" s="43">
        <f t="shared" si="32"/>
        <v>0.8</v>
      </c>
      <c r="CC26" s="43">
        <f t="shared" si="33"/>
        <v>0.83333333333333337</v>
      </c>
      <c r="CD26" s="43">
        <f t="shared" si="34"/>
        <v>0.8666666666666667</v>
      </c>
      <c r="CE26" s="43">
        <f t="shared" si="35"/>
        <v>0.9</v>
      </c>
      <c r="CF26" s="43">
        <f t="shared" si="36"/>
        <v>0.93333333333333335</v>
      </c>
      <c r="CG26" s="43">
        <f t="shared" si="37"/>
        <v>0.70412407916239772</v>
      </c>
      <c r="CH26" s="43">
        <f t="shared" si="38"/>
        <v>0.96666666666666667</v>
      </c>
      <c r="CI26" s="43">
        <f t="shared" si="39"/>
        <v>1</v>
      </c>
      <c r="CJ26" s="239">
        <f t="shared" si="40"/>
        <v>2503042.5259680757</v>
      </c>
      <c r="CK26" s="239">
        <f t="shared" si="41"/>
        <v>0</v>
      </c>
      <c r="CL26" s="239">
        <f t="shared" si="42"/>
        <v>0</v>
      </c>
    </row>
    <row r="27" spans="1:93" ht="12.75" customHeight="1" x14ac:dyDescent="0.25">
      <c r="A27" s="6"/>
      <c r="B27" s="3" t="s">
        <v>28</v>
      </c>
      <c r="C27" s="7">
        <v>30</v>
      </c>
      <c r="D27" s="37">
        <v>0</v>
      </c>
      <c r="E27" s="151"/>
      <c r="F27" s="152">
        <v>0</v>
      </c>
      <c r="G27" s="87">
        <v>0</v>
      </c>
      <c r="H27" s="88"/>
      <c r="I27" s="127"/>
      <c r="J27" s="88"/>
      <c r="K27" s="89">
        <v>0</v>
      </c>
      <c r="L27" s="90">
        <v>0</v>
      </c>
      <c r="M27" s="153"/>
      <c r="N27" s="91"/>
      <c r="O27" s="95">
        <v>0</v>
      </c>
      <c r="P27" s="93"/>
      <c r="Q27" s="94"/>
      <c r="R27" s="93"/>
      <c r="S27" s="154">
        <v>0</v>
      </c>
      <c r="T27" s="114"/>
      <c r="U27" s="154"/>
      <c r="V27" s="155"/>
      <c r="W27" s="58">
        <v>0</v>
      </c>
      <c r="X27" s="58">
        <v>0</v>
      </c>
      <c r="Y27" s="58"/>
      <c r="Z27" s="59"/>
      <c r="AA27" s="76">
        <v>0</v>
      </c>
      <c r="AB27" s="156">
        <v>0</v>
      </c>
      <c r="AC27" s="157"/>
      <c r="AD27" s="61"/>
      <c r="AE27" s="63">
        <v>0</v>
      </c>
      <c r="AF27" s="63">
        <v>0</v>
      </c>
      <c r="AG27" s="158"/>
      <c r="AH27" s="62"/>
      <c r="AI27" s="154">
        <v>0</v>
      </c>
      <c r="AJ27" s="154">
        <v>0</v>
      </c>
      <c r="AK27" s="154"/>
      <c r="AL27" s="155"/>
      <c r="AM27" s="49">
        <v>0</v>
      </c>
      <c r="AN27" s="49">
        <v>0</v>
      </c>
      <c r="AO27" s="49"/>
      <c r="AP27" s="50"/>
      <c r="AQ27" s="159">
        <v>0</v>
      </c>
      <c r="AR27" s="198">
        <v>0</v>
      </c>
      <c r="AS27" s="198"/>
      <c r="AT27" s="198"/>
      <c r="AU27" s="210">
        <v>0</v>
      </c>
      <c r="AV27" s="210">
        <v>0</v>
      </c>
      <c r="AW27" s="210"/>
      <c r="AX27" s="210"/>
      <c r="AY27" s="129">
        <v>0</v>
      </c>
      <c r="AZ27" s="129">
        <v>0</v>
      </c>
      <c r="BA27" s="129"/>
      <c r="BB27" s="129"/>
      <c r="BC27" s="146">
        <v>0</v>
      </c>
      <c r="BD27" s="136"/>
      <c r="BE27" s="136"/>
      <c r="BF27" s="136"/>
      <c r="BG27" s="252"/>
      <c r="BH27" s="252"/>
      <c r="BI27" s="252"/>
      <c r="BJ27" s="226">
        <v>0</v>
      </c>
      <c r="BK27" s="226"/>
      <c r="BL27" s="226"/>
      <c r="BM27" s="226"/>
      <c r="BN27" s="233">
        <v>0</v>
      </c>
      <c r="BO27" s="233"/>
      <c r="BP27" s="233"/>
      <c r="BQ27" s="233"/>
      <c r="BR27" s="26">
        <f t="shared" si="22"/>
        <v>0</v>
      </c>
      <c r="BS27" s="43">
        <f t="shared" si="23"/>
        <v>0</v>
      </c>
      <c r="BT27" s="43">
        <f t="shared" si="24"/>
        <v>0.53333333333333333</v>
      </c>
      <c r="BU27" s="43">
        <f t="shared" si="25"/>
        <v>0.56666666666666665</v>
      </c>
      <c r="BV27" s="43">
        <f t="shared" si="26"/>
        <v>0.6</v>
      </c>
      <c r="BW27" s="43">
        <f t="shared" si="27"/>
        <v>0.6333333333333333</v>
      </c>
      <c r="BX27" s="43">
        <f t="shared" si="28"/>
        <v>0.66666666666666674</v>
      </c>
      <c r="BY27" s="43">
        <f t="shared" si="29"/>
        <v>0.7</v>
      </c>
      <c r="BZ27" s="43">
        <f t="shared" si="30"/>
        <v>0.73333333333333339</v>
      </c>
      <c r="CA27" s="43">
        <f t="shared" si="31"/>
        <v>0.76666666666666661</v>
      </c>
      <c r="CB27" s="43">
        <f t="shared" si="32"/>
        <v>0.8</v>
      </c>
      <c r="CC27" s="43">
        <f t="shared" si="33"/>
        <v>0.83333333333333337</v>
      </c>
      <c r="CD27" s="43">
        <f t="shared" si="34"/>
        <v>0.8666666666666667</v>
      </c>
      <c r="CE27" s="43">
        <f t="shared" si="35"/>
        <v>0.9</v>
      </c>
      <c r="CF27" s="43">
        <f t="shared" si="36"/>
        <v>0.93333333333333335</v>
      </c>
      <c r="CG27" s="43">
        <f t="shared" si="37"/>
        <v>0</v>
      </c>
      <c r="CH27" s="43">
        <f t="shared" si="38"/>
        <v>0.96666666666666667</v>
      </c>
      <c r="CI27" s="43">
        <f t="shared" si="39"/>
        <v>1</v>
      </c>
      <c r="CJ27" s="239">
        <f t="shared" si="40"/>
        <v>0</v>
      </c>
      <c r="CK27" s="239">
        <f t="shared" si="41"/>
        <v>0</v>
      </c>
      <c r="CL27" s="239">
        <f t="shared" si="42"/>
        <v>0</v>
      </c>
    </row>
    <row r="28" spans="1:93" ht="12.75" customHeight="1" x14ac:dyDescent="0.25">
      <c r="A28" s="6"/>
      <c r="B28" s="3" t="s">
        <v>53</v>
      </c>
      <c r="C28" s="7">
        <v>30</v>
      </c>
      <c r="D28" s="37">
        <v>0</v>
      </c>
      <c r="E28" s="151"/>
      <c r="F28" s="152">
        <v>0</v>
      </c>
      <c r="G28" s="87">
        <v>0</v>
      </c>
      <c r="H28" s="88"/>
      <c r="I28" s="127"/>
      <c r="J28" s="88"/>
      <c r="K28" s="89">
        <v>0</v>
      </c>
      <c r="L28" s="90">
        <v>0</v>
      </c>
      <c r="M28" s="153"/>
      <c r="N28" s="91"/>
      <c r="O28" s="95">
        <v>0</v>
      </c>
      <c r="P28" s="93"/>
      <c r="Q28" s="94"/>
      <c r="R28" s="93"/>
      <c r="S28" s="154">
        <v>0</v>
      </c>
      <c r="T28" s="114"/>
      <c r="U28" s="154"/>
      <c r="V28" s="155"/>
      <c r="W28" s="58">
        <v>0</v>
      </c>
      <c r="X28" s="58">
        <v>0</v>
      </c>
      <c r="Y28" s="58"/>
      <c r="Z28" s="59"/>
      <c r="AA28" s="76">
        <v>0</v>
      </c>
      <c r="AB28" s="156">
        <v>0</v>
      </c>
      <c r="AC28" s="157"/>
      <c r="AD28" s="61"/>
      <c r="AE28" s="63">
        <v>0</v>
      </c>
      <c r="AF28" s="63">
        <v>0</v>
      </c>
      <c r="AG28" s="158"/>
      <c r="AH28" s="62"/>
      <c r="AI28" s="154">
        <v>0</v>
      </c>
      <c r="AJ28" s="154">
        <v>0</v>
      </c>
      <c r="AK28" s="154"/>
      <c r="AL28" s="155"/>
      <c r="AM28" s="49">
        <v>0</v>
      </c>
      <c r="AN28" s="49">
        <v>0</v>
      </c>
      <c r="AO28" s="49"/>
      <c r="AP28" s="50"/>
      <c r="AQ28" s="159">
        <v>0</v>
      </c>
      <c r="AR28" s="198">
        <v>0</v>
      </c>
      <c r="AS28" s="198"/>
      <c r="AT28" s="198"/>
      <c r="AU28" s="210">
        <v>0</v>
      </c>
      <c r="AV28" s="210">
        <v>0</v>
      </c>
      <c r="AW28" s="210"/>
      <c r="AX28" s="210"/>
      <c r="AY28" s="129">
        <v>21877.608</v>
      </c>
      <c r="AZ28" s="129">
        <v>0</v>
      </c>
      <c r="BA28" s="129"/>
      <c r="BB28" s="129"/>
      <c r="BC28" s="146"/>
      <c r="BD28" s="136"/>
      <c r="BE28" s="136"/>
      <c r="BF28" s="136"/>
      <c r="BG28" s="252"/>
      <c r="BH28" s="252"/>
      <c r="BI28" s="252"/>
      <c r="BJ28" s="226"/>
      <c r="BK28" s="226"/>
      <c r="BL28" s="226"/>
      <c r="BM28" s="226"/>
      <c r="BN28" s="233"/>
      <c r="BO28" s="233"/>
      <c r="BP28" s="233"/>
      <c r="BQ28" s="233"/>
      <c r="BR28" s="26">
        <f t="shared" si="22"/>
        <v>0</v>
      </c>
      <c r="BS28" s="43">
        <f t="shared" si="23"/>
        <v>0</v>
      </c>
      <c r="BT28" s="43">
        <f t="shared" si="24"/>
        <v>0.53333333333333333</v>
      </c>
      <c r="BU28" s="43">
        <f t="shared" si="25"/>
        <v>0.56666666666666665</v>
      </c>
      <c r="BV28" s="43">
        <f t="shared" si="26"/>
        <v>0.6</v>
      </c>
      <c r="BW28" s="43">
        <f t="shared" si="27"/>
        <v>0.6333333333333333</v>
      </c>
      <c r="BX28" s="43">
        <f t="shared" si="28"/>
        <v>0.66666666666666674</v>
      </c>
      <c r="BY28" s="43">
        <f t="shared" si="29"/>
        <v>0.7</v>
      </c>
      <c r="BZ28" s="43">
        <f t="shared" si="30"/>
        <v>0.73333333333333339</v>
      </c>
      <c r="CA28" s="43">
        <f t="shared" si="31"/>
        <v>0.76666666666666661</v>
      </c>
      <c r="CB28" s="43">
        <f t="shared" si="32"/>
        <v>0.8</v>
      </c>
      <c r="CC28" s="43">
        <f t="shared" si="33"/>
        <v>0.83333333333333337</v>
      </c>
      <c r="CD28" s="43">
        <f t="shared" si="34"/>
        <v>0.8666666666666667</v>
      </c>
      <c r="CE28" s="43">
        <f t="shared" si="35"/>
        <v>0.9</v>
      </c>
      <c r="CF28" s="43">
        <f t="shared" si="36"/>
        <v>0.93333333333333335</v>
      </c>
      <c r="CG28" s="43">
        <f t="shared" si="37"/>
        <v>0</v>
      </c>
      <c r="CH28" s="43">
        <f t="shared" si="38"/>
        <v>0.96666666666666667</v>
      </c>
      <c r="CI28" s="43">
        <f t="shared" si="39"/>
        <v>1</v>
      </c>
      <c r="CJ28" s="239">
        <f t="shared" si="40"/>
        <v>12610.54608680449</v>
      </c>
      <c r="CK28" s="239">
        <f t="shared" si="41"/>
        <v>0</v>
      </c>
      <c r="CL28" s="239">
        <f t="shared" si="42"/>
        <v>11349.491478124042</v>
      </c>
    </row>
    <row r="29" spans="1:93" ht="12.75" customHeight="1" x14ac:dyDescent="0.25">
      <c r="A29" s="6"/>
      <c r="B29" s="3" t="s">
        <v>47</v>
      </c>
      <c r="C29" s="7">
        <v>30</v>
      </c>
      <c r="D29" s="37">
        <v>3799108.6462719133</v>
      </c>
      <c r="E29" s="151"/>
      <c r="F29" s="152">
        <v>2411549.8125453922</v>
      </c>
      <c r="G29" s="87">
        <v>47185.65</v>
      </c>
      <c r="H29" s="88"/>
      <c r="I29" s="127"/>
      <c r="J29" s="88"/>
      <c r="K29" s="89">
        <v>121565.18</v>
      </c>
      <c r="L29" s="90">
        <v>42230</v>
      </c>
      <c r="M29" s="153"/>
      <c r="N29" s="91"/>
      <c r="O29" s="95">
        <v>114271.26085397454</v>
      </c>
      <c r="P29" s="93"/>
      <c r="Q29" s="94"/>
      <c r="R29" s="93"/>
      <c r="S29" s="154">
        <v>315516</v>
      </c>
      <c r="T29" s="114"/>
      <c r="U29" s="154"/>
      <c r="V29" s="155"/>
      <c r="W29" s="58">
        <v>246969.46</v>
      </c>
      <c r="X29" s="58">
        <v>0</v>
      </c>
      <c r="Y29" s="58"/>
      <c r="Z29" s="59"/>
      <c r="AA29" s="76">
        <v>746934.4</v>
      </c>
      <c r="AB29" s="156">
        <v>111277</v>
      </c>
      <c r="AC29" s="157"/>
      <c r="AD29" s="61"/>
      <c r="AE29" s="63">
        <v>819508.73</v>
      </c>
      <c r="AF29" s="63">
        <v>0</v>
      </c>
      <c r="AG29" s="158"/>
      <c r="AH29" s="62"/>
      <c r="AI29" s="154">
        <v>396123.05</v>
      </c>
      <c r="AJ29" s="154">
        <v>0</v>
      </c>
      <c r="AK29" s="154"/>
      <c r="AL29" s="155"/>
      <c r="AM29" s="49">
        <v>616394.63</v>
      </c>
      <c r="AN29" s="49">
        <v>0</v>
      </c>
      <c r="AO29" s="49"/>
      <c r="AP29" s="50"/>
      <c r="AQ29" s="159">
        <v>924534.3600000008</v>
      </c>
      <c r="AR29" s="198">
        <v>0</v>
      </c>
      <c r="AS29" s="198"/>
      <c r="AT29" s="198"/>
      <c r="AU29" s="210">
        <v>984613.09999999939</v>
      </c>
      <c r="AV29" s="210">
        <v>0</v>
      </c>
      <c r="AW29" s="210"/>
      <c r="AX29" s="210"/>
      <c r="AY29" s="129">
        <v>1229523.2699999996</v>
      </c>
      <c r="AZ29" s="129">
        <v>0</v>
      </c>
      <c r="BA29" s="129"/>
      <c r="BB29" s="129"/>
      <c r="BC29" s="146">
        <v>1413716.5399999991</v>
      </c>
      <c r="BD29" s="136"/>
      <c r="BE29" s="136"/>
      <c r="BF29" s="136"/>
      <c r="BG29" s="252">
        <f>+BH29</f>
        <v>687191.74247239612</v>
      </c>
      <c r="BH29" s="252">
        <v>687191.74247239612</v>
      </c>
      <c r="BI29" s="252">
        <v>518227.84</v>
      </c>
      <c r="BJ29" s="226">
        <v>1731874.7700000009</v>
      </c>
      <c r="BK29" s="226"/>
      <c r="BL29" s="226"/>
      <c r="BM29" s="226"/>
      <c r="BN29" s="233">
        <v>2005725.5200000007</v>
      </c>
      <c r="BO29" s="233"/>
      <c r="BP29" s="233"/>
      <c r="BQ29" s="233"/>
      <c r="BR29" s="26">
        <f t="shared" si="22"/>
        <v>1990.0430180109104</v>
      </c>
      <c r="BS29" s="43">
        <f t="shared" si="23"/>
        <v>0.13476726703034581</v>
      </c>
      <c r="BT29" s="43">
        <f t="shared" si="24"/>
        <v>0.53333333333333333</v>
      </c>
      <c r="BU29" s="43">
        <f t="shared" si="25"/>
        <v>0.56666666666666665</v>
      </c>
      <c r="BV29" s="43">
        <f t="shared" si="26"/>
        <v>0.6</v>
      </c>
      <c r="BW29" s="43">
        <f t="shared" si="27"/>
        <v>0.6333333333333333</v>
      </c>
      <c r="BX29" s="43">
        <f t="shared" si="28"/>
        <v>0.66666666666666674</v>
      </c>
      <c r="BY29" s="43">
        <f t="shared" si="29"/>
        <v>0.7</v>
      </c>
      <c r="BZ29" s="43">
        <f t="shared" si="30"/>
        <v>0.73333333333333339</v>
      </c>
      <c r="CA29" s="43">
        <f t="shared" si="31"/>
        <v>0.76666666666666661</v>
      </c>
      <c r="CB29" s="43">
        <f t="shared" si="32"/>
        <v>0.8</v>
      </c>
      <c r="CC29" s="43">
        <f t="shared" si="33"/>
        <v>0.83333333333333337</v>
      </c>
      <c r="CD29" s="43">
        <f t="shared" si="34"/>
        <v>0.8666666666666667</v>
      </c>
      <c r="CE29" s="43">
        <f t="shared" si="35"/>
        <v>0.9</v>
      </c>
      <c r="CF29" s="43">
        <f t="shared" si="36"/>
        <v>0.93333333333333335</v>
      </c>
      <c r="CG29" s="43">
        <f t="shared" si="37"/>
        <v>0.70412407916239772</v>
      </c>
      <c r="CH29" s="43">
        <f t="shared" si="38"/>
        <v>0.96666666666666667</v>
      </c>
      <c r="CI29" s="43">
        <f t="shared" si="39"/>
        <v>1</v>
      </c>
      <c r="CJ29" s="239">
        <f t="shared" si="40"/>
        <v>13937582.292853558</v>
      </c>
      <c r="CK29" s="239">
        <f t="shared" si="41"/>
        <v>95132.565803693607</v>
      </c>
      <c r="CL29" s="239">
        <f t="shared" si="42"/>
        <v>8534620.7025717348</v>
      </c>
    </row>
    <row r="30" spans="1:93" ht="12.75" customHeight="1" x14ac:dyDescent="0.25">
      <c r="A30" s="6"/>
      <c r="B30" s="3" t="s">
        <v>48</v>
      </c>
      <c r="C30" s="7">
        <v>30</v>
      </c>
      <c r="D30" s="37">
        <v>3801860.6462719133</v>
      </c>
      <c r="E30" s="151"/>
      <c r="F30" s="152">
        <v>2413152.2195853922</v>
      </c>
      <c r="G30" s="87">
        <v>86766.887999999992</v>
      </c>
      <c r="H30" s="88"/>
      <c r="I30" s="127"/>
      <c r="J30" s="88"/>
      <c r="K30" s="89">
        <v>135558.54513805523</v>
      </c>
      <c r="L30" s="90">
        <v>0</v>
      </c>
      <c r="M30" s="153"/>
      <c r="N30" s="91"/>
      <c r="O30" s="95">
        <v>115214.17914602546</v>
      </c>
      <c r="P30" s="93"/>
      <c r="Q30" s="94"/>
      <c r="R30" s="93"/>
      <c r="S30" s="154">
        <v>115420</v>
      </c>
      <c r="T30" s="114"/>
      <c r="U30" s="154"/>
      <c r="V30" s="155"/>
      <c r="W30" s="58">
        <v>129961</v>
      </c>
      <c r="X30" s="58">
        <v>0</v>
      </c>
      <c r="Y30" s="58"/>
      <c r="Z30" s="59"/>
      <c r="AA30" s="76">
        <v>333192</v>
      </c>
      <c r="AB30" s="156">
        <v>0</v>
      </c>
      <c r="AC30" s="157"/>
      <c r="AD30" s="61"/>
      <c r="AE30" s="63">
        <v>515266.79</v>
      </c>
      <c r="AF30" s="63">
        <v>0</v>
      </c>
      <c r="AG30" s="158"/>
      <c r="AH30" s="62"/>
      <c r="AI30" s="154">
        <v>330540.90999999997</v>
      </c>
      <c r="AJ30" s="154">
        <v>0</v>
      </c>
      <c r="AK30" s="154"/>
      <c r="AL30" s="155"/>
      <c r="AM30" s="49">
        <v>462363.19000000018</v>
      </c>
      <c r="AN30" s="49">
        <v>0</v>
      </c>
      <c r="AO30" s="49"/>
      <c r="AP30" s="50"/>
      <c r="AQ30" s="159">
        <v>804704.21999999986</v>
      </c>
      <c r="AR30" s="198">
        <v>0</v>
      </c>
      <c r="AS30" s="198"/>
      <c r="AT30" s="198"/>
      <c r="AU30" s="210">
        <v>708124.1399999999</v>
      </c>
      <c r="AV30" s="210">
        <v>0</v>
      </c>
      <c r="AW30" s="210"/>
      <c r="AX30" s="210"/>
      <c r="AY30" s="129">
        <v>950598.12999999837</v>
      </c>
      <c r="AZ30" s="129">
        <v>0</v>
      </c>
      <c r="BA30" s="129"/>
      <c r="BB30" s="129"/>
      <c r="BC30" s="146">
        <v>542518.81999999972</v>
      </c>
      <c r="BD30" s="136"/>
      <c r="BE30" s="136"/>
      <c r="BF30" s="136"/>
      <c r="BG30" s="252"/>
      <c r="BH30" s="252"/>
      <c r="BI30" s="252"/>
      <c r="BJ30" s="226">
        <v>1106379.0500000003</v>
      </c>
      <c r="BK30" s="226"/>
      <c r="BL30" s="226"/>
      <c r="BM30" s="226"/>
      <c r="BN30" s="233">
        <v>992356.56</v>
      </c>
      <c r="BO30" s="233"/>
      <c r="BP30" s="233"/>
      <c r="BQ30" s="233"/>
      <c r="BR30" s="26">
        <f t="shared" si="22"/>
        <v>1990.0418779969095</v>
      </c>
      <c r="BS30" s="43">
        <f t="shared" si="23"/>
        <v>0.13472926656365114</v>
      </c>
      <c r="BT30" s="43">
        <f t="shared" si="24"/>
        <v>0.53333333333333333</v>
      </c>
      <c r="BU30" s="43">
        <f t="shared" si="25"/>
        <v>0.56666666666666665</v>
      </c>
      <c r="BV30" s="43">
        <f t="shared" si="26"/>
        <v>0.6</v>
      </c>
      <c r="BW30" s="43">
        <f t="shared" si="27"/>
        <v>0.6333333333333333</v>
      </c>
      <c r="BX30" s="43">
        <f t="shared" si="28"/>
        <v>0.66666666666666674</v>
      </c>
      <c r="BY30" s="43">
        <f t="shared" si="29"/>
        <v>0.7</v>
      </c>
      <c r="BZ30" s="43">
        <f t="shared" si="30"/>
        <v>0.73333333333333339</v>
      </c>
      <c r="CA30" s="43">
        <f t="shared" si="31"/>
        <v>0.76666666666666661</v>
      </c>
      <c r="CB30" s="43">
        <f t="shared" si="32"/>
        <v>0.8</v>
      </c>
      <c r="CC30" s="43">
        <f t="shared" si="33"/>
        <v>0.83333333333333337</v>
      </c>
      <c r="CD30" s="43">
        <f t="shared" si="34"/>
        <v>0.8666666666666667</v>
      </c>
      <c r="CE30" s="43">
        <f t="shared" si="35"/>
        <v>0.9</v>
      </c>
      <c r="CF30" s="43">
        <f t="shared" si="36"/>
        <v>0.93333333333333335</v>
      </c>
      <c r="CG30" s="43">
        <f t="shared" si="37"/>
        <v>0</v>
      </c>
      <c r="CH30" s="43">
        <f t="shared" si="38"/>
        <v>0.96666666666666667</v>
      </c>
      <c r="CI30" s="43">
        <f t="shared" si="39"/>
        <v>1</v>
      </c>
      <c r="CJ30" s="239">
        <f t="shared" si="40"/>
        <v>9651247.4063692056</v>
      </c>
      <c r="CK30" s="239">
        <f t="shared" si="41"/>
        <v>47041.327269472182</v>
      </c>
      <c r="CL30" s="239">
        <f t="shared" si="42"/>
        <v>5479739.0097583411</v>
      </c>
    </row>
    <row r="31" spans="1:93" ht="12.75" customHeight="1" x14ac:dyDescent="0.25">
      <c r="A31" s="6"/>
      <c r="B31" s="3" t="s">
        <v>49</v>
      </c>
      <c r="C31" s="7">
        <v>30</v>
      </c>
      <c r="D31" s="37">
        <v>0</v>
      </c>
      <c r="E31" s="151"/>
      <c r="F31" s="152">
        <v>0</v>
      </c>
      <c r="G31" s="87">
        <v>0</v>
      </c>
      <c r="H31" s="88"/>
      <c r="I31" s="127"/>
      <c r="J31" s="88"/>
      <c r="K31" s="89">
        <v>0</v>
      </c>
      <c r="L31" s="90">
        <v>0</v>
      </c>
      <c r="M31" s="153"/>
      <c r="N31" s="91"/>
      <c r="O31" s="95">
        <v>0</v>
      </c>
      <c r="P31" s="93"/>
      <c r="Q31" s="94"/>
      <c r="R31" s="93"/>
      <c r="S31" s="154">
        <v>0</v>
      </c>
      <c r="T31" s="114"/>
      <c r="U31" s="154"/>
      <c r="V31" s="155"/>
      <c r="W31" s="58">
        <v>0</v>
      </c>
      <c r="X31" s="58">
        <v>0</v>
      </c>
      <c r="Y31" s="58"/>
      <c r="Z31" s="59"/>
      <c r="AA31" s="76">
        <v>0</v>
      </c>
      <c r="AB31" s="156">
        <v>0</v>
      </c>
      <c r="AC31" s="157"/>
      <c r="AD31" s="61"/>
      <c r="AE31" s="63">
        <v>0</v>
      </c>
      <c r="AF31" s="63">
        <v>0</v>
      </c>
      <c r="AG31" s="158"/>
      <c r="AH31" s="62"/>
      <c r="AI31" s="154">
        <v>0</v>
      </c>
      <c r="AJ31" s="154">
        <v>0</v>
      </c>
      <c r="AK31" s="154"/>
      <c r="AL31" s="155"/>
      <c r="AM31" s="49">
        <v>0</v>
      </c>
      <c r="AN31" s="49">
        <v>0</v>
      </c>
      <c r="AO31" s="49"/>
      <c r="AP31" s="53"/>
      <c r="AQ31" s="159">
        <v>0</v>
      </c>
      <c r="AR31" s="198">
        <v>0</v>
      </c>
      <c r="AS31" s="198"/>
      <c r="AT31" s="198"/>
      <c r="AU31" s="210">
        <v>0</v>
      </c>
      <c r="AV31" s="210">
        <v>0</v>
      </c>
      <c r="AW31" s="210"/>
      <c r="AX31" s="210"/>
      <c r="AY31" s="129">
        <v>0</v>
      </c>
      <c r="AZ31" s="129">
        <v>0</v>
      </c>
      <c r="BA31" s="129"/>
      <c r="BB31" s="129"/>
      <c r="BC31" s="146">
        <v>103431.25</v>
      </c>
      <c r="BD31" s="136"/>
      <c r="BE31" s="136"/>
      <c r="BF31" s="136"/>
      <c r="BG31" s="252"/>
      <c r="BH31" s="252"/>
      <c r="BI31" s="252"/>
      <c r="BJ31" s="226">
        <v>200492.75999999998</v>
      </c>
      <c r="BK31" s="226"/>
      <c r="BL31" s="226"/>
      <c r="BM31" s="226"/>
      <c r="BN31" s="233">
        <v>245725.62999999998</v>
      </c>
      <c r="BO31" s="233"/>
      <c r="BP31" s="233"/>
      <c r="BQ31" s="233"/>
      <c r="BR31" s="26">
        <f t="shared" si="22"/>
        <v>0</v>
      </c>
      <c r="BS31" s="43">
        <f t="shared" si="23"/>
        <v>0</v>
      </c>
      <c r="BT31" s="43">
        <f t="shared" si="24"/>
        <v>0.53333333333333333</v>
      </c>
      <c r="BU31" s="43">
        <f t="shared" si="25"/>
        <v>0.56666666666666665</v>
      </c>
      <c r="BV31" s="43">
        <f t="shared" si="26"/>
        <v>0.6</v>
      </c>
      <c r="BW31" s="43">
        <f t="shared" si="27"/>
        <v>0.6333333333333333</v>
      </c>
      <c r="BX31" s="43">
        <f t="shared" si="28"/>
        <v>0.66666666666666674</v>
      </c>
      <c r="BY31" s="43">
        <f t="shared" si="29"/>
        <v>0.7</v>
      </c>
      <c r="BZ31" s="43">
        <f t="shared" si="30"/>
        <v>0.73333333333333339</v>
      </c>
      <c r="CA31" s="43">
        <f t="shared" si="31"/>
        <v>0.76666666666666661</v>
      </c>
      <c r="CB31" s="43">
        <f t="shared" si="32"/>
        <v>0.8</v>
      </c>
      <c r="CC31" s="43">
        <f t="shared" si="33"/>
        <v>0.83333333333333337</v>
      </c>
      <c r="CD31" s="43">
        <f t="shared" si="34"/>
        <v>0.8666666666666667</v>
      </c>
      <c r="CE31" s="43">
        <f t="shared" si="35"/>
        <v>0.9</v>
      </c>
      <c r="CF31" s="43">
        <f t="shared" si="36"/>
        <v>0.93333333333333335</v>
      </c>
      <c r="CG31" s="43">
        <f t="shared" si="37"/>
        <v>0</v>
      </c>
      <c r="CH31" s="43">
        <f t="shared" si="38"/>
        <v>0.96666666666666667</v>
      </c>
      <c r="CI31" s="43">
        <f t="shared" si="39"/>
        <v>1</v>
      </c>
      <c r="CJ31" s="239">
        <f t="shared" si="40"/>
        <v>466157.513471196</v>
      </c>
      <c r="CK31" s="239">
        <f t="shared" si="41"/>
        <v>11656.137093367579</v>
      </c>
      <c r="CL31" s="239">
        <f t="shared" si="42"/>
        <v>443273.40417692193</v>
      </c>
    </row>
    <row r="32" spans="1:93" ht="12.75" customHeight="1" x14ac:dyDescent="0.35">
      <c r="A32" s="6"/>
      <c r="B32" s="4" t="s">
        <v>29</v>
      </c>
      <c r="C32" s="15"/>
      <c r="D32" s="77">
        <v>0</v>
      </c>
      <c r="E32" s="109"/>
      <c r="F32" s="77">
        <v>0</v>
      </c>
      <c r="G32" s="104"/>
      <c r="H32" s="104"/>
      <c r="I32" s="104"/>
      <c r="J32" s="104"/>
      <c r="K32" s="105"/>
      <c r="L32" s="106">
        <v>0</v>
      </c>
      <c r="M32" s="106"/>
      <c r="N32" s="105"/>
      <c r="O32" s="107"/>
      <c r="P32" s="107"/>
      <c r="Q32" s="107"/>
      <c r="R32" s="107"/>
      <c r="S32" s="168"/>
      <c r="T32" s="168"/>
      <c r="U32" s="169"/>
      <c r="V32" s="170"/>
      <c r="W32" s="74"/>
      <c r="X32" s="73"/>
      <c r="Y32" s="74"/>
      <c r="Z32" s="73"/>
      <c r="AA32" s="75"/>
      <c r="AB32" s="75"/>
      <c r="AC32" s="171"/>
      <c r="AD32" s="75"/>
      <c r="AE32" s="50"/>
      <c r="AF32" s="50"/>
      <c r="AG32" s="53"/>
      <c r="AH32" s="50"/>
      <c r="AI32" s="169"/>
      <c r="AJ32" s="170"/>
      <c r="AK32" s="170"/>
      <c r="AL32" s="170"/>
      <c r="AM32" s="190">
        <v>0</v>
      </c>
      <c r="AN32" s="85">
        <v>0</v>
      </c>
      <c r="AO32" s="85"/>
      <c r="AP32" s="86"/>
      <c r="AQ32" s="207">
        <v>0</v>
      </c>
      <c r="AR32" s="202">
        <v>0</v>
      </c>
      <c r="AS32" s="202"/>
      <c r="AT32" s="202"/>
      <c r="AU32" s="218">
        <v>0</v>
      </c>
      <c r="AV32" s="214">
        <v>0</v>
      </c>
      <c r="AW32" s="214"/>
      <c r="AX32" s="219"/>
      <c r="AY32" s="128">
        <v>0</v>
      </c>
      <c r="AZ32" s="128">
        <v>0</v>
      </c>
      <c r="BA32" s="128"/>
      <c r="BB32" s="128"/>
      <c r="BC32" s="147"/>
      <c r="BD32" s="143"/>
      <c r="BE32" s="143"/>
      <c r="BF32" s="143"/>
      <c r="BG32" s="252"/>
      <c r="BH32" s="252"/>
      <c r="BI32" s="252"/>
      <c r="BJ32" s="226"/>
      <c r="BK32" s="226"/>
      <c r="BL32" s="226"/>
      <c r="BM32" s="226"/>
      <c r="BN32" s="233"/>
      <c r="BO32" s="233"/>
      <c r="BP32" s="233"/>
      <c r="BQ32" s="233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241"/>
      <c r="CK32" s="241"/>
      <c r="CL32" s="241"/>
    </row>
    <row r="33" spans="1:90" ht="12.75" customHeight="1" x14ac:dyDescent="0.25">
      <c r="A33" s="6"/>
      <c r="B33" s="3" t="s">
        <v>30</v>
      </c>
      <c r="C33" s="7">
        <v>30</v>
      </c>
      <c r="D33" s="37">
        <v>0</v>
      </c>
      <c r="E33" s="151"/>
      <c r="F33" s="152">
        <v>0</v>
      </c>
      <c r="G33" s="87">
        <v>357372.88</v>
      </c>
      <c r="H33" s="88"/>
      <c r="I33" s="127"/>
      <c r="J33" s="88"/>
      <c r="K33" s="89">
        <v>543253.56000000006</v>
      </c>
      <c r="L33" s="90">
        <v>0</v>
      </c>
      <c r="M33" s="153"/>
      <c r="N33" s="91"/>
      <c r="O33" s="95">
        <v>737930</v>
      </c>
      <c r="P33" s="93"/>
      <c r="Q33" s="94"/>
      <c r="R33" s="93"/>
      <c r="S33" s="154">
        <v>616404</v>
      </c>
      <c r="T33" s="114"/>
      <c r="U33" s="154"/>
      <c r="V33" s="155"/>
      <c r="W33" s="58">
        <v>908729</v>
      </c>
      <c r="X33" s="58">
        <v>0</v>
      </c>
      <c r="Y33" s="58"/>
      <c r="Z33" s="59"/>
      <c r="AA33" s="76">
        <v>1034380.58</v>
      </c>
      <c r="AB33" s="156">
        <v>55639</v>
      </c>
      <c r="AC33" s="157"/>
      <c r="AD33" s="61"/>
      <c r="AE33" s="63">
        <v>1297534</v>
      </c>
      <c r="AF33" s="63">
        <v>0</v>
      </c>
      <c r="AG33" s="158"/>
      <c r="AH33" s="62"/>
      <c r="AI33" s="154">
        <v>1402601.7</v>
      </c>
      <c r="AJ33" s="154">
        <v>0</v>
      </c>
      <c r="AK33" s="154"/>
      <c r="AL33" s="155"/>
      <c r="AM33" s="49">
        <v>1130909.5199999993</v>
      </c>
      <c r="AN33" s="49">
        <v>0</v>
      </c>
      <c r="AO33" s="49"/>
      <c r="AP33" s="50"/>
      <c r="AQ33" s="159">
        <v>1272704.2400000021</v>
      </c>
      <c r="AR33" s="198">
        <v>0</v>
      </c>
      <c r="AS33" s="198"/>
      <c r="AT33" s="198"/>
      <c r="AU33" s="210">
        <v>1171005.9999999995</v>
      </c>
      <c r="AV33" s="210">
        <v>0</v>
      </c>
      <c r="AW33" s="210"/>
      <c r="AX33" s="210"/>
      <c r="AY33" s="129">
        <v>1787672.0399999998</v>
      </c>
      <c r="AZ33" s="129">
        <v>0</v>
      </c>
      <c r="BA33" s="129"/>
      <c r="BB33" s="129"/>
      <c r="BC33" s="146">
        <v>1674946.8199999996</v>
      </c>
      <c r="BD33" s="136"/>
      <c r="BE33" s="136"/>
      <c r="BF33" s="136"/>
      <c r="BG33" s="252">
        <f>+BH33</f>
        <v>260770.20404708656</v>
      </c>
      <c r="BH33" s="252">
        <v>260770.20404708656</v>
      </c>
      <c r="BI33" s="252">
        <f>0.6*327755.15</f>
        <v>196653.09</v>
      </c>
      <c r="BJ33" s="226">
        <v>2241612.7600000002</v>
      </c>
      <c r="BK33" s="226"/>
      <c r="BL33" s="226"/>
      <c r="BM33" s="226"/>
      <c r="BN33" s="233">
        <v>2116636.4599999953</v>
      </c>
      <c r="BO33" s="233"/>
      <c r="BP33" s="233"/>
      <c r="BQ33" s="233"/>
      <c r="BR33" s="26">
        <f>IF(D33=0,0,2001-(D33-F33)*C33/D33)</f>
        <v>0</v>
      </c>
      <c r="BS33" s="43">
        <f>IF((1-($CJ$2-$BR33)/$C33)&gt;0,(1-($CJ$2-$BR33)/$C33),0)</f>
        <v>0</v>
      </c>
      <c r="BT33" s="43">
        <f>IF((1-($CJ$2-G$2)/$C33)&gt;0,(1-($CJ$2-G$2)/$C33),0)</f>
        <v>0.53333333333333333</v>
      </c>
      <c r="BU33" s="43">
        <f>IF((1-($CJ$2-K$2)/$C33)&gt;0,(1-($CJ$2-K$2)/$C33),0)</f>
        <v>0.56666666666666665</v>
      </c>
      <c r="BV33" s="43">
        <f>IF((1-($CJ$2-O$2)/$C33)&gt;0,(1-($CJ$2-O$2)/$C33),0)</f>
        <v>0.6</v>
      </c>
      <c r="BW33" s="43">
        <f>IF((1-($CJ$2-S$2)/$C33)&gt;0,(1-($CJ$2-S$2)/$C33),0)</f>
        <v>0.6333333333333333</v>
      </c>
      <c r="BX33" s="43">
        <f>IF((1-($CJ$2-W$2)/$C33)&gt;0,(1-($CJ$2-W$2)/$C33),0)</f>
        <v>0.66666666666666674</v>
      </c>
      <c r="BY33" s="43">
        <f>IF((1-($CJ$2-AA$2)/$C33)&gt;0,(1-($CJ$2-AA$2)/$C33),0)</f>
        <v>0.7</v>
      </c>
      <c r="BZ33" s="43">
        <f>IF((1-($CJ$2-AE$2)/$C33)&gt;0,(1-($CJ$2-AE$2)/$C33),0)</f>
        <v>0.73333333333333339</v>
      </c>
      <c r="CA33" s="43">
        <f>IF((1-($CJ$2-AI$2)/$C33)&gt;0,(1-($CJ$2-AI$2)/$C33),0)</f>
        <v>0.76666666666666661</v>
      </c>
      <c r="CB33" s="43">
        <f>IF((1-($CJ$2-AM$2)/$C33)&gt;0,(1-($CJ$2-AM$2)/$C33),0)</f>
        <v>0.8</v>
      </c>
      <c r="CC33" s="43">
        <f>IF((1-($CJ$2-AQ$2)/$C33)&gt;0,(1-($CJ$2-AQ$2)/$C33),0)</f>
        <v>0.83333333333333337</v>
      </c>
      <c r="CD33" s="43">
        <f>IF((1-($CJ$2-AU$2)/$C33)&gt;0,(1-($CJ$2-AU$2)/$C33),0)</f>
        <v>0.8666666666666667</v>
      </c>
      <c r="CE33" s="43">
        <f>IF((1-($CJ$2-AY$2)/$C33)&gt;0,(1-($CJ$2-AY$2)/$C33),0)</f>
        <v>0.9</v>
      </c>
      <c r="CF33" s="43">
        <f>IF((1-($CJ$2-BC$2)/$C33)&gt;0,(1-($CJ$2-BC$2)/$C33),0)</f>
        <v>0.93333333333333335</v>
      </c>
      <c r="CG33" s="43">
        <f>IF(BG33=0,0,1-($CJ$2-(2014.5-(BG33-BI33)*C33/BG33))/C33)</f>
        <v>0.70412407916239772</v>
      </c>
      <c r="CH33" s="43">
        <f>IF((1-($CJ$2-BJ$2)/$C33)&gt;0,(1-($CJ$2-BJ$2)/$C33),0)</f>
        <v>0.96666666666666667</v>
      </c>
      <c r="CI33" s="43">
        <f>IF((1-($CJ$2-BN$2)/$C33)&gt;0,(1-($CJ$2-BN$2)/$C33),0)</f>
        <v>1</v>
      </c>
      <c r="CJ33" s="239">
        <f>D33-E33+(G33-I33)*G$61+(K33-M33)*K$61+(O33-Q33)*O$61+(S33-U33)*S$61+(W33-Y33)*W$61+(AA33-AC33)*AA$61+(AE33-AG33)*AE$61+(AI33-AK33)*AI$61+(AM33-AO33)*AM$61+(AQ33-AS33)*$AQ$61+(AU33-AW33)*$AU$61+(AY33-BA33)*$AY$61+(BC33-BE33)*$BC$61+(BJ33-BL33)*$BJ$61+BG33+(BN33-BP33)*$BN$61</f>
        <v>15076041.20579051</v>
      </c>
      <c r="CK33" s="239">
        <f>CJ33-(IF(BS33=0,0,D33-E33)+IF(BT33=0,0,(G33-I33)*G$61)+IF(BU33=0,0,(K33-M33)*K$61)+IF(BV33=0,0,(O33-Q33)*O$61)+IF(BW33=0,0,(S33-U33)*S$61)+IF(BX33=0,0,(W33-Y33)*W$61)+IF(BY33=0,0,(AA33-AC33)*AA$61)+IF(BZ33=0,0,(AE33-AG33)*AE$61)+IF(CA33=0,0,(AI33-AK33)*AI$61)+IF(CB33=0,0,(AM33-AO33)*AM$61)+IF(CC33=0,0,(AQ33-AS33)*$AQ$61)+IF(CD33=0,0,(AU33-AW33)*$AU$61)+IF(CE33=0,0,(AY33-BA33)*$AY$61)++IF(CF33=0,0,(BC33-BE33)*$BC$61)+IF(CH33=0,0,(BJ33-BL33)*$BC$61)+IF(CG33=0,0,BG33)+IF(CI33=0,0,(BN33-BP33)*$BC$61))</f>
        <v>100348.92636824772</v>
      </c>
      <c r="CL33" s="239">
        <f>(D33-E33)*BS33+((G33-H33-(I33-J33))*G$61)*BT33+((K33-L33-(M33-N33))*K$61)*BU33+((O33-P33-(Q33-R33))*O$61)*BV33+((S33-T33-(U33-V33))*S$61)*BW33+((W33-X33-(Y33-Z33))*W$61)*BX33+((AA33-AB33-(AC33-AD33))*AA$61)*BY33+((AE33-AF33-(AG33-AH33))*AE$61)*BZ33+((AI33-AJ33-(AK33-AL33))*AI$61)*CA33+((AM33-AN33-(AO33-AP33))*$AM$61)*CB33+((AQ33-AR33-(AS33-AT33))*$AQ$61)*CC33+((AU33-AV33-(AW33-AX33))*$AU$61)*CD33+((AY33-AZ33-(BA33-BB33))*$AY$61)*CE33+((BC33-BD33-(BF33-BR33))*$BC$61)*CF33+((BJ33-BK33-(BL33-BM33))*$BC$61)*CH33+(BG33-BH33)*CG33+((BN33-BO33-(BP33-BQ33))*$BC$61)*CI33</f>
        <v>12065977.172789199</v>
      </c>
    </row>
    <row r="34" spans="1:90" ht="12.75" customHeight="1" x14ac:dyDescent="0.25">
      <c r="A34" s="6"/>
      <c r="B34" s="3" t="s">
        <v>31</v>
      </c>
      <c r="C34" s="7">
        <v>30</v>
      </c>
      <c r="D34" s="37">
        <v>0</v>
      </c>
      <c r="E34" s="151"/>
      <c r="F34" s="152">
        <v>0</v>
      </c>
      <c r="G34" s="87">
        <v>20855.34</v>
      </c>
      <c r="H34" s="88"/>
      <c r="I34" s="127"/>
      <c r="J34" s="88"/>
      <c r="K34" s="89">
        <v>31716.79</v>
      </c>
      <c r="L34" s="90">
        <v>0</v>
      </c>
      <c r="M34" s="153"/>
      <c r="N34" s="91"/>
      <c r="O34" s="95">
        <v>45392.1</v>
      </c>
      <c r="P34" s="93"/>
      <c r="Q34" s="94"/>
      <c r="R34" s="93"/>
      <c r="S34" s="154">
        <v>55532</v>
      </c>
      <c r="T34" s="114"/>
      <c r="U34" s="154"/>
      <c r="V34" s="155"/>
      <c r="W34" s="58">
        <v>21527.58</v>
      </c>
      <c r="X34" s="58">
        <v>0</v>
      </c>
      <c r="Y34" s="58"/>
      <c r="Z34" s="59"/>
      <c r="AA34" s="76">
        <v>69879.69</v>
      </c>
      <c r="AB34" s="156">
        <v>0</v>
      </c>
      <c r="AC34" s="157"/>
      <c r="AD34" s="61"/>
      <c r="AE34" s="63">
        <v>167603.6</v>
      </c>
      <c r="AF34" s="63">
        <v>0</v>
      </c>
      <c r="AG34" s="158"/>
      <c r="AH34" s="62"/>
      <c r="AI34" s="154">
        <v>114363.29</v>
      </c>
      <c r="AJ34" s="154">
        <v>0</v>
      </c>
      <c r="AK34" s="154"/>
      <c r="AL34" s="155"/>
      <c r="AM34" s="49">
        <v>128319.80999999997</v>
      </c>
      <c r="AN34" s="49">
        <v>0</v>
      </c>
      <c r="AO34" s="49"/>
      <c r="AP34" s="50"/>
      <c r="AQ34" s="159">
        <v>45878.89</v>
      </c>
      <c r="AR34" s="198">
        <v>0</v>
      </c>
      <c r="AS34" s="198"/>
      <c r="AT34" s="198"/>
      <c r="AU34" s="210">
        <v>78988.76999999999</v>
      </c>
      <c r="AV34" s="210">
        <v>0</v>
      </c>
      <c r="AW34" s="210"/>
      <c r="AX34" s="210"/>
      <c r="AY34" s="129">
        <v>165321.32</v>
      </c>
      <c r="AZ34" s="129">
        <v>0</v>
      </c>
      <c r="BA34" s="129"/>
      <c r="BB34" s="129"/>
      <c r="BC34" s="146">
        <v>329359.53999999998</v>
      </c>
      <c r="BD34" s="136"/>
      <c r="BE34" s="136"/>
      <c r="BF34" s="136"/>
      <c r="BG34" s="252"/>
      <c r="BH34" s="252"/>
      <c r="BI34" s="252"/>
      <c r="BJ34" s="226">
        <v>502319.06999999995</v>
      </c>
      <c r="BK34" s="226"/>
      <c r="BL34" s="226"/>
      <c r="BM34" s="226"/>
      <c r="BN34" s="233">
        <v>584095.52000000014</v>
      </c>
      <c r="BO34" s="233"/>
      <c r="BP34" s="233"/>
      <c r="BQ34" s="233"/>
      <c r="BR34" s="26">
        <f>IF(D34=0,0,2001-(D34-F34)*C34/D34)</f>
        <v>0</v>
      </c>
      <c r="BS34" s="43">
        <f>IF((1-($CJ$2-$BR34)/$C34)&gt;0,(1-($CJ$2-$BR34)/$C34),0)</f>
        <v>0</v>
      </c>
      <c r="BT34" s="43">
        <f>IF((1-($CJ$2-G$2)/$C34)&gt;0,(1-($CJ$2-G$2)/$C34),0)</f>
        <v>0.53333333333333333</v>
      </c>
      <c r="BU34" s="43">
        <f>IF((1-($CJ$2-K$2)/$C34)&gt;0,(1-($CJ$2-K$2)/$C34),0)</f>
        <v>0.56666666666666665</v>
      </c>
      <c r="BV34" s="43">
        <f>IF((1-($CJ$2-O$2)/$C34)&gt;0,(1-($CJ$2-O$2)/$C34),0)</f>
        <v>0.6</v>
      </c>
      <c r="BW34" s="43">
        <f>IF((1-($CJ$2-S$2)/$C34)&gt;0,(1-($CJ$2-S$2)/$C34),0)</f>
        <v>0.6333333333333333</v>
      </c>
      <c r="BX34" s="43">
        <f>IF((1-($CJ$2-W$2)/$C34)&gt;0,(1-($CJ$2-W$2)/$C34),0)</f>
        <v>0.66666666666666674</v>
      </c>
      <c r="BY34" s="43">
        <f>IF((1-($CJ$2-AA$2)/$C34)&gt;0,(1-($CJ$2-AA$2)/$C34),0)</f>
        <v>0.7</v>
      </c>
      <c r="BZ34" s="43">
        <f>IF((1-($CJ$2-AE$2)/$C34)&gt;0,(1-($CJ$2-AE$2)/$C34),0)</f>
        <v>0.73333333333333339</v>
      </c>
      <c r="CA34" s="43">
        <f>IF((1-($CJ$2-AI$2)/$C34)&gt;0,(1-($CJ$2-AI$2)/$C34),0)</f>
        <v>0.76666666666666661</v>
      </c>
      <c r="CB34" s="43">
        <f>IF((1-($CJ$2-AM$2)/$C34)&gt;0,(1-($CJ$2-AM$2)/$C34),0)</f>
        <v>0.8</v>
      </c>
      <c r="CC34" s="43">
        <f>IF((1-($CJ$2-AQ$2)/$C34)&gt;0,(1-($CJ$2-AQ$2)/$C34),0)</f>
        <v>0.83333333333333337</v>
      </c>
      <c r="CD34" s="43">
        <f>IF((1-($CJ$2-AU$2)/$C34)&gt;0,(1-($CJ$2-AU$2)/$C34),0)</f>
        <v>0.8666666666666667</v>
      </c>
      <c r="CE34" s="43">
        <f>IF((1-($CJ$2-AY$2)/$C34)&gt;0,(1-($CJ$2-AY$2)/$C34),0)</f>
        <v>0.9</v>
      </c>
      <c r="CF34" s="43">
        <f>IF((1-($CJ$2-BC$2)/$C34)&gt;0,(1-($CJ$2-BC$2)/$C34),0)</f>
        <v>0.93333333333333335</v>
      </c>
      <c r="CG34" s="43">
        <f>IF(BG34=0,0,1-($CJ$2-(2014.5-(BG34-BI34)*C34/BG34))/C34)</f>
        <v>0</v>
      </c>
      <c r="CH34" s="43">
        <f>IF((1-($CJ$2-BJ$2)/$C34)&gt;0,(1-($CJ$2-BJ$2)/$C34),0)</f>
        <v>0.96666666666666667</v>
      </c>
      <c r="CI34" s="43">
        <f>IF((1-($CJ$2-BN$2)/$C34)&gt;0,(1-($CJ$2-BN$2)/$C34),0)</f>
        <v>1</v>
      </c>
      <c r="CJ34" s="239">
        <f>D34-E34+(G34-I34)*G$61+(K34-M34)*K$61+(O34-Q34)*O$61+(S34-U34)*S$61+(W34-Y34)*W$61+(AA34-AC34)*AA$61+(AE34-AG34)*AE$61+(AI34-AK34)*AI$61+(AM34-AO34)*AM$61+(AQ34-AS34)*$AQ$61+(AU34-AW34)*$AU$61+(AY34-BA34)*$AY$61+(BC34-BE34)*$BC$61+(BJ34-BL34)*$BJ$61+BG34+(BN34-BP34)*$BN$61</f>
        <v>1936522.1698219571</v>
      </c>
      <c r="CK34" s="239">
        <f>CJ34-(IF(BS34=0,0,D34-E34)+IF(BT34=0,0,(G34-I34)*G$61)+IF(BU34=0,0,(K34-M34)*K$61)+IF(BV34=0,0,(O34-Q34)*O$61)+IF(BW34=0,0,(S34-U34)*S$61)+IF(BX34=0,0,(W34-Y34)*W$61)+IF(BY34=0,0,(AA34-AC34)*AA$61)+IF(BZ34=0,0,(AE34-AG34)*AE$61)+IF(CA34=0,0,(AI34-AK34)*AI$61)+IF(CB34=0,0,(AM34-AO34)*AM$61)+IF(CC34=0,0,(AQ34-AS34)*$AQ$61)+IF(CD34=0,0,(AU34-AW34)*$AU$61)+IF(CE34=0,0,(AY34-BA34)*$AY$61)++IF(CF34=0,0,(BC34-BE34)*$BC$61)+IF(CH34=0,0,(BJ34-BL34)*$BC$61)+IF(CG34=0,0,BG34)+IF(CI34=0,0,(BN34-BP34)*$BC$61))</f>
        <v>27704.15946229035</v>
      </c>
      <c r="CL34" s="239">
        <f>(D34-E34)*BS34+((G34-H34-(I34-J34))*G$61)*BT34+((K34-L34-(M34-N34))*K$61)*BU34+((O34-P34-(Q34-R34))*O$61)*BV34+((S34-T34-(U34-V34))*S$61)*BW34+((W34-X34-(Y34-Z34))*W$61)*BX34+((AA34-AB34-(AC34-AD34))*AA$61)*BY34+((AE34-AF34-(AG34-AH34))*AE$61)*BZ34+((AI34-AJ34-(AK34-AL34))*AI$61)*CA34+((AM34-AN34-(AO34-AP34))*$AM$61)*CB34+((AQ34-AR34-(AS34-AT34))*$AQ$61)*CC34+((AU34-AV34-(AW34-AX34))*$AU$61)*CD34+((AY34-AZ34-(BA34-BB34))*$AY$61)*CE34+((BC34-BD34-(BF34-BR34))*$BC$61)*CF34+((BJ34-BK34-(BL34-BM34))*$BC$61)*CH34+(BG34-BH34)*CG34+((BN34-BO34-(BP34-BQ34))*$BC$61)*CI34</f>
        <v>1695876.3473786344</v>
      </c>
    </row>
    <row r="35" spans="1:90" ht="12.75" customHeight="1" x14ac:dyDescent="0.25">
      <c r="A35" s="6"/>
      <c r="B35" s="3" t="s">
        <v>50</v>
      </c>
      <c r="C35" s="7">
        <v>30</v>
      </c>
      <c r="D35" s="37">
        <v>10109999.26940603</v>
      </c>
      <c r="E35" s="151"/>
      <c r="F35" s="152">
        <v>6944775.122452748</v>
      </c>
      <c r="G35" s="87">
        <v>110095.16</v>
      </c>
      <c r="H35" s="88"/>
      <c r="I35" s="127"/>
      <c r="J35" s="88"/>
      <c r="K35" s="89">
        <v>147527.42000000001</v>
      </c>
      <c r="L35" s="90">
        <v>20984</v>
      </c>
      <c r="M35" s="153"/>
      <c r="N35" s="91"/>
      <c r="O35" s="95">
        <v>202095.11</v>
      </c>
      <c r="P35" s="93"/>
      <c r="Q35" s="94"/>
      <c r="R35" s="93"/>
      <c r="S35" s="154">
        <v>159017</v>
      </c>
      <c r="T35" s="114"/>
      <c r="U35" s="154"/>
      <c r="V35" s="155"/>
      <c r="W35" s="58">
        <v>103233.12</v>
      </c>
      <c r="X35" s="58">
        <v>0</v>
      </c>
      <c r="Y35" s="58"/>
      <c r="Z35" s="59"/>
      <c r="AA35" s="76">
        <v>228601</v>
      </c>
      <c r="AB35" s="156">
        <v>0</v>
      </c>
      <c r="AC35" s="157"/>
      <c r="AD35" s="61"/>
      <c r="AE35" s="63">
        <v>200982</v>
      </c>
      <c r="AF35" s="63">
        <v>0</v>
      </c>
      <c r="AG35" s="158"/>
      <c r="AH35" s="62"/>
      <c r="AI35" s="154">
        <v>317412.78999999998</v>
      </c>
      <c r="AJ35" s="154">
        <v>0</v>
      </c>
      <c r="AK35" s="154"/>
      <c r="AL35" s="155"/>
      <c r="AM35" s="49">
        <v>385355</v>
      </c>
      <c r="AN35" s="49">
        <v>0</v>
      </c>
      <c r="AO35" s="49"/>
      <c r="AP35" s="50"/>
      <c r="AQ35" s="159">
        <v>616660.66</v>
      </c>
      <c r="AR35" s="198">
        <v>0</v>
      </c>
      <c r="AS35" s="198"/>
      <c r="AT35" s="198"/>
      <c r="AU35" s="210">
        <v>343937.51999999996</v>
      </c>
      <c r="AV35" s="210">
        <v>0</v>
      </c>
      <c r="AW35" s="210"/>
      <c r="AX35" s="210"/>
      <c r="AY35" s="129">
        <v>322760.92000000004</v>
      </c>
      <c r="AZ35" s="129">
        <v>0</v>
      </c>
      <c r="BA35" s="129"/>
      <c r="BB35" s="129"/>
      <c r="BC35" s="146">
        <v>379311.01</v>
      </c>
      <c r="BD35" s="136"/>
      <c r="BE35" s="136"/>
      <c r="BF35" s="136"/>
      <c r="BG35" s="252">
        <f>+BH35</f>
        <v>173846.80269805776</v>
      </c>
      <c r="BH35" s="252">
        <v>173846.80269805776</v>
      </c>
      <c r="BI35" s="252">
        <f>0.4*327755.15</f>
        <v>131102.06000000003</v>
      </c>
      <c r="BJ35" s="226">
        <v>336121.92999999993</v>
      </c>
      <c r="BK35" s="226"/>
      <c r="BL35" s="226"/>
      <c r="BM35" s="226"/>
      <c r="BN35" s="233">
        <v>292721.17</v>
      </c>
      <c r="BO35" s="233"/>
      <c r="BP35" s="233"/>
      <c r="BQ35" s="233"/>
      <c r="BR35" s="26">
        <f>IF(D35=0,0,2001-(D35-F35)*C35/D35)</f>
        <v>1991.607642802117</v>
      </c>
      <c r="BS35" s="43">
        <f>IF((1-($CJ$2-$BR35)/$C35)&gt;0,(1-($CJ$2-$BR35)/$C35),0)</f>
        <v>0.18692142673723233</v>
      </c>
      <c r="BT35" s="43">
        <f>IF((1-($CJ$2-G$2)/$C35)&gt;0,(1-($CJ$2-G$2)/$C35),0)</f>
        <v>0.53333333333333333</v>
      </c>
      <c r="BU35" s="43">
        <f>IF((1-($CJ$2-K$2)/$C35)&gt;0,(1-($CJ$2-K$2)/$C35),0)</f>
        <v>0.56666666666666665</v>
      </c>
      <c r="BV35" s="43">
        <f>IF((1-($CJ$2-O$2)/$C35)&gt;0,(1-($CJ$2-O$2)/$C35),0)</f>
        <v>0.6</v>
      </c>
      <c r="BW35" s="43">
        <f>IF((1-($CJ$2-S$2)/$C35)&gt;0,(1-($CJ$2-S$2)/$C35),0)</f>
        <v>0.6333333333333333</v>
      </c>
      <c r="BX35" s="43">
        <f>IF((1-($CJ$2-W$2)/$C35)&gt;0,(1-($CJ$2-W$2)/$C35),0)</f>
        <v>0.66666666666666674</v>
      </c>
      <c r="BY35" s="43">
        <f>IF((1-($CJ$2-AA$2)/$C35)&gt;0,(1-($CJ$2-AA$2)/$C35),0)</f>
        <v>0.7</v>
      </c>
      <c r="BZ35" s="43">
        <f>IF((1-($CJ$2-AE$2)/$C35)&gt;0,(1-($CJ$2-AE$2)/$C35),0)</f>
        <v>0.73333333333333339</v>
      </c>
      <c r="CA35" s="43">
        <f>IF((1-($CJ$2-AI$2)/$C35)&gt;0,(1-($CJ$2-AI$2)/$C35),0)</f>
        <v>0.76666666666666661</v>
      </c>
      <c r="CB35" s="43">
        <f>IF((1-($CJ$2-AM$2)/$C35)&gt;0,(1-($CJ$2-AM$2)/$C35),0)</f>
        <v>0.8</v>
      </c>
      <c r="CC35" s="43">
        <f>IF((1-($CJ$2-AQ$2)/$C35)&gt;0,(1-($CJ$2-AQ$2)/$C35),0)</f>
        <v>0.83333333333333337</v>
      </c>
      <c r="CD35" s="43">
        <f>IF((1-($CJ$2-AU$2)/$C35)&gt;0,(1-($CJ$2-AU$2)/$C35),0)</f>
        <v>0.8666666666666667</v>
      </c>
      <c r="CE35" s="43">
        <f>IF((1-($CJ$2-AY$2)/$C35)&gt;0,(1-($CJ$2-AY$2)/$C35),0)</f>
        <v>0.9</v>
      </c>
      <c r="CF35" s="43">
        <f>IF((1-($CJ$2-BC$2)/$C35)&gt;0,(1-($CJ$2-BC$2)/$C35),0)</f>
        <v>0.93333333333333335</v>
      </c>
      <c r="CG35" s="43">
        <f>IF(BG35=0,0,1-($CJ$2-(2014.5-(BG35-BI35)*C35/BG35))/C35)</f>
        <v>0.70412407916239772</v>
      </c>
      <c r="CH35" s="43">
        <f>IF((1-($CJ$2-BJ$2)/$C35)&gt;0,(1-($CJ$2-BJ$2)/$C35),0)</f>
        <v>0.96666666666666667</v>
      </c>
      <c r="CI35" s="43">
        <f>IF((1-($CJ$2-BN$2)/$C35)&gt;0,(1-($CJ$2-BN$2)/$C35),0)</f>
        <v>1</v>
      </c>
      <c r="CJ35" s="239">
        <f>D35-E35+(G35-I35)*G$61+(K35-M35)*K$61+(O35-Q35)*O$61+(S35-U35)*S$61+(W35-Y35)*W$61+(AA35-AC35)*AA$61+(AE35-AG35)*AE$61+(AI35-AK35)*AI$61+(AM35-AO35)*AM$61+(AQ35-AS35)*$AQ$61+(AU35-AW35)*$AU$61+(AY35-BA35)*$AY$61+(BC35-BE35)*$BC$61+(BJ35-BL35)*$BJ$61+BG35+(BN35-BP35)*$BN$61</f>
        <v>13634235.989844348</v>
      </c>
      <c r="CK35" s="239">
        <f>CJ35-(IF(BS35=0,0,D35-E35)+IF(BT35=0,0,(G35-I35)*G$61)+IF(BU35=0,0,(K35-M35)*K$61)+IF(BV35=0,0,(O35-Q35)*O$61)+IF(BW35=0,0,(S35-U35)*S$61)+IF(BX35=0,0,(W35-Y35)*W$61)+IF(BY35=0,0,(AA35-AC35)*AA$61)+IF(BZ35=0,0,(AE35-AG35)*AE$61)+IF(CA35=0,0,(AI35-AK35)*AI$61)+IF(CB35=0,0,(AM35-AO35)*AM$61)+IF(CC35=0,0,(AQ35-AS35)*$AQ$61)+IF(CD35=0,0,(AU35-AW35)*$AU$61)+IF(CE35=0,0,(AY35-BA35)*$AY$61)++IF(CF35=0,0,(BC35-BE35)*$BC$61)+IF(CH35=0,0,(BJ35-BL35)*$BC$61)+IF(CG35=0,0,BG35)+IF(CI35=0,0,(BN35-BP35)*$BC$61))</f>
        <v>13875.010296260938</v>
      </c>
      <c r="CL35" s="239">
        <f>(D35-E35)*BS35+((G35-H35-(I35-J35))*G$61)*BT35+((K35-L35-(M35-N35))*K$61)*BU35+((O35-P35-(Q35-R35))*O$61)*BV35+((S35-T35-(U35-V35))*S$61)*BW35+((W35-X35-(Y35-Z35))*W$61)*BX35+((AA35-AB35-(AC35-AD35))*AA$61)*BY35+((AE35-AF35-(AG35-AH35))*AE$61)*BZ35+((AI35-AJ35-(AK35-AL35))*AI$61)*CA35+((AM35-AN35-(AO35-AP35))*$AM$61)*CB35+((AQ35-AR35-(AS35-AT35))*$AQ$61)*CC35+((AU35-AV35-(AW35-AX35))*$AU$61)*CD35+((AY35-AZ35-(BA35-BB35))*$AY$61)*CE35+((BC35-BD35-(BF35-BR35))*$BC$61)*CF35+((BJ35-BK35-(BL35-BM35))*$BC$61)*CH35+(BG35-BH35)*CG35+((BN35-BO35-(BP35-BQ35))*$BC$61)*CI35</f>
        <v>4573950.1564485049</v>
      </c>
    </row>
    <row r="36" spans="1:90" ht="12.75" customHeight="1" x14ac:dyDescent="0.35">
      <c r="A36" s="6"/>
      <c r="B36" s="5" t="s">
        <v>32</v>
      </c>
      <c r="C36" s="16"/>
      <c r="D36" s="77">
        <v>0</v>
      </c>
      <c r="E36" s="109"/>
      <c r="F36" s="77">
        <v>0</v>
      </c>
      <c r="G36" s="104"/>
      <c r="H36" s="104"/>
      <c r="I36" s="104"/>
      <c r="J36" s="104"/>
      <c r="K36" s="105"/>
      <c r="L36" s="106">
        <v>0</v>
      </c>
      <c r="M36" s="106"/>
      <c r="N36" s="105"/>
      <c r="O36" s="107"/>
      <c r="P36" s="107"/>
      <c r="Q36" s="107"/>
      <c r="R36" s="107"/>
      <c r="S36" s="168"/>
      <c r="T36" s="168"/>
      <c r="U36" s="169"/>
      <c r="V36" s="170"/>
      <c r="W36" s="74"/>
      <c r="X36" s="73"/>
      <c r="Y36" s="74"/>
      <c r="Z36" s="73"/>
      <c r="AA36" s="75"/>
      <c r="AB36" s="75"/>
      <c r="AC36" s="171"/>
      <c r="AD36" s="75"/>
      <c r="AE36" s="50"/>
      <c r="AF36" s="50"/>
      <c r="AG36" s="53"/>
      <c r="AH36" s="50"/>
      <c r="AI36" s="169"/>
      <c r="AJ36" s="170"/>
      <c r="AK36" s="170"/>
      <c r="AL36" s="170"/>
      <c r="AM36" s="190">
        <v>0</v>
      </c>
      <c r="AN36" s="85">
        <v>0</v>
      </c>
      <c r="AO36" s="85"/>
      <c r="AP36" s="86"/>
      <c r="AQ36" s="207">
        <v>0</v>
      </c>
      <c r="AR36" s="202">
        <v>0</v>
      </c>
      <c r="AS36" s="202"/>
      <c r="AT36" s="202"/>
      <c r="AU36" s="218">
        <v>0</v>
      </c>
      <c r="AV36" s="214">
        <v>0</v>
      </c>
      <c r="AW36" s="214"/>
      <c r="AX36" s="219"/>
      <c r="AY36" s="128">
        <v>0</v>
      </c>
      <c r="AZ36" s="128">
        <v>0</v>
      </c>
      <c r="BA36" s="128"/>
      <c r="BB36" s="128"/>
      <c r="BC36" s="147"/>
      <c r="BD36" s="143"/>
      <c r="BE36" s="143"/>
      <c r="BF36" s="143"/>
      <c r="BG36" s="252"/>
      <c r="BH36" s="252"/>
      <c r="BI36" s="252"/>
      <c r="BJ36" s="226"/>
      <c r="BK36" s="226"/>
      <c r="BL36" s="226"/>
      <c r="BM36" s="226"/>
      <c r="BN36" s="233"/>
      <c r="BO36" s="233"/>
      <c r="BP36" s="233"/>
      <c r="BQ36" s="233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241"/>
      <c r="CK36" s="241"/>
      <c r="CL36" s="241"/>
    </row>
    <row r="37" spans="1:90" ht="12.75" customHeight="1" x14ac:dyDescent="0.25">
      <c r="A37" s="6"/>
      <c r="B37" s="24" t="s">
        <v>59</v>
      </c>
      <c r="C37" s="7">
        <v>10</v>
      </c>
      <c r="D37" s="37">
        <v>0</v>
      </c>
      <c r="E37" s="151"/>
      <c r="F37" s="37">
        <v>0</v>
      </c>
      <c r="G37" s="87">
        <v>0</v>
      </c>
      <c r="H37" s="87"/>
      <c r="I37" s="127"/>
      <c r="J37" s="87"/>
      <c r="K37" s="89">
        <v>0</v>
      </c>
      <c r="L37" s="108">
        <v>0</v>
      </c>
      <c r="M37" s="153"/>
      <c r="N37" s="89"/>
      <c r="O37" s="95">
        <v>0</v>
      </c>
      <c r="P37" s="172"/>
      <c r="Q37" s="94"/>
      <c r="R37" s="172"/>
      <c r="S37" s="154">
        <v>0</v>
      </c>
      <c r="T37" s="114"/>
      <c r="U37" s="154"/>
      <c r="V37" s="155"/>
      <c r="W37" s="58">
        <v>0</v>
      </c>
      <c r="X37" s="58">
        <v>0</v>
      </c>
      <c r="Y37" s="58"/>
      <c r="Z37" s="59"/>
      <c r="AA37" s="76">
        <v>0</v>
      </c>
      <c r="AB37" s="156">
        <v>0</v>
      </c>
      <c r="AC37" s="157"/>
      <c r="AD37" s="61"/>
      <c r="AE37" s="63">
        <v>0</v>
      </c>
      <c r="AF37" s="63">
        <v>0</v>
      </c>
      <c r="AG37" s="158"/>
      <c r="AH37" s="62"/>
      <c r="AI37" s="154">
        <v>0</v>
      </c>
      <c r="AJ37" s="154">
        <v>0</v>
      </c>
      <c r="AK37" s="154"/>
      <c r="AL37" s="155"/>
      <c r="AM37" s="49">
        <v>0</v>
      </c>
      <c r="AN37" s="49">
        <v>0</v>
      </c>
      <c r="AO37" s="49"/>
      <c r="AP37" s="50"/>
      <c r="AQ37" s="159">
        <v>0</v>
      </c>
      <c r="AR37" s="198">
        <v>0</v>
      </c>
      <c r="AS37" s="198"/>
      <c r="AT37" s="198"/>
      <c r="AU37" s="210">
        <v>0</v>
      </c>
      <c r="AV37" s="210">
        <v>0</v>
      </c>
      <c r="AW37" s="210"/>
      <c r="AX37" s="210"/>
      <c r="AY37" s="129">
        <v>0</v>
      </c>
      <c r="AZ37" s="129">
        <v>0</v>
      </c>
      <c r="BA37" s="129"/>
      <c r="BB37" s="129"/>
      <c r="BC37" s="146">
        <v>0</v>
      </c>
      <c r="BD37" s="136"/>
      <c r="BE37" s="136"/>
      <c r="BF37" s="136"/>
      <c r="BG37" s="252"/>
      <c r="BH37" s="252"/>
      <c r="BI37" s="252"/>
      <c r="BJ37" s="226">
        <v>0</v>
      </c>
      <c r="BK37" s="226"/>
      <c r="BL37" s="226"/>
      <c r="BM37" s="226"/>
      <c r="BN37" s="233">
        <v>0</v>
      </c>
      <c r="BO37" s="233"/>
      <c r="BP37" s="233"/>
      <c r="BQ37" s="233"/>
      <c r="BR37" s="26">
        <f t="shared" ref="BR37:BR44" si="43">IF(D37=0,0,2001-(D37-F37)*C37/D37)</f>
        <v>0</v>
      </c>
      <c r="BS37" s="43">
        <f t="shared" ref="BS37:BS44" si="44">IF((1-($CJ$2-$BR37)/$C37)&gt;0,(1-($CJ$2-$BR37)/$C37),0)</f>
        <v>0</v>
      </c>
      <c r="BT37" s="43">
        <f t="shared" ref="BT37:BT44" si="45">IF((1-($CJ$2-G$2)/$C37)&gt;0,(1-($CJ$2-G$2)/$C37),0)</f>
        <v>0</v>
      </c>
      <c r="BU37" s="43">
        <f t="shared" ref="BU37:BU44" si="46">IF((1-($CJ$2-K$2)/$C37)&gt;0,(1-($CJ$2-K$2)/$C37),0)</f>
        <v>0</v>
      </c>
      <c r="BV37" s="43">
        <f t="shared" ref="BV37:BV44" si="47">IF((1-($CJ$2-O$2)/$C37)&gt;0,(1-($CJ$2-O$2)/$C37),0)</f>
        <v>0</v>
      </c>
      <c r="BW37" s="43">
        <f t="shared" ref="BW37:BW44" si="48">IF((1-($CJ$2-S$2)/$C37)&gt;0,(1-($CJ$2-S$2)/$C37),0)</f>
        <v>0</v>
      </c>
      <c r="BX37" s="43">
        <f t="shared" ref="BX37:BX44" si="49">IF((1-($CJ$2-W$2)/$C37)&gt;0,(1-($CJ$2-W$2)/$C37),0)</f>
        <v>0</v>
      </c>
      <c r="BY37" s="43">
        <f t="shared" ref="BY37:BY44" si="50">IF((1-($CJ$2-AA$2)/$C37)&gt;0,(1-($CJ$2-AA$2)/$C37),0)</f>
        <v>9.9999999999999978E-2</v>
      </c>
      <c r="BZ37" s="43">
        <f t="shared" ref="BZ37:BZ44" si="51">IF((1-($CJ$2-AE$2)/$C37)&gt;0,(1-($CJ$2-AE$2)/$C37),0)</f>
        <v>0.19999999999999996</v>
      </c>
      <c r="CA37" s="43">
        <f t="shared" ref="CA37:CA44" si="52">IF((1-($CJ$2-AI$2)/$C37)&gt;0,(1-($CJ$2-AI$2)/$C37),0)</f>
        <v>0.30000000000000004</v>
      </c>
      <c r="CB37" s="43">
        <f t="shared" ref="CB37:CB44" si="53">IF((1-($CJ$2-AM$2)/$C37)&gt;0,(1-($CJ$2-AM$2)/$C37),0)</f>
        <v>0.4</v>
      </c>
      <c r="CC37" s="43">
        <f t="shared" ref="CC37:CC44" si="54">IF((1-($CJ$2-AQ$2)/$C37)&gt;0,(1-($CJ$2-AQ$2)/$C37),0)</f>
        <v>0.5</v>
      </c>
      <c r="CD37" s="43">
        <f t="shared" ref="CD37:CD44" si="55">IF((1-($CJ$2-AU$2)/$C37)&gt;0,(1-($CJ$2-AU$2)/$C37),0)</f>
        <v>0.6</v>
      </c>
      <c r="CE37" s="43">
        <f t="shared" ref="CE37:CE44" si="56">IF((1-($CJ$2-AY$2)/$C37)&gt;0,(1-($CJ$2-AY$2)/$C37),0)</f>
        <v>0.7</v>
      </c>
      <c r="CF37" s="43">
        <f t="shared" ref="CF37:CF44" si="57">IF((1-($CJ$2-BC$2)/$C37)&gt;0,(1-($CJ$2-BC$2)/$C37),0)</f>
        <v>0.8</v>
      </c>
      <c r="CG37" s="43">
        <f t="shared" ref="CG37:CG44" si="58">IF(BG37=0,0,1-($CJ$2-(2014.5-(BG37-BI37)*C37/BG37))/C37)</f>
        <v>0</v>
      </c>
      <c r="CH37" s="43">
        <f t="shared" ref="CH37:CH44" si="59">IF((1-($CJ$2-BJ$2)/$C37)&gt;0,(1-($CJ$2-BJ$2)/$C37),0)</f>
        <v>0.9</v>
      </c>
      <c r="CI37" s="43">
        <f t="shared" ref="CI37:CI44" si="60">IF((1-($CJ$2-BN$2)/$C37)&gt;0,(1-($CJ$2-BN$2)/$C37),0)</f>
        <v>1</v>
      </c>
      <c r="CJ37" s="239">
        <f t="shared" ref="CJ37:CJ44" si="61">D37-E37+(G37-I37)*G$61+(K37-M37)*K$61+(O37-Q37)*O$61+(S37-U37)*S$61+(W37-Y37)*W$61+(AA37-AC37)*AA$61+(AE37-AG37)*AE$61+(AI37-AK37)*AI$61+(AM37-AO37)*AM$61+(AQ37-AS37)*$AQ$61+(AU37-AW37)*$AU$61+(AY37-BA37)*$AY$61+(BC37-BE37)*$BC$61+(BJ37-BL37)*$BJ$61+BG37+(BN37-BP37)*$BN$61</f>
        <v>0</v>
      </c>
      <c r="CK37" s="239">
        <f t="shared" ref="CK37:CK44" si="62">CJ37-(IF(BS37=0,0,D37-E37)+IF(BT37=0,0,(G37-I37)*G$61)+IF(BU37=0,0,(K37-M37)*K$61)+IF(BV37=0,0,(O37-Q37)*O$61)+IF(BW37=0,0,(S37-U37)*S$61)+IF(BX37=0,0,(W37-Y37)*W$61)+IF(BY37=0,0,(AA37-AC37)*AA$61)+IF(BZ37=0,0,(AE37-AG37)*AE$61)+IF(CA37=0,0,(AI37-AK37)*AI$61)+IF(CB37=0,0,(AM37-AO37)*AM$61)+IF(CC37=0,0,(AQ37-AS37)*$AQ$61)+IF(CD37=0,0,(AU37-AW37)*$AU$61)+IF(CE37=0,0,(AY37-BA37)*$AY$61)++IF(CF37=0,0,(BC37-BE37)*$BC$61)+IF(CH37=0,0,(BJ37-BL37)*$BC$61)+IF(CG37=0,0,BG37)+IF(CI37=0,0,(BN37-BP37)*$BC$61))</f>
        <v>0</v>
      </c>
      <c r="CL37" s="239">
        <f t="shared" ref="CL37:CL44" si="63">(D37-E37)*BS37+((G37-H37-(I37-J37))*G$61)*BT37+((K37-L37-(M37-N37))*K$61)*BU37+((O37-P37-(Q37-R37))*O$61)*BV37+((S37-T37-(U37-V37))*S$61)*BW37+((W37-X37-(Y37-Z37))*W$61)*BX37+((AA37-AB37-(AC37-AD37))*AA$61)*BY37+((AE37-AF37-(AG37-AH37))*AE$61)*BZ37+((AI37-AJ37-(AK37-AL37))*AI$61)*CA37+((AM37-AN37-(AO37-AP37))*$AM$61)*CB37+((AQ37-AR37-(AS37-AT37))*$AQ$61)*CC37+((AU37-AV37-(AW37-AX37))*$AU$61)*CD37+((AY37-AZ37-(BA37-BB37))*$AY$61)*CE37+((BC37-BD37-(BF37-BR37))*$BC$61)*CF37+((BJ37-BK37-(BL37-BM37))*$BC$61)*CH37+(BG37-BH37)*CG37+((BN37-BO37-(BP37-BQ37))*$BC$61)*CI37</f>
        <v>0</v>
      </c>
    </row>
    <row r="38" spans="1:90" ht="12.75" customHeight="1" x14ac:dyDescent="0.25">
      <c r="A38" s="6"/>
      <c r="B38" s="24" t="s">
        <v>12</v>
      </c>
      <c r="C38" s="7">
        <v>5</v>
      </c>
      <c r="D38" s="37">
        <v>0</v>
      </c>
      <c r="E38" s="151"/>
      <c r="F38" s="37">
        <v>0</v>
      </c>
      <c r="G38" s="87">
        <v>0</v>
      </c>
      <c r="H38" s="87"/>
      <c r="I38" s="127"/>
      <c r="J38" s="87"/>
      <c r="K38" s="89">
        <v>0</v>
      </c>
      <c r="L38" s="108">
        <v>0</v>
      </c>
      <c r="M38" s="153"/>
      <c r="N38" s="89"/>
      <c r="O38" s="95">
        <v>0</v>
      </c>
      <c r="P38" s="172"/>
      <c r="Q38" s="94"/>
      <c r="R38" s="172"/>
      <c r="S38" s="154">
        <v>0</v>
      </c>
      <c r="T38" s="114"/>
      <c r="U38" s="154"/>
      <c r="V38" s="155"/>
      <c r="W38" s="58">
        <v>0</v>
      </c>
      <c r="X38" s="58">
        <v>0</v>
      </c>
      <c r="Y38" s="58"/>
      <c r="Z38" s="59"/>
      <c r="AA38" s="76">
        <v>0</v>
      </c>
      <c r="AB38" s="156">
        <v>0</v>
      </c>
      <c r="AC38" s="157"/>
      <c r="AD38" s="61"/>
      <c r="AE38" s="63">
        <v>0</v>
      </c>
      <c r="AF38" s="63">
        <v>0</v>
      </c>
      <c r="AG38" s="158"/>
      <c r="AH38" s="62"/>
      <c r="AI38" s="154">
        <v>0</v>
      </c>
      <c r="AJ38" s="154">
        <v>0</v>
      </c>
      <c r="AK38" s="154"/>
      <c r="AL38" s="155"/>
      <c r="AM38" s="49">
        <v>0</v>
      </c>
      <c r="AN38" s="49">
        <v>0</v>
      </c>
      <c r="AO38" s="49"/>
      <c r="AP38" s="50"/>
      <c r="AQ38" s="159">
        <v>0</v>
      </c>
      <c r="AR38" s="198">
        <v>0</v>
      </c>
      <c r="AS38" s="198"/>
      <c r="AT38" s="198"/>
      <c r="AU38" s="210">
        <v>0</v>
      </c>
      <c r="AV38" s="210">
        <v>0</v>
      </c>
      <c r="AW38" s="210"/>
      <c r="AX38" s="210"/>
      <c r="AY38" s="129">
        <v>13307.93</v>
      </c>
      <c r="AZ38" s="129">
        <v>0</v>
      </c>
      <c r="BA38" s="129"/>
      <c r="BB38" s="129"/>
      <c r="BC38" s="146"/>
      <c r="BD38" s="136"/>
      <c r="BE38" s="136"/>
      <c r="BF38" s="136"/>
      <c r="BG38" s="252"/>
      <c r="BH38" s="252"/>
      <c r="BI38" s="252"/>
      <c r="BJ38" s="226"/>
      <c r="BK38" s="226"/>
      <c r="BL38" s="226"/>
      <c r="BM38" s="226"/>
      <c r="BN38" s="233"/>
      <c r="BO38" s="233"/>
      <c r="BP38" s="233"/>
      <c r="BQ38" s="233"/>
      <c r="BR38" s="26">
        <f t="shared" si="43"/>
        <v>0</v>
      </c>
      <c r="BS38" s="43">
        <f t="shared" si="44"/>
        <v>0</v>
      </c>
      <c r="BT38" s="43">
        <f t="shared" si="45"/>
        <v>0</v>
      </c>
      <c r="BU38" s="43">
        <f t="shared" si="46"/>
        <v>0</v>
      </c>
      <c r="BV38" s="43">
        <f t="shared" si="47"/>
        <v>0</v>
      </c>
      <c r="BW38" s="43">
        <f t="shared" si="48"/>
        <v>0</v>
      </c>
      <c r="BX38" s="43">
        <f t="shared" si="49"/>
        <v>0</v>
      </c>
      <c r="BY38" s="43">
        <f t="shared" si="50"/>
        <v>0</v>
      </c>
      <c r="BZ38" s="43">
        <f t="shared" si="51"/>
        <v>0</v>
      </c>
      <c r="CA38" s="43">
        <f t="shared" si="52"/>
        <v>0</v>
      </c>
      <c r="CB38" s="43">
        <f t="shared" si="53"/>
        <v>0</v>
      </c>
      <c r="CC38" s="43">
        <f t="shared" si="54"/>
        <v>0</v>
      </c>
      <c r="CD38" s="43">
        <f t="shared" si="55"/>
        <v>0.19999999999999996</v>
      </c>
      <c r="CE38" s="43">
        <f t="shared" si="56"/>
        <v>0.4</v>
      </c>
      <c r="CF38" s="43">
        <f t="shared" si="57"/>
        <v>0.6</v>
      </c>
      <c r="CG38" s="43">
        <f t="shared" si="58"/>
        <v>0</v>
      </c>
      <c r="CH38" s="43">
        <f t="shared" si="59"/>
        <v>0.8</v>
      </c>
      <c r="CI38" s="43">
        <f t="shared" si="60"/>
        <v>1</v>
      </c>
      <c r="CJ38" s="239">
        <f t="shared" si="61"/>
        <v>7670.8689809675761</v>
      </c>
      <c r="CK38" s="239">
        <f t="shared" si="62"/>
        <v>0</v>
      </c>
      <c r="CL38" s="239">
        <f t="shared" si="63"/>
        <v>3068.3475923870305</v>
      </c>
    </row>
    <row r="39" spans="1:90" ht="12.75" customHeight="1" x14ac:dyDescent="0.25">
      <c r="A39" s="6"/>
      <c r="B39" s="24" t="s">
        <v>39</v>
      </c>
      <c r="C39" s="7">
        <v>1000</v>
      </c>
      <c r="D39" s="37">
        <v>0</v>
      </c>
      <c r="E39" s="151"/>
      <c r="F39" s="37">
        <v>0</v>
      </c>
      <c r="G39" s="87">
        <v>0</v>
      </c>
      <c r="H39" s="87"/>
      <c r="I39" s="127"/>
      <c r="J39" s="87"/>
      <c r="K39" s="89">
        <v>0</v>
      </c>
      <c r="L39" s="108">
        <v>0</v>
      </c>
      <c r="M39" s="153"/>
      <c r="N39" s="89"/>
      <c r="O39" s="95">
        <v>0</v>
      </c>
      <c r="P39" s="172"/>
      <c r="Q39" s="94"/>
      <c r="R39" s="172"/>
      <c r="S39" s="154">
        <v>0</v>
      </c>
      <c r="T39" s="114"/>
      <c r="U39" s="154"/>
      <c r="V39" s="155"/>
      <c r="W39" s="58">
        <v>0</v>
      </c>
      <c r="X39" s="58">
        <v>0</v>
      </c>
      <c r="Y39" s="58"/>
      <c r="Z39" s="59"/>
      <c r="AA39" s="76">
        <v>0</v>
      </c>
      <c r="AB39" s="156">
        <v>0</v>
      </c>
      <c r="AC39" s="157"/>
      <c r="AD39" s="61"/>
      <c r="AE39" s="63">
        <v>0</v>
      </c>
      <c r="AF39" s="63">
        <v>0</v>
      </c>
      <c r="AG39" s="158"/>
      <c r="AH39" s="62"/>
      <c r="AI39" s="154">
        <v>0</v>
      </c>
      <c r="AJ39" s="154">
        <v>0</v>
      </c>
      <c r="AK39" s="154"/>
      <c r="AL39" s="155"/>
      <c r="AM39" s="49">
        <v>0</v>
      </c>
      <c r="AN39" s="49">
        <v>0</v>
      </c>
      <c r="AO39" s="49"/>
      <c r="AP39" s="50"/>
      <c r="AQ39" s="159">
        <v>0</v>
      </c>
      <c r="AR39" s="198">
        <v>0</v>
      </c>
      <c r="AS39" s="198"/>
      <c r="AT39" s="198"/>
      <c r="AU39" s="210">
        <v>0</v>
      </c>
      <c r="AV39" s="210">
        <v>0</v>
      </c>
      <c r="AW39" s="210"/>
      <c r="AX39" s="210"/>
      <c r="AY39" s="129">
        <v>0</v>
      </c>
      <c r="AZ39" s="129">
        <v>0</v>
      </c>
      <c r="BA39" s="129"/>
      <c r="BB39" s="129"/>
      <c r="BC39" s="146"/>
      <c r="BD39" s="136"/>
      <c r="BE39" s="136"/>
      <c r="BF39" s="136"/>
      <c r="BG39" s="252"/>
      <c r="BH39" s="252"/>
      <c r="BI39" s="252"/>
      <c r="BJ39" s="226"/>
      <c r="BK39" s="226"/>
      <c r="BL39" s="226"/>
      <c r="BM39" s="226"/>
      <c r="BN39" s="233"/>
      <c r="BO39" s="233"/>
      <c r="BP39" s="233"/>
      <c r="BQ39" s="233"/>
      <c r="BR39" s="26">
        <f t="shared" si="43"/>
        <v>0</v>
      </c>
      <c r="BS39" s="43">
        <f t="shared" si="44"/>
        <v>0</v>
      </c>
      <c r="BT39" s="43">
        <f t="shared" si="45"/>
        <v>0.98599999999999999</v>
      </c>
      <c r="BU39" s="43">
        <f t="shared" si="46"/>
        <v>0.98699999999999999</v>
      </c>
      <c r="BV39" s="43">
        <f t="shared" si="47"/>
        <v>0.98799999999999999</v>
      </c>
      <c r="BW39" s="43">
        <f t="shared" si="48"/>
        <v>0.98899999999999999</v>
      </c>
      <c r="BX39" s="43">
        <f t="shared" si="49"/>
        <v>0.99</v>
      </c>
      <c r="BY39" s="43">
        <f t="shared" si="50"/>
        <v>0.99099999999999999</v>
      </c>
      <c r="BZ39" s="43">
        <f t="shared" si="51"/>
        <v>0.99199999999999999</v>
      </c>
      <c r="CA39" s="43">
        <f t="shared" si="52"/>
        <v>0.99299999999999999</v>
      </c>
      <c r="CB39" s="43">
        <f t="shared" si="53"/>
        <v>0.99399999999999999</v>
      </c>
      <c r="CC39" s="43">
        <f t="shared" si="54"/>
        <v>0.995</v>
      </c>
      <c r="CD39" s="43">
        <f t="shared" si="55"/>
        <v>0.996</v>
      </c>
      <c r="CE39" s="43">
        <f t="shared" si="56"/>
        <v>0.997</v>
      </c>
      <c r="CF39" s="43">
        <f t="shared" si="57"/>
        <v>0.998</v>
      </c>
      <c r="CG39" s="43">
        <f t="shared" si="58"/>
        <v>0</v>
      </c>
      <c r="CH39" s="43">
        <f t="shared" si="59"/>
        <v>0.999</v>
      </c>
      <c r="CI39" s="43">
        <f t="shared" si="60"/>
        <v>1</v>
      </c>
      <c r="CJ39" s="239">
        <f t="shared" si="61"/>
        <v>0</v>
      </c>
      <c r="CK39" s="239">
        <f t="shared" si="62"/>
        <v>0</v>
      </c>
      <c r="CL39" s="239">
        <f t="shared" si="63"/>
        <v>0</v>
      </c>
    </row>
    <row r="40" spans="1:90" ht="12.75" customHeight="1" x14ac:dyDescent="0.25">
      <c r="A40" s="6"/>
      <c r="B40" s="24" t="s">
        <v>9</v>
      </c>
      <c r="C40" s="7">
        <v>40</v>
      </c>
      <c r="D40" s="37">
        <v>0</v>
      </c>
      <c r="E40" s="151"/>
      <c r="F40" s="37">
        <v>0</v>
      </c>
      <c r="G40" s="87">
        <v>0</v>
      </c>
      <c r="H40" s="87"/>
      <c r="I40" s="127"/>
      <c r="J40" s="87"/>
      <c r="K40" s="89">
        <v>0</v>
      </c>
      <c r="L40" s="108">
        <v>0</v>
      </c>
      <c r="M40" s="153"/>
      <c r="N40" s="89"/>
      <c r="O40" s="95">
        <v>0</v>
      </c>
      <c r="P40" s="172"/>
      <c r="Q40" s="94"/>
      <c r="R40" s="172"/>
      <c r="S40" s="154">
        <v>0</v>
      </c>
      <c r="T40" s="114"/>
      <c r="U40" s="154"/>
      <c r="V40" s="155"/>
      <c r="W40" s="58">
        <v>0</v>
      </c>
      <c r="X40" s="58">
        <v>0</v>
      </c>
      <c r="Y40" s="58"/>
      <c r="Z40" s="59"/>
      <c r="AA40" s="76">
        <v>0</v>
      </c>
      <c r="AB40" s="156">
        <v>0</v>
      </c>
      <c r="AC40" s="157"/>
      <c r="AD40" s="61"/>
      <c r="AE40" s="63">
        <v>0</v>
      </c>
      <c r="AF40" s="63">
        <v>0</v>
      </c>
      <c r="AG40" s="158"/>
      <c r="AH40" s="62"/>
      <c r="AI40" s="154">
        <v>0</v>
      </c>
      <c r="AJ40" s="154">
        <v>0</v>
      </c>
      <c r="AK40" s="154"/>
      <c r="AL40" s="155"/>
      <c r="AM40" s="49">
        <v>0</v>
      </c>
      <c r="AN40" s="49">
        <v>0</v>
      </c>
      <c r="AO40" s="49"/>
      <c r="AP40" s="50"/>
      <c r="AQ40" s="159">
        <v>0</v>
      </c>
      <c r="AR40" s="198">
        <v>0</v>
      </c>
      <c r="AS40" s="198"/>
      <c r="AT40" s="198"/>
      <c r="AU40" s="210">
        <v>0</v>
      </c>
      <c r="AV40" s="210">
        <v>0</v>
      </c>
      <c r="AW40" s="210"/>
      <c r="AX40" s="210"/>
      <c r="AY40" s="129">
        <v>0</v>
      </c>
      <c r="AZ40" s="129">
        <v>0</v>
      </c>
      <c r="BA40" s="129"/>
      <c r="BB40" s="129"/>
      <c r="BC40" s="146"/>
      <c r="BD40" s="136"/>
      <c r="BE40" s="136"/>
      <c r="BF40" s="136"/>
      <c r="BG40" s="252"/>
      <c r="BH40" s="252"/>
      <c r="BI40" s="252"/>
      <c r="BJ40" s="226"/>
      <c r="BK40" s="226"/>
      <c r="BL40" s="226"/>
      <c r="BM40" s="226"/>
      <c r="BN40" s="233"/>
      <c r="BO40" s="233"/>
      <c r="BP40" s="233"/>
      <c r="BQ40" s="233"/>
      <c r="BR40" s="26">
        <f t="shared" si="43"/>
        <v>0</v>
      </c>
      <c r="BS40" s="43">
        <f t="shared" si="44"/>
        <v>0</v>
      </c>
      <c r="BT40" s="43">
        <f t="shared" si="45"/>
        <v>0.65</v>
      </c>
      <c r="BU40" s="43">
        <f t="shared" si="46"/>
        <v>0.67500000000000004</v>
      </c>
      <c r="BV40" s="43">
        <f t="shared" si="47"/>
        <v>0.7</v>
      </c>
      <c r="BW40" s="43">
        <f t="shared" si="48"/>
        <v>0.72499999999999998</v>
      </c>
      <c r="BX40" s="43">
        <f t="shared" si="49"/>
        <v>0.75</v>
      </c>
      <c r="BY40" s="43">
        <f t="shared" si="50"/>
        <v>0.77500000000000002</v>
      </c>
      <c r="BZ40" s="43">
        <f t="shared" si="51"/>
        <v>0.8</v>
      </c>
      <c r="CA40" s="43">
        <f t="shared" si="52"/>
        <v>0.82499999999999996</v>
      </c>
      <c r="CB40" s="43">
        <f t="shared" si="53"/>
        <v>0.85</v>
      </c>
      <c r="CC40" s="43">
        <f t="shared" si="54"/>
        <v>0.875</v>
      </c>
      <c r="CD40" s="43">
        <f t="shared" si="55"/>
        <v>0.9</v>
      </c>
      <c r="CE40" s="43">
        <f t="shared" si="56"/>
        <v>0.92500000000000004</v>
      </c>
      <c r="CF40" s="43">
        <f t="shared" si="57"/>
        <v>0.95</v>
      </c>
      <c r="CG40" s="43">
        <f t="shared" si="58"/>
        <v>0</v>
      </c>
      <c r="CH40" s="43">
        <f t="shared" si="59"/>
        <v>0.97499999999999998</v>
      </c>
      <c r="CI40" s="43">
        <f t="shared" si="60"/>
        <v>1</v>
      </c>
      <c r="CJ40" s="239">
        <f t="shared" si="61"/>
        <v>0</v>
      </c>
      <c r="CK40" s="239">
        <f t="shared" si="62"/>
        <v>0</v>
      </c>
      <c r="CL40" s="239">
        <f t="shared" si="63"/>
        <v>0</v>
      </c>
    </row>
    <row r="41" spans="1:90" ht="12.75" customHeight="1" x14ac:dyDescent="0.25">
      <c r="A41" s="6"/>
      <c r="B41" s="3" t="s">
        <v>51</v>
      </c>
      <c r="C41" s="7">
        <v>10</v>
      </c>
      <c r="D41" s="37">
        <v>68012.532297795682</v>
      </c>
      <c r="E41" s="151"/>
      <c r="F41" s="152">
        <v>0</v>
      </c>
      <c r="G41" s="87">
        <v>8156.81</v>
      </c>
      <c r="H41" s="88"/>
      <c r="I41" s="127"/>
      <c r="J41" s="88"/>
      <c r="K41" s="89">
        <v>72957</v>
      </c>
      <c r="L41" s="90">
        <v>0</v>
      </c>
      <c r="M41" s="153"/>
      <c r="N41" s="91"/>
      <c r="O41" s="95">
        <v>70981</v>
      </c>
      <c r="P41" s="93"/>
      <c r="Q41" s="94"/>
      <c r="R41" s="93"/>
      <c r="S41" s="154">
        <v>43325</v>
      </c>
      <c r="T41" s="114"/>
      <c r="U41" s="154"/>
      <c r="V41" s="155"/>
      <c r="W41" s="58">
        <v>0</v>
      </c>
      <c r="X41" s="58">
        <v>0</v>
      </c>
      <c r="Y41" s="58"/>
      <c r="Z41" s="59"/>
      <c r="AA41" s="76">
        <v>0</v>
      </c>
      <c r="AB41" s="156">
        <v>0</v>
      </c>
      <c r="AC41" s="157"/>
      <c r="AD41" s="61"/>
      <c r="AE41" s="63">
        <v>48894</v>
      </c>
      <c r="AF41" s="63">
        <v>0</v>
      </c>
      <c r="AG41" s="158"/>
      <c r="AH41" s="62"/>
      <c r="AI41" s="154">
        <v>43891.280000000006</v>
      </c>
      <c r="AJ41" s="154">
        <v>0</v>
      </c>
      <c r="AK41" s="154"/>
      <c r="AL41" s="155"/>
      <c r="AM41" s="49">
        <v>15184</v>
      </c>
      <c r="AN41" s="49">
        <v>0</v>
      </c>
      <c r="AO41" s="49"/>
      <c r="AP41" s="50"/>
      <c r="AQ41" s="159">
        <v>15539.74</v>
      </c>
      <c r="AR41" s="198">
        <v>0</v>
      </c>
      <c r="AS41" s="198"/>
      <c r="AT41" s="198"/>
      <c r="AU41" s="210">
        <v>11462.5</v>
      </c>
      <c r="AV41" s="210">
        <v>0</v>
      </c>
      <c r="AW41" s="210"/>
      <c r="AX41" s="210"/>
      <c r="AY41" s="129">
        <v>13307.93</v>
      </c>
      <c r="AZ41" s="129">
        <v>0</v>
      </c>
      <c r="BA41" s="129"/>
      <c r="BB41" s="129"/>
      <c r="BC41" s="146">
        <v>326558.83</v>
      </c>
      <c r="BD41" s="136"/>
      <c r="BE41" s="136"/>
      <c r="BF41" s="136"/>
      <c r="BG41" s="252"/>
      <c r="BH41" s="252"/>
      <c r="BI41" s="252"/>
      <c r="BJ41" s="226">
        <v>848385</v>
      </c>
      <c r="BK41" s="226"/>
      <c r="BL41" s="226"/>
      <c r="BM41" s="226"/>
      <c r="BN41" s="233">
        <v>1423195.31</v>
      </c>
      <c r="BO41" s="233"/>
      <c r="BP41" s="233"/>
      <c r="BQ41" s="233"/>
      <c r="BR41" s="26">
        <f t="shared" si="43"/>
        <v>1991</v>
      </c>
      <c r="BS41" s="43">
        <f t="shared" si="44"/>
        <v>0</v>
      </c>
      <c r="BT41" s="43">
        <f t="shared" si="45"/>
        <v>0</v>
      </c>
      <c r="BU41" s="43">
        <f t="shared" si="46"/>
        <v>0</v>
      </c>
      <c r="BV41" s="43">
        <f t="shared" si="47"/>
        <v>0</v>
      </c>
      <c r="BW41" s="43">
        <f t="shared" si="48"/>
        <v>0</v>
      </c>
      <c r="BX41" s="43">
        <f t="shared" si="49"/>
        <v>0</v>
      </c>
      <c r="BY41" s="43">
        <f t="shared" si="50"/>
        <v>9.9999999999999978E-2</v>
      </c>
      <c r="BZ41" s="43">
        <f t="shared" si="51"/>
        <v>0.19999999999999996</v>
      </c>
      <c r="CA41" s="43">
        <f t="shared" si="52"/>
        <v>0.30000000000000004</v>
      </c>
      <c r="CB41" s="43">
        <f t="shared" si="53"/>
        <v>0.4</v>
      </c>
      <c r="CC41" s="43">
        <f t="shared" si="54"/>
        <v>0.5</v>
      </c>
      <c r="CD41" s="43">
        <f t="shared" si="55"/>
        <v>0.6</v>
      </c>
      <c r="CE41" s="43">
        <f t="shared" si="56"/>
        <v>0.7</v>
      </c>
      <c r="CF41" s="43">
        <f t="shared" si="57"/>
        <v>0.8</v>
      </c>
      <c r="CG41" s="43">
        <f t="shared" si="58"/>
        <v>0</v>
      </c>
      <c r="CH41" s="43">
        <f t="shared" si="59"/>
        <v>0.9</v>
      </c>
      <c r="CI41" s="43">
        <f t="shared" si="60"/>
        <v>1</v>
      </c>
      <c r="CJ41" s="239">
        <f t="shared" si="61"/>
        <v>2573583.2964002648</v>
      </c>
      <c r="CK41" s="239">
        <f t="shared" si="62"/>
        <v>306004.82107889559</v>
      </c>
      <c r="CL41" s="239">
        <f t="shared" si="63"/>
        <v>2066624.0184727507</v>
      </c>
    </row>
    <row r="42" spans="1:90" ht="12.75" customHeight="1" x14ac:dyDescent="0.25">
      <c r="A42" s="6"/>
      <c r="B42" s="3" t="s">
        <v>52</v>
      </c>
      <c r="C42" s="7">
        <v>22</v>
      </c>
      <c r="D42" s="37">
        <v>0</v>
      </c>
      <c r="E42" s="151"/>
      <c r="F42" s="83">
        <v>0</v>
      </c>
      <c r="G42" s="87">
        <v>0</v>
      </c>
      <c r="H42" s="88"/>
      <c r="I42" s="127"/>
      <c r="J42" s="88"/>
      <c r="K42" s="89">
        <v>0</v>
      </c>
      <c r="L42" s="90">
        <v>0</v>
      </c>
      <c r="M42" s="153"/>
      <c r="N42" s="91"/>
      <c r="O42" s="95">
        <v>0</v>
      </c>
      <c r="P42" s="93"/>
      <c r="Q42" s="94"/>
      <c r="R42" s="93"/>
      <c r="S42" s="154">
        <v>0</v>
      </c>
      <c r="T42" s="114"/>
      <c r="U42" s="154"/>
      <c r="V42" s="155"/>
      <c r="W42" s="58">
        <v>0</v>
      </c>
      <c r="X42" s="58">
        <v>0</v>
      </c>
      <c r="Y42" s="58"/>
      <c r="Z42" s="59"/>
      <c r="AA42" s="76">
        <v>0</v>
      </c>
      <c r="AB42" s="156">
        <v>0</v>
      </c>
      <c r="AC42" s="157"/>
      <c r="AD42" s="61"/>
      <c r="AE42" s="63">
        <v>21889</v>
      </c>
      <c r="AF42" s="63">
        <v>0</v>
      </c>
      <c r="AG42" s="158"/>
      <c r="AH42" s="62"/>
      <c r="AI42" s="154">
        <v>0</v>
      </c>
      <c r="AJ42" s="154">
        <v>0</v>
      </c>
      <c r="AK42" s="154"/>
      <c r="AL42" s="155"/>
      <c r="AM42" s="49">
        <v>0</v>
      </c>
      <c r="AN42" s="49">
        <v>0</v>
      </c>
      <c r="AO42" s="49"/>
      <c r="AP42" s="50"/>
      <c r="AQ42" s="159">
        <v>0</v>
      </c>
      <c r="AR42" s="198">
        <v>0</v>
      </c>
      <c r="AS42" s="198"/>
      <c r="AT42" s="198"/>
      <c r="AU42" s="210">
        <v>2142</v>
      </c>
      <c r="AV42" s="210">
        <v>0</v>
      </c>
      <c r="AW42" s="210"/>
      <c r="AX42" s="210"/>
      <c r="AY42" s="129">
        <v>48264.98</v>
      </c>
      <c r="AZ42" s="129">
        <v>0</v>
      </c>
      <c r="BA42" s="129"/>
      <c r="BB42" s="129"/>
      <c r="BC42" s="146">
        <v>285524.53000000003</v>
      </c>
      <c r="BD42" s="136"/>
      <c r="BE42" s="136"/>
      <c r="BF42" s="136"/>
      <c r="BG42" s="252"/>
      <c r="BH42" s="252"/>
      <c r="BI42" s="252"/>
      <c r="BJ42" s="226">
        <v>23834.440000000002</v>
      </c>
      <c r="BK42" s="226"/>
      <c r="BL42" s="226"/>
      <c r="BM42" s="226"/>
      <c r="BN42" s="233">
        <v>77437.19</v>
      </c>
      <c r="BO42" s="233"/>
      <c r="BP42" s="233"/>
      <c r="BQ42" s="233"/>
      <c r="BR42" s="26">
        <f t="shared" si="43"/>
        <v>0</v>
      </c>
      <c r="BS42" s="43">
        <f t="shared" si="44"/>
        <v>0</v>
      </c>
      <c r="BT42" s="43">
        <f t="shared" si="45"/>
        <v>0.36363636363636365</v>
      </c>
      <c r="BU42" s="43">
        <f t="shared" si="46"/>
        <v>0.40909090909090906</v>
      </c>
      <c r="BV42" s="43">
        <f t="shared" si="47"/>
        <v>0.45454545454545459</v>
      </c>
      <c r="BW42" s="43">
        <f t="shared" si="48"/>
        <v>0.5</v>
      </c>
      <c r="BX42" s="43">
        <f t="shared" si="49"/>
        <v>0.54545454545454541</v>
      </c>
      <c r="BY42" s="43">
        <f t="shared" si="50"/>
        <v>0.59090909090909083</v>
      </c>
      <c r="BZ42" s="43">
        <f t="shared" si="51"/>
        <v>0.63636363636363635</v>
      </c>
      <c r="CA42" s="43">
        <f t="shared" si="52"/>
        <v>0.68181818181818188</v>
      </c>
      <c r="CB42" s="43">
        <f t="shared" si="53"/>
        <v>0.72727272727272729</v>
      </c>
      <c r="CC42" s="43">
        <f t="shared" si="54"/>
        <v>0.77272727272727271</v>
      </c>
      <c r="CD42" s="43">
        <f t="shared" si="55"/>
        <v>0.81818181818181812</v>
      </c>
      <c r="CE42" s="43">
        <f t="shared" si="56"/>
        <v>0.86363636363636365</v>
      </c>
      <c r="CF42" s="43">
        <f t="shared" si="57"/>
        <v>0.90909090909090906</v>
      </c>
      <c r="CG42" s="43">
        <f t="shared" si="58"/>
        <v>0</v>
      </c>
      <c r="CH42" s="43">
        <f t="shared" si="59"/>
        <v>0.95454545454545459</v>
      </c>
      <c r="CI42" s="43">
        <f t="shared" si="60"/>
        <v>1</v>
      </c>
      <c r="CJ42" s="239">
        <f t="shared" si="61"/>
        <v>371664.16160718008</v>
      </c>
      <c r="CK42" s="239">
        <f t="shared" si="62"/>
        <v>3677.4791326948907</v>
      </c>
      <c r="CL42" s="239">
        <f t="shared" si="63"/>
        <v>334760.17598420236</v>
      </c>
    </row>
    <row r="43" spans="1:90" ht="12.75" customHeight="1" x14ac:dyDescent="0.25">
      <c r="A43" s="6"/>
      <c r="B43" s="3" t="s">
        <v>33</v>
      </c>
      <c r="C43" s="7">
        <v>4</v>
      </c>
      <c r="D43" s="37">
        <v>0</v>
      </c>
      <c r="E43" s="151"/>
      <c r="F43" s="152">
        <v>0</v>
      </c>
      <c r="G43" s="87">
        <v>0</v>
      </c>
      <c r="H43" s="88"/>
      <c r="I43" s="127"/>
      <c r="J43" s="88"/>
      <c r="K43" s="89">
        <v>0</v>
      </c>
      <c r="L43" s="90">
        <v>0</v>
      </c>
      <c r="M43" s="153"/>
      <c r="N43" s="91"/>
      <c r="O43" s="95">
        <v>0</v>
      </c>
      <c r="P43" s="93"/>
      <c r="Q43" s="94"/>
      <c r="R43" s="93"/>
      <c r="S43" s="154">
        <v>0</v>
      </c>
      <c r="T43" s="114"/>
      <c r="U43" s="154"/>
      <c r="V43" s="155"/>
      <c r="W43" s="58">
        <v>0</v>
      </c>
      <c r="X43" s="58">
        <v>0</v>
      </c>
      <c r="Y43" s="58"/>
      <c r="Z43" s="59"/>
      <c r="AA43" s="76">
        <v>0</v>
      </c>
      <c r="AB43" s="156">
        <v>0</v>
      </c>
      <c r="AC43" s="157"/>
      <c r="AD43" s="61"/>
      <c r="AE43" s="63">
        <v>0</v>
      </c>
      <c r="AF43" s="63">
        <v>0</v>
      </c>
      <c r="AG43" s="158"/>
      <c r="AH43" s="62"/>
      <c r="AI43" s="154">
        <v>0</v>
      </c>
      <c r="AJ43" s="154">
        <v>0</v>
      </c>
      <c r="AK43" s="154"/>
      <c r="AL43" s="155"/>
      <c r="AM43" s="49">
        <v>0</v>
      </c>
      <c r="AN43" s="49">
        <v>0</v>
      </c>
      <c r="AO43" s="49"/>
      <c r="AP43" s="50"/>
      <c r="AQ43" s="159">
        <v>0</v>
      </c>
      <c r="AR43" s="198">
        <v>0</v>
      </c>
      <c r="AS43" s="198"/>
      <c r="AT43" s="198"/>
      <c r="AU43" s="210">
        <v>0</v>
      </c>
      <c r="AV43" s="210">
        <v>0</v>
      </c>
      <c r="AW43" s="210"/>
      <c r="AX43" s="210"/>
      <c r="AY43" s="129">
        <v>0</v>
      </c>
      <c r="AZ43" s="129">
        <v>0</v>
      </c>
      <c r="BA43" s="129"/>
      <c r="BB43" s="129"/>
      <c r="BC43" s="146"/>
      <c r="BD43" s="136"/>
      <c r="BE43" s="136"/>
      <c r="BF43" s="136"/>
      <c r="BG43" s="252"/>
      <c r="BH43" s="252"/>
      <c r="BI43" s="252"/>
      <c r="BJ43" s="226"/>
      <c r="BK43" s="226"/>
      <c r="BL43" s="226"/>
      <c r="BM43" s="226"/>
      <c r="BN43" s="233"/>
      <c r="BO43" s="233"/>
      <c r="BP43" s="233"/>
      <c r="BQ43" s="233"/>
      <c r="BR43" s="26">
        <f t="shared" si="43"/>
        <v>0</v>
      </c>
      <c r="BS43" s="43">
        <f t="shared" si="44"/>
        <v>0</v>
      </c>
      <c r="BT43" s="43">
        <f t="shared" si="45"/>
        <v>0</v>
      </c>
      <c r="BU43" s="43">
        <f t="shared" si="46"/>
        <v>0</v>
      </c>
      <c r="BV43" s="43">
        <f t="shared" si="47"/>
        <v>0</v>
      </c>
      <c r="BW43" s="43">
        <f t="shared" si="48"/>
        <v>0</v>
      </c>
      <c r="BX43" s="43">
        <f t="shared" si="49"/>
        <v>0</v>
      </c>
      <c r="BY43" s="43">
        <f t="shared" si="50"/>
        <v>0</v>
      </c>
      <c r="BZ43" s="43">
        <f t="shared" si="51"/>
        <v>0</v>
      </c>
      <c r="CA43" s="43">
        <f t="shared" si="52"/>
        <v>0</v>
      </c>
      <c r="CB43" s="43">
        <f t="shared" si="53"/>
        <v>0</v>
      </c>
      <c r="CC43" s="43">
        <f t="shared" si="54"/>
        <v>0</v>
      </c>
      <c r="CD43" s="43">
        <f t="shared" si="55"/>
        <v>0</v>
      </c>
      <c r="CE43" s="43">
        <f t="shared" si="56"/>
        <v>0.25</v>
      </c>
      <c r="CF43" s="43">
        <f t="shared" si="57"/>
        <v>0.5</v>
      </c>
      <c r="CG43" s="43">
        <f t="shared" si="58"/>
        <v>0</v>
      </c>
      <c r="CH43" s="43">
        <f t="shared" si="59"/>
        <v>0.75</v>
      </c>
      <c r="CI43" s="43">
        <f t="shared" si="60"/>
        <v>1</v>
      </c>
      <c r="CJ43" s="239">
        <f t="shared" si="61"/>
        <v>0</v>
      </c>
      <c r="CK43" s="239">
        <f t="shared" si="62"/>
        <v>0</v>
      </c>
      <c r="CL43" s="239">
        <f t="shared" si="63"/>
        <v>0</v>
      </c>
    </row>
    <row r="44" spans="1:90" ht="12.75" customHeight="1" thickBot="1" x14ac:dyDescent="0.3">
      <c r="A44" s="6"/>
      <c r="B44" s="10" t="s">
        <v>13</v>
      </c>
      <c r="C44" s="11">
        <v>8</v>
      </c>
      <c r="D44" s="41">
        <v>0</v>
      </c>
      <c r="E44" s="151"/>
      <c r="F44" s="162">
        <v>0</v>
      </c>
      <c r="G44" s="87">
        <v>28201.54</v>
      </c>
      <c r="H44" s="96"/>
      <c r="I44" s="127"/>
      <c r="J44" s="96"/>
      <c r="K44" s="89">
        <v>40330.749936</v>
      </c>
      <c r="L44" s="97">
        <v>0</v>
      </c>
      <c r="M44" s="153"/>
      <c r="N44" s="98"/>
      <c r="O44" s="92">
        <v>24699.62</v>
      </c>
      <c r="P44" s="99"/>
      <c r="Q44" s="94"/>
      <c r="R44" s="99"/>
      <c r="S44" s="173">
        <v>0</v>
      </c>
      <c r="T44" s="114"/>
      <c r="U44" s="154"/>
      <c r="V44" s="174"/>
      <c r="W44" s="58">
        <v>30771.72</v>
      </c>
      <c r="X44" s="58">
        <v>0</v>
      </c>
      <c r="Y44" s="58"/>
      <c r="Z44" s="64"/>
      <c r="AA44" s="78">
        <v>26890.07</v>
      </c>
      <c r="AB44" s="156">
        <v>0</v>
      </c>
      <c r="AC44" s="157"/>
      <c r="AD44" s="65"/>
      <c r="AE44" s="63">
        <v>24056.720000000001</v>
      </c>
      <c r="AF44" s="63">
        <v>0</v>
      </c>
      <c r="AG44" s="158"/>
      <c r="AH44" s="66"/>
      <c r="AI44" s="173">
        <v>0</v>
      </c>
      <c r="AJ44" s="154">
        <v>0</v>
      </c>
      <c r="AK44" s="154"/>
      <c r="AL44" s="174"/>
      <c r="AM44" s="49">
        <v>0</v>
      </c>
      <c r="AN44" s="49">
        <v>0</v>
      </c>
      <c r="AO44" s="49"/>
      <c r="AP44" s="51"/>
      <c r="AQ44" s="159">
        <v>0</v>
      </c>
      <c r="AR44" s="199">
        <v>0</v>
      </c>
      <c r="AS44" s="199"/>
      <c r="AT44" s="199"/>
      <c r="AU44" s="211">
        <v>0</v>
      </c>
      <c r="AV44" s="211">
        <v>0</v>
      </c>
      <c r="AW44" s="211"/>
      <c r="AX44" s="211"/>
      <c r="AY44" s="130">
        <v>0</v>
      </c>
      <c r="AZ44" s="130">
        <v>0</v>
      </c>
      <c r="BA44" s="130"/>
      <c r="BB44" s="130"/>
      <c r="BC44" s="146"/>
      <c r="BD44" s="137"/>
      <c r="BE44" s="137"/>
      <c r="BF44" s="137"/>
      <c r="BG44" s="253"/>
      <c r="BH44" s="253"/>
      <c r="BI44" s="253"/>
      <c r="BJ44" s="227"/>
      <c r="BK44" s="227"/>
      <c r="BL44" s="227"/>
      <c r="BM44" s="227"/>
      <c r="BN44" s="234"/>
      <c r="BO44" s="234"/>
      <c r="BP44" s="234"/>
      <c r="BQ44" s="234"/>
      <c r="BR44" s="26">
        <f t="shared" si="43"/>
        <v>0</v>
      </c>
      <c r="BS44" s="44">
        <f t="shared" si="44"/>
        <v>0</v>
      </c>
      <c r="BT44" s="43">
        <f t="shared" si="45"/>
        <v>0</v>
      </c>
      <c r="BU44" s="43">
        <f t="shared" si="46"/>
        <v>0</v>
      </c>
      <c r="BV44" s="43">
        <f t="shared" si="47"/>
        <v>0</v>
      </c>
      <c r="BW44" s="43">
        <f t="shared" si="48"/>
        <v>0</v>
      </c>
      <c r="BX44" s="43">
        <f t="shared" si="49"/>
        <v>0</v>
      </c>
      <c r="BY44" s="43">
        <f t="shared" si="50"/>
        <v>0</v>
      </c>
      <c r="BZ44" s="43">
        <f t="shared" si="51"/>
        <v>0</v>
      </c>
      <c r="CA44" s="43">
        <f t="shared" si="52"/>
        <v>0.125</v>
      </c>
      <c r="CB44" s="43">
        <f t="shared" si="53"/>
        <v>0.25</v>
      </c>
      <c r="CC44" s="43">
        <f t="shared" si="54"/>
        <v>0.375</v>
      </c>
      <c r="CD44" s="43">
        <f t="shared" si="55"/>
        <v>0.5</v>
      </c>
      <c r="CE44" s="43">
        <f t="shared" si="56"/>
        <v>0.625</v>
      </c>
      <c r="CF44" s="43">
        <f t="shared" si="57"/>
        <v>0.75</v>
      </c>
      <c r="CG44" s="43">
        <f t="shared" si="58"/>
        <v>0</v>
      </c>
      <c r="CH44" s="43">
        <f t="shared" si="59"/>
        <v>0.875</v>
      </c>
      <c r="CI44" s="43">
        <f t="shared" si="60"/>
        <v>1</v>
      </c>
      <c r="CJ44" s="239">
        <f t="shared" si="61"/>
        <v>153091.81329945009</v>
      </c>
      <c r="CK44" s="239">
        <f t="shared" si="62"/>
        <v>153091.81329945009</v>
      </c>
      <c r="CL44" s="239">
        <f t="shared" si="63"/>
        <v>0</v>
      </c>
    </row>
    <row r="45" spans="1:90" s="1" customFormat="1" ht="12.75" customHeight="1" thickBot="1" x14ac:dyDescent="0.35">
      <c r="A45" s="9"/>
      <c r="B45" s="13" t="s">
        <v>34</v>
      </c>
      <c r="C45" s="18"/>
      <c r="D45" s="38">
        <v>64380215.578287996</v>
      </c>
      <c r="E45" s="38"/>
      <c r="F45" s="38">
        <v>36745444.950886555</v>
      </c>
      <c r="G45" s="67">
        <v>1262365.3598000002</v>
      </c>
      <c r="H45" s="67">
        <v>0</v>
      </c>
      <c r="I45" s="67"/>
      <c r="J45" s="67"/>
      <c r="K45" s="116">
        <v>2422005.5850740555</v>
      </c>
      <c r="L45" s="116">
        <v>315949</v>
      </c>
      <c r="M45" s="116"/>
      <c r="N45" s="116"/>
      <c r="O45" s="68">
        <v>2468106.6800000002</v>
      </c>
      <c r="P45" s="68">
        <v>0</v>
      </c>
      <c r="Q45" s="68"/>
      <c r="R45" s="68"/>
      <c r="S45" s="120">
        <v>2636963</v>
      </c>
      <c r="T45" s="121">
        <v>0</v>
      </c>
      <c r="U45" s="121"/>
      <c r="V45" s="122"/>
      <c r="W45" s="67">
        <v>2901614.0900000003</v>
      </c>
      <c r="X45" s="67">
        <v>0</v>
      </c>
      <c r="Y45" s="67"/>
      <c r="Z45" s="67"/>
      <c r="AA45" s="116">
        <v>4650052.8100000005</v>
      </c>
      <c r="AB45" s="116">
        <v>556386.07000000007</v>
      </c>
      <c r="AC45" s="116"/>
      <c r="AD45" s="116"/>
      <c r="AE45" s="68">
        <v>5437854.6999999993</v>
      </c>
      <c r="AF45" s="68">
        <v>0</v>
      </c>
      <c r="AG45" s="68"/>
      <c r="AH45" s="117"/>
      <c r="AI45" s="120">
        <v>7755169.0999999968</v>
      </c>
      <c r="AJ45" s="121">
        <v>0</v>
      </c>
      <c r="AK45" s="121"/>
      <c r="AL45" s="122"/>
      <c r="AM45" s="52">
        <v>5445007.6719999984</v>
      </c>
      <c r="AN45" s="52">
        <v>0</v>
      </c>
      <c r="AO45" s="52"/>
      <c r="AP45" s="52"/>
      <c r="AQ45" s="208">
        <v>6483412.9600000028</v>
      </c>
      <c r="AR45" s="203">
        <v>0</v>
      </c>
      <c r="AS45" s="203"/>
      <c r="AT45" s="203"/>
      <c r="AU45" s="215">
        <v>4744163.7299999967</v>
      </c>
      <c r="AV45" s="215">
        <v>0</v>
      </c>
      <c r="AW45" s="215"/>
      <c r="AX45" s="215"/>
      <c r="AY45" s="133">
        <v>8655575.7579999957</v>
      </c>
      <c r="AZ45" s="133">
        <v>0</v>
      </c>
      <c r="BA45" s="133"/>
      <c r="BB45" s="133"/>
      <c r="BC45" s="148">
        <f>+SUM(BC14:BC44)</f>
        <v>8595478.4899999984</v>
      </c>
      <c r="BD45" s="140"/>
      <c r="BE45" s="140"/>
      <c r="BF45" s="140"/>
      <c r="BG45" s="255">
        <f t="shared" ref="BG45:BO45" si="64">+SUM(BG14:BG44)</f>
        <v>6931047.2479580687</v>
      </c>
      <c r="BH45" s="255">
        <f t="shared" si="64"/>
        <v>5763524.5579580693</v>
      </c>
      <c r="BI45" s="255">
        <f t="shared" si="64"/>
        <v>4907911.2199999988</v>
      </c>
      <c r="BJ45" s="229">
        <f t="shared" si="64"/>
        <v>10289030.280000001</v>
      </c>
      <c r="BK45" s="229">
        <f t="shared" si="64"/>
        <v>0</v>
      </c>
      <c r="BL45" s="229"/>
      <c r="BM45" s="229"/>
      <c r="BN45" s="235">
        <f t="shared" si="64"/>
        <v>23273467.399999995</v>
      </c>
      <c r="BO45" s="235">
        <f t="shared" si="64"/>
        <v>0</v>
      </c>
      <c r="BP45" s="235"/>
      <c r="BQ45" s="23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240">
        <f>SUM(CJ14:CJ44)</f>
        <v>150554984.6460427</v>
      </c>
      <c r="CK45" s="240">
        <f>SUM(CK14:CK44)</f>
        <v>6997846.8016823716</v>
      </c>
      <c r="CL45" s="240">
        <f>SUM(CL14:CL44)</f>
        <v>71776078.513995573</v>
      </c>
    </row>
    <row r="46" spans="1:90" ht="12.75" customHeight="1" thickBot="1" x14ac:dyDescent="0.3">
      <c r="A46" s="478" t="s">
        <v>35</v>
      </c>
      <c r="B46" s="19" t="s">
        <v>36</v>
      </c>
      <c r="C46" s="20">
        <v>22</v>
      </c>
      <c r="D46" s="42">
        <v>2957226.5007306808</v>
      </c>
      <c r="E46" s="151"/>
      <c r="F46" s="175">
        <v>1915114.0768671127</v>
      </c>
      <c r="G46" s="87">
        <v>383603.42</v>
      </c>
      <c r="H46" s="110"/>
      <c r="I46" s="127"/>
      <c r="J46" s="110"/>
      <c r="K46" s="89">
        <v>723366.95</v>
      </c>
      <c r="L46" s="111"/>
      <c r="M46" s="153"/>
      <c r="N46" s="112"/>
      <c r="O46" s="92">
        <v>345218.57</v>
      </c>
      <c r="P46" s="113"/>
      <c r="Q46" s="94"/>
      <c r="R46" s="113"/>
      <c r="S46" s="176">
        <v>343113</v>
      </c>
      <c r="T46" s="177"/>
      <c r="U46" s="154"/>
      <c r="V46" s="178"/>
      <c r="W46" s="58">
        <v>288347.67</v>
      </c>
      <c r="X46" s="58">
        <v>0</v>
      </c>
      <c r="Y46" s="58"/>
      <c r="Z46" s="79"/>
      <c r="AA46" s="76">
        <v>301261.25000000006</v>
      </c>
      <c r="AB46" s="156">
        <v>0</v>
      </c>
      <c r="AC46" s="157"/>
      <c r="AD46" s="80"/>
      <c r="AE46" s="81">
        <v>418664.33</v>
      </c>
      <c r="AF46" s="63">
        <v>0</v>
      </c>
      <c r="AG46" s="158"/>
      <c r="AH46" s="82"/>
      <c r="AI46" s="176">
        <v>191547.63</v>
      </c>
      <c r="AJ46" s="154">
        <v>0</v>
      </c>
      <c r="AK46" s="154"/>
      <c r="AL46" s="178"/>
      <c r="AM46" s="49">
        <v>284788.3</v>
      </c>
      <c r="AN46" s="49">
        <v>0</v>
      </c>
      <c r="AO46" s="49"/>
      <c r="AP46" s="179"/>
      <c r="AQ46" s="159">
        <v>417455.78889137268</v>
      </c>
      <c r="AR46" s="204">
        <v>0</v>
      </c>
      <c r="AS46" s="204"/>
      <c r="AT46" s="204"/>
      <c r="AU46" s="216">
        <v>846640.63000000012</v>
      </c>
      <c r="AV46" s="216">
        <v>0</v>
      </c>
      <c r="AW46" s="216"/>
      <c r="AX46" s="216"/>
      <c r="AY46" s="134">
        <v>696982</v>
      </c>
      <c r="AZ46" s="134">
        <v>0</v>
      </c>
      <c r="BA46" s="134"/>
      <c r="BB46" s="134"/>
      <c r="BC46" s="149">
        <v>611593.03</v>
      </c>
      <c r="BD46" s="141"/>
      <c r="BE46" s="141"/>
      <c r="BF46" s="141"/>
      <c r="BG46" s="256"/>
      <c r="BH46" s="256"/>
      <c r="BI46" s="256"/>
      <c r="BJ46" s="230">
        <v>717101.01</v>
      </c>
      <c r="BK46" s="230"/>
      <c r="BL46" s="230"/>
      <c r="BM46" s="230"/>
      <c r="BN46" s="236">
        <v>778834.53</v>
      </c>
      <c r="BO46" s="236"/>
      <c r="BP46" s="236"/>
      <c r="BQ46" s="236"/>
      <c r="BR46" s="26">
        <f>IF(D46=0,0,2001-(D46-F46)*C46/D46)</f>
        <v>1993.2473056022818</v>
      </c>
      <c r="BS46" s="48">
        <f>IF((1-($CJ$2-$BR46)/$C46)&gt;0,(1-($CJ$2-$BR46)/$C46),0)</f>
        <v>0</v>
      </c>
      <c r="BT46" s="43">
        <f>IF((1-($CJ$2-G$2)/$C46)&gt;0,(1-($CJ$2-G$2)/$C46),0)</f>
        <v>0.36363636363636365</v>
      </c>
      <c r="BU46" s="43">
        <f>IF((1-($CJ$2-K$2)/$C46)&gt;0,(1-($CJ$2-K$2)/$C46),0)</f>
        <v>0.40909090909090906</v>
      </c>
      <c r="BV46" s="43">
        <f>IF((1-($CJ$2-O$2)/$C46)&gt;0,(1-($CJ$2-O$2)/$C46),0)</f>
        <v>0.45454545454545459</v>
      </c>
      <c r="BW46" s="43">
        <f>IF((1-($CJ$2-S$2)/$C46)&gt;0,(1-($CJ$2-S$2)/$C46),0)</f>
        <v>0.5</v>
      </c>
      <c r="BX46" s="43">
        <f>IF((1-($CJ$2-W$2)/$C46)&gt;0,(1-($CJ$2-W$2)/$C46),0)</f>
        <v>0.54545454545454541</v>
      </c>
      <c r="BY46" s="43">
        <f>IF((1-($CJ$2-AA$2)/$C46)&gt;0,(1-($CJ$2-AA$2)/$C46),0)</f>
        <v>0.59090909090909083</v>
      </c>
      <c r="BZ46" s="43">
        <f>IF((1-($CJ$2-AE$2)/$C46)&gt;0,(1-($CJ$2-AE$2)/$C46),0)</f>
        <v>0.63636363636363635</v>
      </c>
      <c r="CA46" s="43">
        <f>IF((1-($CJ$2-AI$2)/$C46)&gt;0,(1-($CJ$2-AI$2)/$C46),0)</f>
        <v>0.68181818181818188</v>
      </c>
      <c r="CB46" s="43">
        <f>IF((1-($CJ$2-AM$2)/$C46)&gt;0,(1-($CJ$2-AM$2)/$C46),0)</f>
        <v>0.72727272727272729</v>
      </c>
      <c r="CC46" s="43">
        <f>IF((1-($CJ$2-AQ$2)/$C46)&gt;0,(1-($CJ$2-AQ$2)/$C46),0)</f>
        <v>0.77272727272727271</v>
      </c>
      <c r="CD46" s="43">
        <f>IF((1-($CJ$2-AU$2)/$C46)&gt;0,(1-($CJ$2-AU$2)/$C46),0)</f>
        <v>0.81818181818181812</v>
      </c>
      <c r="CE46" s="43">
        <f>IF((1-($CJ$2-AY$2)/$C46)&gt;0,(1-($CJ$2-AY$2)/$C46),0)</f>
        <v>0.86363636363636365</v>
      </c>
      <c r="CF46" s="43">
        <f>IF((1-($CJ$2-BC$2)/$C46)&gt;0,(1-($CJ$2-BC$2)/$C46),0)</f>
        <v>0.90909090909090906</v>
      </c>
      <c r="CG46" s="43">
        <f>IF(BG46=0,0,1-($CJ$2-(2014.5-(BG46-BI46)*C46/BG46))/C46)</f>
        <v>0</v>
      </c>
      <c r="CH46" s="43">
        <f>IF((1-($CJ$2-BJ$2)/$C46)&gt;0,(1-($CJ$2-BJ$2)/$C46),0)</f>
        <v>0.95454545454545459</v>
      </c>
      <c r="CI46" s="43">
        <f>IF((1-($CJ$2-BN$2)/$C46)&gt;0,(1-($CJ$2-BN$2)/$C46),0)</f>
        <v>1</v>
      </c>
      <c r="CJ46" s="239">
        <f>D46-E46+(G46-I46)*G$62+(K46-M46)*K$62+(O46-Q46)*O$62+(S46-U46)*S$62+(W46-Y46)*W$62+(AA46-AC46)*AA$62+(AE46-AG46)*AE$62+(AI46-AK46)*AI$62+(AM46-AO46)*AM$62+(AQ46-AS46)*$AQ$62+(AU46-AW46)*$AU$62+(AY46-BA46)*$AY$62+(BC46-BE46)*$BC$62+(BJ46-BL46)*$BJ$62+BG46+(BN46-BP46)*$BN$62</f>
        <v>9999006.0822220538</v>
      </c>
      <c r="CK46" s="239">
        <f>CJ46-(IF(BS46=0,0,D46-E46)+IF(BT46=0,0,(G46-I46)*G$62)+IF(BU46=0,0,(K46-M46)*K$62)+IF(BV46=0,0,(O46-Q46)*O$62)+IF(BW46=0,0,(S46-U46)*S$62)+IF(BX46=0,0,(W46-Y46)*W$62)+IF(BY46=0,0,(AA46-AC46)*AA$62)+IF(BZ46=0,0,(AE46-AG46)*AE$62)+IF(CA46=0,0,(AI46-AK46)*AI$62)+IF(CB46=0,0,(AM46-AO46)*AM$62)+IF(CC46=0,0,(AQ46-AS46)*$AQ$62)+IF(CD46=0,0,(AU46-AW46)*$AU$62)+IF(CE46=0,0,(AY46-BA46)*$AY$62)++IF(CF46=0,0,(BC46-BE46)*$BC$62)+IF(CH46=0,0,(BJ46-BL46)*$BC$62)+IF(CG46=0,0,BG46)+IF(CI46=0,0,(BN46-BP46)*$BC$62))</f>
        <v>2957226.5007306812</v>
      </c>
      <c r="CL46" s="239">
        <f>(D46-E46)*BS46+((G46-H46-(I46-J46))*G$62)*BT46+((K46-L46-(M46-N46))*K$62)*BU46+((O46-P46-(Q46-R46))*O$62)*BV46+((S46-T46-(U46-V46))*S$62)*BW46+((W46-X46-(Y46-Z46))*W$62)*BX46+((AA46-AB46-(AC46-AD46))*AA$62)*BY46+((AE46-AF46-(AG46-AH46))*AE$62)*BZ46+((AI46-AJ46-(AK46-AL46))*AI$62)*CA46+((AM46-AN46-(AO46-AP46))*$AM$62)*CB46+((AQ46-AR46-(AS46-AT46))*$AQ$62)*CC46+((AU46-AV46-(AW46-AX46))*$AU$62)*CD46+((AY46-AZ46-(BA46-BB46))*$AY$62)*CE46+((BC46-BD46-(BF46-BR46))*$BC$62)*CF46+((BJ46-BK46-(BL46-BM46))*$BC$62)*CH46+(BG46-BH46)*CG46+((BN46-BO46-(BP46-BQ46))*$BC$62)*CI46</f>
        <v>5080999.6194024626</v>
      </c>
    </row>
    <row r="47" spans="1:90" s="1" customFormat="1" ht="12.75" customHeight="1" thickBot="1" x14ac:dyDescent="0.35">
      <c r="A47" s="480"/>
      <c r="B47" s="13" t="s">
        <v>37</v>
      </c>
      <c r="C47" s="18"/>
      <c r="D47" s="38">
        <v>2957226.5007306808</v>
      </c>
      <c r="E47" s="38"/>
      <c r="F47" s="38">
        <v>1915114.0768671127</v>
      </c>
      <c r="G47" s="67">
        <v>383603.42</v>
      </c>
      <c r="H47" s="67">
        <v>0</v>
      </c>
      <c r="I47" s="67"/>
      <c r="J47" s="67"/>
      <c r="K47" s="116">
        <v>723366.95</v>
      </c>
      <c r="L47" s="116">
        <v>0</v>
      </c>
      <c r="M47" s="116"/>
      <c r="N47" s="116"/>
      <c r="O47" s="68">
        <v>345218.57</v>
      </c>
      <c r="P47" s="68">
        <v>0</v>
      </c>
      <c r="Q47" s="68"/>
      <c r="R47" s="68"/>
      <c r="S47" s="120">
        <v>343113</v>
      </c>
      <c r="T47" s="121">
        <v>0</v>
      </c>
      <c r="U47" s="121"/>
      <c r="V47" s="122"/>
      <c r="W47" s="67">
        <v>288347.67</v>
      </c>
      <c r="X47" s="67">
        <v>0</v>
      </c>
      <c r="Y47" s="67"/>
      <c r="Z47" s="67"/>
      <c r="AA47" s="116">
        <v>301261.25000000006</v>
      </c>
      <c r="AB47" s="116">
        <v>0</v>
      </c>
      <c r="AC47" s="116"/>
      <c r="AD47" s="116"/>
      <c r="AE47" s="68">
        <v>418664.33</v>
      </c>
      <c r="AF47" s="68">
        <v>0</v>
      </c>
      <c r="AG47" s="68"/>
      <c r="AH47" s="117"/>
      <c r="AI47" s="120">
        <v>191547.63</v>
      </c>
      <c r="AJ47" s="121">
        <v>0</v>
      </c>
      <c r="AK47" s="121"/>
      <c r="AL47" s="122"/>
      <c r="AM47" s="52">
        <v>284788.3</v>
      </c>
      <c r="AN47" s="52">
        <v>0</v>
      </c>
      <c r="AO47" s="52"/>
      <c r="AP47" s="52"/>
      <c r="AQ47" s="208">
        <v>417455.78889137268</v>
      </c>
      <c r="AR47" s="203">
        <v>0</v>
      </c>
      <c r="AS47" s="203"/>
      <c r="AT47" s="203"/>
      <c r="AU47" s="215">
        <v>846640.63000000012</v>
      </c>
      <c r="AV47" s="215">
        <v>0</v>
      </c>
      <c r="AW47" s="215"/>
      <c r="AX47" s="215"/>
      <c r="AY47" s="133">
        <v>696982</v>
      </c>
      <c r="AZ47" s="133">
        <v>0</v>
      </c>
      <c r="BA47" s="133"/>
      <c r="BB47" s="133"/>
      <c r="BC47" s="148">
        <f>+BC46</f>
        <v>611593.03</v>
      </c>
      <c r="BD47" s="140"/>
      <c r="BE47" s="140"/>
      <c r="BF47" s="140"/>
      <c r="BG47" s="255">
        <f t="shared" ref="BG47:BO47" si="65">+BG46</f>
        <v>0</v>
      </c>
      <c r="BH47" s="255">
        <f t="shared" si="65"/>
        <v>0</v>
      </c>
      <c r="BI47" s="255">
        <f t="shared" si="65"/>
        <v>0</v>
      </c>
      <c r="BJ47" s="229">
        <f t="shared" si="65"/>
        <v>717101.01</v>
      </c>
      <c r="BK47" s="229">
        <f t="shared" si="65"/>
        <v>0</v>
      </c>
      <c r="BL47" s="229"/>
      <c r="BM47" s="229"/>
      <c r="BN47" s="235">
        <f t="shared" si="65"/>
        <v>778834.53</v>
      </c>
      <c r="BO47" s="235">
        <f t="shared" si="65"/>
        <v>0</v>
      </c>
      <c r="BP47" s="235"/>
      <c r="BQ47" s="23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240">
        <f>CJ46</f>
        <v>9999006.0822220538</v>
      </c>
      <c r="CK47" s="240">
        <f>CK46</f>
        <v>2957226.5007306812</v>
      </c>
      <c r="CL47" s="240">
        <f>CL46</f>
        <v>5080999.6194024626</v>
      </c>
    </row>
    <row r="48" spans="1:90" ht="12.75" customHeight="1" x14ac:dyDescent="0.25">
      <c r="A48" s="478" t="s">
        <v>38</v>
      </c>
      <c r="B48" s="27" t="s">
        <v>17</v>
      </c>
      <c r="C48" s="12">
        <v>4</v>
      </c>
      <c r="D48" s="39">
        <v>0</v>
      </c>
      <c r="E48" s="151"/>
      <c r="F48" s="180">
        <v>0</v>
      </c>
      <c r="G48" s="87">
        <v>0</v>
      </c>
      <c r="H48" s="100"/>
      <c r="I48" s="127"/>
      <c r="J48" s="100"/>
      <c r="K48" s="89">
        <v>0</v>
      </c>
      <c r="L48" s="101"/>
      <c r="M48" s="153"/>
      <c r="N48" s="102"/>
      <c r="O48" s="92">
        <v>0</v>
      </c>
      <c r="P48" s="103"/>
      <c r="Q48" s="94"/>
      <c r="R48" s="103"/>
      <c r="S48" s="166">
        <v>0</v>
      </c>
      <c r="T48" s="181"/>
      <c r="U48" s="154"/>
      <c r="V48" s="167"/>
      <c r="W48" s="58">
        <v>0</v>
      </c>
      <c r="X48" s="58">
        <v>0</v>
      </c>
      <c r="Y48" s="58"/>
      <c r="Z48" s="69"/>
      <c r="AA48" s="76">
        <v>0</v>
      </c>
      <c r="AB48" s="156">
        <v>0</v>
      </c>
      <c r="AC48" s="157"/>
      <c r="AD48" s="71"/>
      <c r="AE48" s="63">
        <v>0</v>
      </c>
      <c r="AF48" s="63">
        <v>0</v>
      </c>
      <c r="AG48" s="158"/>
      <c r="AH48" s="72"/>
      <c r="AI48" s="166">
        <v>0</v>
      </c>
      <c r="AJ48" s="154">
        <v>0</v>
      </c>
      <c r="AK48" s="154"/>
      <c r="AL48" s="167"/>
      <c r="AM48" s="49">
        <v>0</v>
      </c>
      <c r="AN48" s="49">
        <v>0</v>
      </c>
      <c r="AO48" s="49"/>
      <c r="AP48" s="182"/>
      <c r="AQ48" s="159">
        <v>0</v>
      </c>
      <c r="AR48" s="201">
        <v>0</v>
      </c>
      <c r="AS48" s="201"/>
      <c r="AT48" s="201"/>
      <c r="AU48" s="213">
        <v>0</v>
      </c>
      <c r="AV48" s="213">
        <v>0</v>
      </c>
      <c r="AW48" s="213"/>
      <c r="AX48" s="213"/>
      <c r="AY48" s="132">
        <v>0</v>
      </c>
      <c r="AZ48" s="132">
        <v>0</v>
      </c>
      <c r="BA48" s="132"/>
      <c r="BB48" s="132"/>
      <c r="BC48" s="146"/>
      <c r="BD48" s="139"/>
      <c r="BE48" s="139"/>
      <c r="BF48" s="139"/>
      <c r="BG48" s="257"/>
      <c r="BH48" s="257"/>
      <c r="BI48" s="257"/>
      <c r="BJ48" s="231"/>
      <c r="BK48" s="231"/>
      <c r="BL48" s="231"/>
      <c r="BM48" s="231"/>
      <c r="BN48" s="237"/>
      <c r="BO48" s="237"/>
      <c r="BP48" s="237"/>
      <c r="BQ48" s="237"/>
      <c r="BR48" s="26">
        <f t="shared" ref="BR48:BR57" si="66">IF(D48=0,0,2001-(D48-F48)*C48/D48)</f>
        <v>0</v>
      </c>
      <c r="BS48" s="46">
        <f t="shared" ref="BS48:BS57" si="67">IF((1-($CJ$2-$BR48)/$C48)&gt;0,(1-($CJ$2-$BR48)/$C48),0)</f>
        <v>0</v>
      </c>
      <c r="BT48" s="43">
        <f t="shared" ref="BT48:BT57" si="68">IF((1-($CJ$2-G$2)/$C48)&gt;0,(1-($CJ$2-G$2)/$C48),0)</f>
        <v>0</v>
      </c>
      <c r="BU48" s="43">
        <f t="shared" ref="BU48:BU57" si="69">IF((1-($CJ$2-K$2)/$C48)&gt;0,(1-($CJ$2-K$2)/$C48),0)</f>
        <v>0</v>
      </c>
      <c r="BV48" s="43">
        <f t="shared" ref="BV48:BV57" si="70">IF((1-($CJ$2-O$2)/$C48)&gt;0,(1-($CJ$2-O$2)/$C48),0)</f>
        <v>0</v>
      </c>
      <c r="BW48" s="43">
        <f t="shared" ref="BW48:BW57" si="71">IF((1-($CJ$2-S$2)/$C48)&gt;0,(1-($CJ$2-S$2)/$C48),0)</f>
        <v>0</v>
      </c>
      <c r="BX48" s="43">
        <f t="shared" ref="BX48:BX57" si="72">IF((1-($CJ$2-W$2)/$C48)&gt;0,(1-($CJ$2-W$2)/$C48),0)</f>
        <v>0</v>
      </c>
      <c r="BY48" s="43">
        <f t="shared" ref="BY48:BY57" si="73">IF((1-($CJ$2-AA$2)/$C48)&gt;0,(1-($CJ$2-AA$2)/$C48),0)</f>
        <v>0</v>
      </c>
      <c r="BZ48" s="43">
        <f t="shared" ref="BZ48:BZ57" si="74">IF((1-($CJ$2-AE$2)/$C48)&gt;0,(1-($CJ$2-AE$2)/$C48),0)</f>
        <v>0</v>
      </c>
      <c r="CA48" s="43">
        <f t="shared" ref="CA48:CA57" si="75">IF((1-($CJ$2-AI$2)/$C48)&gt;0,(1-($CJ$2-AI$2)/$C48),0)</f>
        <v>0</v>
      </c>
      <c r="CB48" s="43">
        <f t="shared" ref="CB48:CB57" si="76">IF((1-($CJ$2-AM$2)/$C48)&gt;0,(1-($CJ$2-AM$2)/$C48),0)</f>
        <v>0</v>
      </c>
      <c r="CC48" s="43">
        <f t="shared" ref="CC48:CC57" si="77">IF((1-($CJ$2-AQ$2)/$C48)&gt;0,(1-($CJ$2-AQ$2)/$C48),0)</f>
        <v>0</v>
      </c>
      <c r="CD48" s="43">
        <f t="shared" ref="CD48:CD57" si="78">IF((1-($CJ$2-AU$2)/$C48)&gt;0,(1-($CJ$2-AU$2)/$C48),0)</f>
        <v>0</v>
      </c>
      <c r="CE48" s="43">
        <f t="shared" ref="CE48:CE57" si="79">IF((1-($CJ$2-AY$2)/$C48)&gt;0,(1-($CJ$2-AY$2)/$C48),0)</f>
        <v>0.25</v>
      </c>
      <c r="CF48" s="43">
        <f t="shared" ref="CF48:CF57" si="80">IF((1-($CJ$2-BC$2)/$C48)&gt;0,(1-($CJ$2-BC$2)/$C48),0)</f>
        <v>0.5</v>
      </c>
      <c r="CG48" s="43">
        <f t="shared" ref="CG48:CG57" si="81">IF(BG48=0,0,1-($CJ$2-(2014.5-(BG48-BI48)*C48/BG48))/C48)</f>
        <v>0</v>
      </c>
      <c r="CH48" s="43">
        <f t="shared" ref="CH48:CH57" si="82">IF((1-($CJ$2-BJ$2)/$C48)&gt;0,(1-($CJ$2-BJ$2)/$C48),0)</f>
        <v>0.75</v>
      </c>
      <c r="CI48" s="43">
        <f t="shared" ref="CI48:CI57" si="83">IF((1-($CJ$2-BN$2)/$C48)&gt;0,(1-($CJ$2-BN$2)/$C48),0)</f>
        <v>1</v>
      </c>
      <c r="CJ48" s="239">
        <f t="shared" ref="CJ48:CJ57" si="84">D48-E48+(G48-I48)*G$63+(K48-M48)*K$63+(O48-Q48)*O$63+(S48-U48)*S$63+(W48-Y48)*W$63+(AA48-AC48)*AA$63+(AE48-AG48)*AE$63+(AI48-AK48)*AI$63+(AM48-AO48)*AM$63+(AQ48-AS48)*$AQ$63+(AU48-AW48)*$AU$63+(AY48-BA48)*$AY$63+(BC48-BE48)*$BC$63+(BJ48-BL48)*$BJ$63+BG48+(BN48-BP48)*$BN$63</f>
        <v>0</v>
      </c>
      <c r="CK48" s="239">
        <f t="shared" ref="CK48:CK57" si="85">CJ48-(IF(BS48=0,0,D48-E48)+IF(BT48=0,0,(G48-I48)*G$63)+IF(BU48=0,0,(K48-M48)*K$63)+IF(BV48=0,0,(O48-Q48)*O$63)+IF(BW48=0,0,(S48-U48)*S$63)+IF(BX48=0,0,(W48-Y48)*W$63)+IF(BY48=0,0,(AA48-AC48)*AA$63)+IF(BZ48=0,0,(AE48-AG48)*AE$63)+IF(CA48=0,0,(AI48-AK48)*AI$63)+IF(CB48=0,0,(AM48-AO48)*AM$63)+IF(CC48=0,0,(AQ48-AS48)*$AQ$63)+IF(CD48=0,0,(AU48-AW48)*$AU$63)+IF(CE48=0,0,(AY48-BA48)*$AY$63)++IF(CF48=0,0,(BC48-BE48)*$BC$63)+IF(CH48=0,0,(BJ48-BL48)*$BC$63)+IF(CG48=0,0,BG48)+IF(CI48=0,0,(BN48-BP48)*$BC$63))</f>
        <v>0</v>
      </c>
      <c r="CL48" s="239">
        <f t="shared" ref="CL48:CL57" si="86">(D48-E48)*BS48+((G48-H48-(I48-J48))*G$63)*BT48+((K48-L48-(M48-N48))*K$63)*BU48+((O48-P48-(Q48-R48))*O$63)*BV48+((S48-T48-(U48-V48))*S$63)*BW48+((W48-X48-(Y48-Z48))*W$63)*BX48+((AA48-AB48-(AC48-AD48))*AA$63)*BY48+((AE48-AF48-(AG48-AH48))*AE$63)*BZ48+((AI48-AJ48-(AK48-AL48))*AI$63)*CA48+((AM48-AN48-(AO48-AP48))*$AM$63)*CB48+((AQ48-AR48-(AS48-AT48))*$AQ$63)*CC48+((AU48-AV48-(AW48-AX48))*$AU$63)*CD48+((AY48-AZ48-(BA48-BB48))*$AY$63)*CE48+((BC48-BD48-(BF48-BR48))*$BC$63)*CF48+((BJ48-BK48-(BL48-BM48))*$BC$63)*CH48+(BG48-BH48)*CG48+((BN48-BO48-(BP48-BQ48))*$BC$63)*CI48</f>
        <v>0</v>
      </c>
    </row>
    <row r="49" spans="1:90" ht="12.75" customHeight="1" x14ac:dyDescent="0.25">
      <c r="A49" s="479"/>
      <c r="B49" s="28" t="s">
        <v>39</v>
      </c>
      <c r="C49" s="17">
        <v>1000</v>
      </c>
      <c r="D49" s="37">
        <v>0</v>
      </c>
      <c r="E49" s="151"/>
      <c r="F49" s="160">
        <v>0</v>
      </c>
      <c r="G49" s="87">
        <v>0</v>
      </c>
      <c r="H49" s="88"/>
      <c r="I49" s="127"/>
      <c r="J49" s="88"/>
      <c r="K49" s="89">
        <v>0</v>
      </c>
      <c r="L49" s="90"/>
      <c r="M49" s="153"/>
      <c r="N49" s="91"/>
      <c r="O49" s="95">
        <v>0</v>
      </c>
      <c r="P49" s="93"/>
      <c r="Q49" s="94"/>
      <c r="R49" s="93"/>
      <c r="S49" s="154">
        <v>0</v>
      </c>
      <c r="T49" s="183"/>
      <c r="U49" s="154"/>
      <c r="V49" s="155"/>
      <c r="W49" s="58">
        <v>0</v>
      </c>
      <c r="X49" s="58">
        <v>0</v>
      </c>
      <c r="Y49" s="58"/>
      <c r="Z49" s="59"/>
      <c r="AA49" s="76">
        <v>0</v>
      </c>
      <c r="AB49" s="156">
        <v>0</v>
      </c>
      <c r="AC49" s="157"/>
      <c r="AD49" s="61"/>
      <c r="AE49" s="63">
        <v>0</v>
      </c>
      <c r="AF49" s="63">
        <v>0</v>
      </c>
      <c r="AG49" s="158"/>
      <c r="AH49" s="62"/>
      <c r="AI49" s="154">
        <v>0</v>
      </c>
      <c r="AJ49" s="154">
        <v>0</v>
      </c>
      <c r="AK49" s="154"/>
      <c r="AL49" s="155"/>
      <c r="AM49" s="49">
        <v>0</v>
      </c>
      <c r="AN49" s="49">
        <v>0</v>
      </c>
      <c r="AO49" s="49"/>
      <c r="AP49" s="184"/>
      <c r="AQ49" s="159">
        <v>0</v>
      </c>
      <c r="AR49" s="198">
        <v>0</v>
      </c>
      <c r="AS49" s="198"/>
      <c r="AT49" s="198"/>
      <c r="AU49" s="210">
        <v>0</v>
      </c>
      <c r="AV49" s="210">
        <v>0</v>
      </c>
      <c r="AW49" s="210"/>
      <c r="AX49" s="210"/>
      <c r="AY49" s="129">
        <v>0</v>
      </c>
      <c r="AZ49" s="129">
        <v>0</v>
      </c>
      <c r="BA49" s="129"/>
      <c r="BB49" s="129"/>
      <c r="BC49" s="146"/>
      <c r="BD49" s="136"/>
      <c r="BE49" s="136"/>
      <c r="BF49" s="136"/>
      <c r="BG49" s="252"/>
      <c r="BH49" s="252"/>
      <c r="BI49" s="252"/>
      <c r="BJ49" s="226"/>
      <c r="BK49" s="226"/>
      <c r="BL49" s="226"/>
      <c r="BM49" s="226"/>
      <c r="BN49" s="233"/>
      <c r="BO49" s="233"/>
      <c r="BP49" s="233"/>
      <c r="BQ49" s="233"/>
      <c r="BR49" s="26">
        <f t="shared" si="66"/>
        <v>0</v>
      </c>
      <c r="BS49" s="46">
        <f t="shared" si="67"/>
        <v>0</v>
      </c>
      <c r="BT49" s="43">
        <f t="shared" si="68"/>
        <v>0.98599999999999999</v>
      </c>
      <c r="BU49" s="43">
        <f t="shared" si="69"/>
        <v>0.98699999999999999</v>
      </c>
      <c r="BV49" s="43">
        <f t="shared" si="70"/>
        <v>0.98799999999999999</v>
      </c>
      <c r="BW49" s="43">
        <f t="shared" si="71"/>
        <v>0.98899999999999999</v>
      </c>
      <c r="BX49" s="43">
        <f t="shared" si="72"/>
        <v>0.99</v>
      </c>
      <c r="BY49" s="43">
        <f t="shared" si="73"/>
        <v>0.99099999999999999</v>
      </c>
      <c r="BZ49" s="43">
        <f t="shared" si="74"/>
        <v>0.99199999999999999</v>
      </c>
      <c r="CA49" s="43">
        <f t="shared" si="75"/>
        <v>0.99299999999999999</v>
      </c>
      <c r="CB49" s="43">
        <f t="shared" si="76"/>
        <v>0.99399999999999999</v>
      </c>
      <c r="CC49" s="43">
        <f t="shared" si="77"/>
        <v>0.995</v>
      </c>
      <c r="CD49" s="43">
        <f t="shared" si="78"/>
        <v>0.996</v>
      </c>
      <c r="CE49" s="43">
        <f t="shared" si="79"/>
        <v>0.997</v>
      </c>
      <c r="CF49" s="43">
        <f t="shared" si="80"/>
        <v>0.998</v>
      </c>
      <c r="CG49" s="43">
        <f t="shared" si="81"/>
        <v>0</v>
      </c>
      <c r="CH49" s="43">
        <f t="shared" si="82"/>
        <v>0.999</v>
      </c>
      <c r="CI49" s="43">
        <f t="shared" si="83"/>
        <v>1</v>
      </c>
      <c r="CJ49" s="239">
        <f t="shared" si="84"/>
        <v>0</v>
      </c>
      <c r="CK49" s="239">
        <f t="shared" si="85"/>
        <v>0</v>
      </c>
      <c r="CL49" s="239">
        <f t="shared" si="86"/>
        <v>0</v>
      </c>
    </row>
    <row r="50" spans="1:90" ht="12.75" customHeight="1" x14ac:dyDescent="0.25">
      <c r="A50" s="479"/>
      <c r="B50" s="28" t="s">
        <v>9</v>
      </c>
      <c r="C50" s="7">
        <v>40</v>
      </c>
      <c r="D50" s="37">
        <v>1075230.2047875901</v>
      </c>
      <c r="E50" s="151"/>
      <c r="F50" s="152">
        <v>828035.68623603997</v>
      </c>
      <c r="G50" s="87">
        <v>0</v>
      </c>
      <c r="H50" s="88"/>
      <c r="I50" s="127"/>
      <c r="J50" s="88"/>
      <c r="K50" s="89">
        <v>0</v>
      </c>
      <c r="L50" s="90"/>
      <c r="M50" s="153"/>
      <c r="N50" s="91"/>
      <c r="O50" s="95">
        <v>0</v>
      </c>
      <c r="P50" s="93"/>
      <c r="Q50" s="94"/>
      <c r="R50" s="93"/>
      <c r="S50" s="154">
        <v>0</v>
      </c>
      <c r="T50" s="183"/>
      <c r="U50" s="154"/>
      <c r="V50" s="155"/>
      <c r="W50" s="58">
        <v>0</v>
      </c>
      <c r="X50" s="58">
        <v>0</v>
      </c>
      <c r="Y50" s="58"/>
      <c r="Z50" s="59"/>
      <c r="AA50" s="76">
        <v>26826.639999999999</v>
      </c>
      <c r="AB50" s="156">
        <v>0</v>
      </c>
      <c r="AC50" s="157"/>
      <c r="AD50" s="61"/>
      <c r="AE50" s="63">
        <v>0</v>
      </c>
      <c r="AF50" s="63">
        <v>0</v>
      </c>
      <c r="AG50" s="158"/>
      <c r="AH50" s="62"/>
      <c r="AI50" s="154">
        <v>0</v>
      </c>
      <c r="AJ50" s="154">
        <v>0</v>
      </c>
      <c r="AK50" s="154"/>
      <c r="AL50" s="155"/>
      <c r="AM50" s="49">
        <v>0</v>
      </c>
      <c r="AN50" s="49">
        <v>0</v>
      </c>
      <c r="AO50" s="49"/>
      <c r="AP50" s="184"/>
      <c r="AQ50" s="159">
        <v>0</v>
      </c>
      <c r="AR50" s="198">
        <v>0</v>
      </c>
      <c r="AS50" s="198"/>
      <c r="AT50" s="198"/>
      <c r="AU50" s="210">
        <v>0</v>
      </c>
      <c r="AV50" s="210">
        <v>0</v>
      </c>
      <c r="AW50" s="210"/>
      <c r="AX50" s="210"/>
      <c r="AY50" s="129">
        <v>0</v>
      </c>
      <c r="AZ50" s="129">
        <v>0</v>
      </c>
      <c r="BA50" s="129"/>
      <c r="BB50" s="129"/>
      <c r="BC50" s="146"/>
      <c r="BD50" s="136"/>
      <c r="BE50" s="136"/>
      <c r="BF50" s="136"/>
      <c r="BG50" s="252"/>
      <c r="BH50" s="252"/>
      <c r="BI50" s="252"/>
      <c r="BJ50" s="226"/>
      <c r="BK50" s="226"/>
      <c r="BL50" s="226"/>
      <c r="BM50" s="226"/>
      <c r="BN50" s="233"/>
      <c r="BO50" s="233"/>
      <c r="BP50" s="233"/>
      <c r="BQ50" s="233"/>
      <c r="BR50" s="26">
        <f t="shared" si="66"/>
        <v>1991.8040336868928</v>
      </c>
      <c r="BS50" s="43">
        <f t="shared" si="67"/>
        <v>0.39510084217232022</v>
      </c>
      <c r="BT50" s="43">
        <f t="shared" si="68"/>
        <v>0.65</v>
      </c>
      <c r="BU50" s="43">
        <f t="shared" si="69"/>
        <v>0.67500000000000004</v>
      </c>
      <c r="BV50" s="43">
        <f t="shared" si="70"/>
        <v>0.7</v>
      </c>
      <c r="BW50" s="43">
        <f t="shared" si="71"/>
        <v>0.72499999999999998</v>
      </c>
      <c r="BX50" s="43">
        <f t="shared" si="72"/>
        <v>0.75</v>
      </c>
      <c r="BY50" s="43">
        <f t="shared" si="73"/>
        <v>0.77500000000000002</v>
      </c>
      <c r="BZ50" s="43">
        <f t="shared" si="74"/>
        <v>0.8</v>
      </c>
      <c r="CA50" s="43">
        <f t="shared" si="75"/>
        <v>0.82499999999999996</v>
      </c>
      <c r="CB50" s="43">
        <f t="shared" si="76"/>
        <v>0.85</v>
      </c>
      <c r="CC50" s="43">
        <f t="shared" si="77"/>
        <v>0.875</v>
      </c>
      <c r="CD50" s="43">
        <f t="shared" si="78"/>
        <v>0.9</v>
      </c>
      <c r="CE50" s="43">
        <f t="shared" si="79"/>
        <v>0.92500000000000004</v>
      </c>
      <c r="CF50" s="43">
        <f t="shared" si="80"/>
        <v>0.95</v>
      </c>
      <c r="CG50" s="43">
        <f t="shared" si="81"/>
        <v>0</v>
      </c>
      <c r="CH50" s="43">
        <f t="shared" si="82"/>
        <v>0.97499999999999998</v>
      </c>
      <c r="CI50" s="43">
        <f t="shared" si="83"/>
        <v>1</v>
      </c>
      <c r="CJ50" s="239">
        <f t="shared" si="84"/>
        <v>1094161.605459783</v>
      </c>
      <c r="CK50" s="239">
        <f t="shared" si="85"/>
        <v>0</v>
      </c>
      <c r="CL50" s="239">
        <f t="shared" si="86"/>
        <v>441199.18741044507</v>
      </c>
    </row>
    <row r="51" spans="1:90" ht="12.75" customHeight="1" x14ac:dyDescent="0.25">
      <c r="A51" s="479"/>
      <c r="B51" s="28" t="s">
        <v>40</v>
      </c>
      <c r="C51" s="7">
        <v>22</v>
      </c>
      <c r="D51" s="37">
        <v>4570414.9220673665</v>
      </c>
      <c r="E51" s="151"/>
      <c r="F51" s="152">
        <v>3249798.252767378</v>
      </c>
      <c r="G51" s="87">
        <v>385845.48</v>
      </c>
      <c r="H51" s="88"/>
      <c r="I51" s="127"/>
      <c r="J51" s="88"/>
      <c r="K51" s="89">
        <v>452747.86</v>
      </c>
      <c r="L51" s="90"/>
      <c r="M51" s="153"/>
      <c r="N51" s="91"/>
      <c r="O51" s="95">
        <v>370817.32</v>
      </c>
      <c r="P51" s="93"/>
      <c r="Q51" s="94"/>
      <c r="R51" s="93"/>
      <c r="S51" s="154">
        <v>396757.73</v>
      </c>
      <c r="T51" s="183"/>
      <c r="U51" s="154"/>
      <c r="V51" s="155"/>
      <c r="W51" s="58">
        <v>291785.66999999993</v>
      </c>
      <c r="X51" s="58">
        <v>0</v>
      </c>
      <c r="Y51" s="58"/>
      <c r="Z51" s="59"/>
      <c r="AA51" s="76">
        <v>444306.60000000003</v>
      </c>
      <c r="AB51" s="156">
        <v>0</v>
      </c>
      <c r="AC51" s="157"/>
      <c r="AD51" s="61"/>
      <c r="AE51" s="63">
        <v>641039</v>
      </c>
      <c r="AF51" s="63">
        <v>0</v>
      </c>
      <c r="AG51" s="158"/>
      <c r="AH51" s="62"/>
      <c r="AI51" s="154">
        <v>528906.63000000012</v>
      </c>
      <c r="AJ51" s="154">
        <v>0</v>
      </c>
      <c r="AK51" s="154"/>
      <c r="AL51" s="155"/>
      <c r="AM51" s="49">
        <v>421950.02999999991</v>
      </c>
      <c r="AN51" s="49">
        <v>0</v>
      </c>
      <c r="AO51" s="49"/>
      <c r="AP51" s="223"/>
      <c r="AQ51" s="159">
        <v>401723.83</v>
      </c>
      <c r="AR51" s="198">
        <v>0</v>
      </c>
      <c r="AS51" s="198"/>
      <c r="AT51" s="198"/>
      <c r="AU51" s="210">
        <v>401731.13</v>
      </c>
      <c r="AV51" s="210">
        <v>0</v>
      </c>
      <c r="AW51" s="210"/>
      <c r="AX51" s="210"/>
      <c r="AY51" s="129">
        <v>555885.05319699994</v>
      </c>
      <c r="AZ51" s="129">
        <v>0</v>
      </c>
      <c r="BA51" s="129"/>
      <c r="BB51" s="129"/>
      <c r="BC51" s="146">
        <v>660890.24999999988</v>
      </c>
      <c r="BD51" s="136"/>
      <c r="BE51" s="136"/>
      <c r="BF51" s="136"/>
      <c r="BG51" s="252">
        <f>+BH51</f>
        <v>265555</v>
      </c>
      <c r="BH51" s="252">
        <v>265555</v>
      </c>
      <c r="BI51" s="252">
        <v>173348.46</v>
      </c>
      <c r="BJ51" s="226">
        <v>682413</v>
      </c>
      <c r="BK51" s="226"/>
      <c r="BL51" s="226"/>
      <c r="BM51" s="226"/>
      <c r="BN51" s="233">
        <v>805417.89999999991</v>
      </c>
      <c r="BO51" s="233"/>
      <c r="BP51" s="233"/>
      <c r="BQ51" s="233"/>
      <c r="BR51" s="26">
        <f t="shared" si="66"/>
        <v>1994.6431227317414</v>
      </c>
      <c r="BS51" s="43">
        <f t="shared" si="67"/>
        <v>2.923285144279153E-2</v>
      </c>
      <c r="BT51" s="43">
        <f t="shared" si="68"/>
        <v>0.36363636363636365</v>
      </c>
      <c r="BU51" s="43">
        <f t="shared" si="69"/>
        <v>0.40909090909090906</v>
      </c>
      <c r="BV51" s="43">
        <f t="shared" si="70"/>
        <v>0.45454545454545459</v>
      </c>
      <c r="BW51" s="43">
        <f t="shared" si="71"/>
        <v>0.5</v>
      </c>
      <c r="BX51" s="43">
        <f t="shared" si="72"/>
        <v>0.54545454545454541</v>
      </c>
      <c r="BY51" s="43">
        <f t="shared" si="73"/>
        <v>0.59090909090909083</v>
      </c>
      <c r="BZ51" s="43">
        <f t="shared" si="74"/>
        <v>0.63636363636363635</v>
      </c>
      <c r="CA51" s="43">
        <f t="shared" si="75"/>
        <v>0.68181818181818188</v>
      </c>
      <c r="CB51" s="43">
        <f t="shared" si="76"/>
        <v>0.72727272727272729</v>
      </c>
      <c r="CC51" s="43">
        <f t="shared" si="77"/>
        <v>0.77272727272727271</v>
      </c>
      <c r="CD51" s="43">
        <f t="shared" si="78"/>
        <v>0.81818181818181812</v>
      </c>
      <c r="CE51" s="43">
        <f t="shared" si="79"/>
        <v>0.86363636363636365</v>
      </c>
      <c r="CF51" s="43">
        <f t="shared" si="80"/>
        <v>0.90909090909090906</v>
      </c>
      <c r="CG51" s="43">
        <f t="shared" si="81"/>
        <v>0.58459617507757722</v>
      </c>
      <c r="CH51" s="43">
        <f t="shared" si="82"/>
        <v>0.95454545454545459</v>
      </c>
      <c r="CI51" s="43">
        <f t="shared" si="83"/>
        <v>1</v>
      </c>
      <c r="CJ51" s="239">
        <f t="shared" si="84"/>
        <v>10819239.115811007</v>
      </c>
      <c r="CK51" s="239">
        <f t="shared" si="85"/>
        <v>0</v>
      </c>
      <c r="CL51" s="239">
        <f t="shared" si="86"/>
        <v>4466010.915953218</v>
      </c>
    </row>
    <row r="52" spans="1:90" ht="12.75" customHeight="1" x14ac:dyDescent="0.25">
      <c r="A52" s="479"/>
      <c r="B52" s="28" t="s">
        <v>54</v>
      </c>
      <c r="C52" s="7">
        <v>22</v>
      </c>
      <c r="D52" s="37">
        <v>0</v>
      </c>
      <c r="E52" s="151"/>
      <c r="F52" s="152">
        <v>0</v>
      </c>
      <c r="G52" s="87">
        <v>0</v>
      </c>
      <c r="H52" s="88"/>
      <c r="I52" s="127"/>
      <c r="J52" s="88"/>
      <c r="K52" s="89">
        <v>0</v>
      </c>
      <c r="L52" s="90"/>
      <c r="M52" s="153"/>
      <c r="N52" s="91"/>
      <c r="O52" s="95">
        <v>0</v>
      </c>
      <c r="P52" s="93"/>
      <c r="Q52" s="94"/>
      <c r="R52" s="93"/>
      <c r="S52" s="154">
        <v>0</v>
      </c>
      <c r="T52" s="183"/>
      <c r="U52" s="154"/>
      <c r="V52" s="155"/>
      <c r="W52" s="58">
        <v>0</v>
      </c>
      <c r="X52" s="58">
        <v>0</v>
      </c>
      <c r="Y52" s="58"/>
      <c r="Z52" s="59"/>
      <c r="AA52" s="76">
        <v>0</v>
      </c>
      <c r="AB52" s="156">
        <v>0</v>
      </c>
      <c r="AC52" s="157"/>
      <c r="AD52" s="61"/>
      <c r="AE52" s="63">
        <v>0</v>
      </c>
      <c r="AF52" s="63">
        <v>0</v>
      </c>
      <c r="AG52" s="158"/>
      <c r="AH52" s="62"/>
      <c r="AI52" s="154">
        <v>0</v>
      </c>
      <c r="AJ52" s="154">
        <v>0</v>
      </c>
      <c r="AK52" s="154"/>
      <c r="AL52" s="155"/>
      <c r="AM52" s="49">
        <v>0</v>
      </c>
      <c r="AN52" s="49">
        <v>0</v>
      </c>
      <c r="AO52" s="49"/>
      <c r="AP52" s="184"/>
      <c r="AQ52" s="159">
        <v>0</v>
      </c>
      <c r="AR52" s="198">
        <v>0</v>
      </c>
      <c r="AS52" s="198"/>
      <c r="AT52" s="198"/>
      <c r="AU52" s="210">
        <v>0</v>
      </c>
      <c r="AV52" s="210">
        <v>0</v>
      </c>
      <c r="AW52" s="210"/>
      <c r="AX52" s="210"/>
      <c r="AY52" s="129">
        <v>0</v>
      </c>
      <c r="AZ52" s="129">
        <v>0</v>
      </c>
      <c r="BA52" s="129"/>
      <c r="BB52" s="129"/>
      <c r="BC52" s="146">
        <v>0</v>
      </c>
      <c r="BD52" s="136"/>
      <c r="BE52" s="136"/>
      <c r="BF52" s="136"/>
      <c r="BG52" s="252"/>
      <c r="BH52" s="252"/>
      <c r="BI52" s="252"/>
      <c r="BJ52" s="226">
        <v>0</v>
      </c>
      <c r="BK52" s="226"/>
      <c r="BL52" s="226"/>
      <c r="BM52" s="226"/>
      <c r="BN52" s="233">
        <v>0</v>
      </c>
      <c r="BO52" s="233"/>
      <c r="BP52" s="233"/>
      <c r="BQ52" s="233"/>
      <c r="BR52" s="26">
        <f t="shared" si="66"/>
        <v>0</v>
      </c>
      <c r="BS52" s="43">
        <f t="shared" si="67"/>
        <v>0</v>
      </c>
      <c r="BT52" s="43">
        <f t="shared" si="68"/>
        <v>0.36363636363636365</v>
      </c>
      <c r="BU52" s="43">
        <f t="shared" si="69"/>
        <v>0.40909090909090906</v>
      </c>
      <c r="BV52" s="43">
        <f t="shared" si="70"/>
        <v>0.45454545454545459</v>
      </c>
      <c r="BW52" s="43">
        <f t="shared" si="71"/>
        <v>0.5</v>
      </c>
      <c r="BX52" s="43">
        <f t="shared" si="72"/>
        <v>0.54545454545454541</v>
      </c>
      <c r="BY52" s="43">
        <f t="shared" si="73"/>
        <v>0.59090909090909083</v>
      </c>
      <c r="BZ52" s="43">
        <f t="shared" si="74"/>
        <v>0.63636363636363635</v>
      </c>
      <c r="CA52" s="43">
        <f t="shared" si="75"/>
        <v>0.68181818181818188</v>
      </c>
      <c r="CB52" s="43">
        <f t="shared" si="76"/>
        <v>0.72727272727272729</v>
      </c>
      <c r="CC52" s="43">
        <f t="shared" si="77"/>
        <v>0.77272727272727271</v>
      </c>
      <c r="CD52" s="43">
        <f t="shared" si="78"/>
        <v>0.81818181818181812</v>
      </c>
      <c r="CE52" s="43">
        <f t="shared" si="79"/>
        <v>0.86363636363636365</v>
      </c>
      <c r="CF52" s="43">
        <f t="shared" si="80"/>
        <v>0.90909090909090906</v>
      </c>
      <c r="CG52" s="43">
        <f t="shared" si="81"/>
        <v>0</v>
      </c>
      <c r="CH52" s="43">
        <f t="shared" si="82"/>
        <v>0.95454545454545459</v>
      </c>
      <c r="CI52" s="43">
        <f t="shared" si="83"/>
        <v>1</v>
      </c>
      <c r="CJ52" s="239">
        <f t="shared" si="84"/>
        <v>0</v>
      </c>
      <c r="CK52" s="239">
        <f t="shared" si="85"/>
        <v>0</v>
      </c>
      <c r="CL52" s="239">
        <f t="shared" si="86"/>
        <v>0</v>
      </c>
    </row>
    <row r="53" spans="1:90" ht="12.75" customHeight="1" x14ac:dyDescent="0.25">
      <c r="A53" s="479"/>
      <c r="B53" s="28" t="s">
        <v>10</v>
      </c>
      <c r="C53" s="7">
        <v>7</v>
      </c>
      <c r="D53" s="37">
        <v>14383.151123919413</v>
      </c>
      <c r="E53" s="151"/>
      <c r="F53" s="152">
        <v>14250.373412526502</v>
      </c>
      <c r="G53" s="87">
        <v>0</v>
      </c>
      <c r="H53" s="88"/>
      <c r="I53" s="127"/>
      <c r="J53" s="88"/>
      <c r="K53" s="89">
        <v>0</v>
      </c>
      <c r="L53" s="90"/>
      <c r="M53" s="153"/>
      <c r="N53" s="91"/>
      <c r="O53" s="95">
        <v>0</v>
      </c>
      <c r="P53" s="93"/>
      <c r="Q53" s="94"/>
      <c r="R53" s="93"/>
      <c r="S53" s="154">
        <v>0</v>
      </c>
      <c r="T53" s="183"/>
      <c r="U53" s="154"/>
      <c r="V53" s="155"/>
      <c r="W53" s="58">
        <v>0</v>
      </c>
      <c r="X53" s="58">
        <v>0</v>
      </c>
      <c r="Y53" s="58"/>
      <c r="Z53" s="59"/>
      <c r="AA53" s="76">
        <v>0</v>
      </c>
      <c r="AB53" s="156">
        <v>0</v>
      </c>
      <c r="AC53" s="157"/>
      <c r="AD53" s="61"/>
      <c r="AE53" s="63">
        <v>0</v>
      </c>
      <c r="AF53" s="63">
        <v>0</v>
      </c>
      <c r="AG53" s="158"/>
      <c r="AH53" s="62"/>
      <c r="AI53" s="154">
        <v>0</v>
      </c>
      <c r="AJ53" s="154">
        <v>0</v>
      </c>
      <c r="AK53" s="154"/>
      <c r="AL53" s="155"/>
      <c r="AM53" s="49">
        <v>0</v>
      </c>
      <c r="AN53" s="49">
        <v>0</v>
      </c>
      <c r="AO53" s="49"/>
      <c r="AP53" s="184"/>
      <c r="AQ53" s="159">
        <v>0</v>
      </c>
      <c r="AR53" s="198">
        <v>0</v>
      </c>
      <c r="AS53" s="198"/>
      <c r="AT53" s="198"/>
      <c r="AU53" s="210">
        <v>0</v>
      </c>
      <c r="AV53" s="210">
        <v>0</v>
      </c>
      <c r="AW53" s="210"/>
      <c r="AX53" s="210"/>
      <c r="AY53" s="129">
        <v>0</v>
      </c>
      <c r="AZ53" s="129">
        <v>0</v>
      </c>
      <c r="BA53" s="129"/>
      <c r="BB53" s="129"/>
      <c r="BC53" s="146"/>
      <c r="BD53" s="136"/>
      <c r="BE53" s="136"/>
      <c r="BF53" s="136"/>
      <c r="BG53" s="252"/>
      <c r="BH53" s="252"/>
      <c r="BI53" s="252"/>
      <c r="BJ53" s="226"/>
      <c r="BK53" s="226"/>
      <c r="BL53" s="226"/>
      <c r="BM53" s="226"/>
      <c r="BN53" s="233"/>
      <c r="BO53" s="233"/>
      <c r="BP53" s="233"/>
      <c r="BQ53" s="233"/>
      <c r="BR53" s="26">
        <f t="shared" si="66"/>
        <v>2000.9353796694659</v>
      </c>
      <c r="BS53" s="43">
        <f t="shared" si="67"/>
        <v>0</v>
      </c>
      <c r="BT53" s="43">
        <f t="shared" si="68"/>
        <v>0</v>
      </c>
      <c r="BU53" s="43">
        <f t="shared" si="69"/>
        <v>0</v>
      </c>
      <c r="BV53" s="43">
        <f t="shared" si="70"/>
        <v>0</v>
      </c>
      <c r="BW53" s="43">
        <f t="shared" si="71"/>
        <v>0</v>
      </c>
      <c r="BX53" s="43">
        <f t="shared" si="72"/>
        <v>0</v>
      </c>
      <c r="BY53" s="43">
        <f t="shared" si="73"/>
        <v>0</v>
      </c>
      <c r="BZ53" s="43">
        <f t="shared" si="74"/>
        <v>0</v>
      </c>
      <c r="CA53" s="43">
        <f t="shared" si="75"/>
        <v>0</v>
      </c>
      <c r="CB53" s="43">
        <f t="shared" si="76"/>
        <v>0.1428571428571429</v>
      </c>
      <c r="CC53" s="43">
        <f t="shared" si="77"/>
        <v>0.2857142857142857</v>
      </c>
      <c r="CD53" s="43">
        <f t="shared" si="78"/>
        <v>0.4285714285714286</v>
      </c>
      <c r="CE53" s="43">
        <f t="shared" si="79"/>
        <v>0.5714285714285714</v>
      </c>
      <c r="CF53" s="43">
        <f t="shared" si="80"/>
        <v>0.7142857142857143</v>
      </c>
      <c r="CG53" s="43">
        <f t="shared" si="81"/>
        <v>0</v>
      </c>
      <c r="CH53" s="43">
        <f t="shared" si="82"/>
        <v>0.85714285714285721</v>
      </c>
      <c r="CI53" s="43">
        <f t="shared" si="83"/>
        <v>1</v>
      </c>
      <c r="CJ53" s="239">
        <f t="shared" si="84"/>
        <v>14383.151123919413</v>
      </c>
      <c r="CK53" s="239">
        <f t="shared" si="85"/>
        <v>14383.151123919413</v>
      </c>
      <c r="CL53" s="239">
        <f t="shared" si="86"/>
        <v>1286.3156012160855</v>
      </c>
    </row>
    <row r="54" spans="1:90" ht="12.75" customHeight="1" x14ac:dyDescent="0.25">
      <c r="A54" s="479"/>
      <c r="B54" s="28" t="s">
        <v>11</v>
      </c>
      <c r="C54" s="7">
        <v>4</v>
      </c>
      <c r="D54" s="37">
        <v>0</v>
      </c>
      <c r="E54" s="151"/>
      <c r="F54" s="152">
        <v>0</v>
      </c>
      <c r="G54" s="87">
        <v>0</v>
      </c>
      <c r="H54" s="88"/>
      <c r="I54" s="127"/>
      <c r="J54" s="88"/>
      <c r="K54" s="89">
        <v>0</v>
      </c>
      <c r="L54" s="90"/>
      <c r="M54" s="153"/>
      <c r="N54" s="91"/>
      <c r="O54" s="95">
        <v>0</v>
      </c>
      <c r="P54" s="93"/>
      <c r="Q54" s="94"/>
      <c r="R54" s="93"/>
      <c r="S54" s="154">
        <v>0</v>
      </c>
      <c r="T54" s="183"/>
      <c r="U54" s="154"/>
      <c r="V54" s="155"/>
      <c r="W54" s="58">
        <v>0</v>
      </c>
      <c r="X54" s="58">
        <v>0</v>
      </c>
      <c r="Y54" s="58"/>
      <c r="Z54" s="59"/>
      <c r="AA54" s="76">
        <v>0</v>
      </c>
      <c r="AB54" s="156">
        <v>0</v>
      </c>
      <c r="AC54" s="157"/>
      <c r="AD54" s="61"/>
      <c r="AE54" s="63">
        <v>0</v>
      </c>
      <c r="AF54" s="63">
        <v>0</v>
      </c>
      <c r="AG54" s="158"/>
      <c r="AH54" s="62"/>
      <c r="AI54" s="154">
        <v>0</v>
      </c>
      <c r="AJ54" s="154">
        <v>0</v>
      </c>
      <c r="AK54" s="154"/>
      <c r="AL54" s="155"/>
      <c r="AM54" s="49">
        <v>0</v>
      </c>
      <c r="AN54" s="49">
        <v>0</v>
      </c>
      <c r="AO54" s="49"/>
      <c r="AP54" s="184"/>
      <c r="AQ54" s="159">
        <v>0</v>
      </c>
      <c r="AR54" s="198">
        <v>0</v>
      </c>
      <c r="AS54" s="198"/>
      <c r="AT54" s="198"/>
      <c r="AU54" s="210">
        <v>0</v>
      </c>
      <c r="AV54" s="210">
        <v>0</v>
      </c>
      <c r="AW54" s="210"/>
      <c r="AX54" s="210"/>
      <c r="AY54" s="129">
        <v>0</v>
      </c>
      <c r="AZ54" s="129">
        <v>0</v>
      </c>
      <c r="BA54" s="129"/>
      <c r="BB54" s="129"/>
      <c r="BC54" s="146"/>
      <c r="BD54" s="136"/>
      <c r="BE54" s="136"/>
      <c r="BF54" s="136"/>
      <c r="BG54" s="252"/>
      <c r="BH54" s="252"/>
      <c r="BI54" s="252"/>
      <c r="BJ54" s="226"/>
      <c r="BK54" s="226"/>
      <c r="BL54" s="226"/>
      <c r="BM54" s="226"/>
      <c r="BN54" s="233"/>
      <c r="BO54" s="233"/>
      <c r="BP54" s="233"/>
      <c r="BQ54" s="233"/>
      <c r="BR54" s="26">
        <f t="shared" si="66"/>
        <v>0</v>
      </c>
      <c r="BS54" s="43">
        <f t="shared" si="67"/>
        <v>0</v>
      </c>
      <c r="BT54" s="43">
        <f t="shared" si="68"/>
        <v>0</v>
      </c>
      <c r="BU54" s="43">
        <f t="shared" si="69"/>
        <v>0</v>
      </c>
      <c r="BV54" s="43">
        <f t="shared" si="70"/>
        <v>0</v>
      </c>
      <c r="BW54" s="43">
        <f t="shared" si="71"/>
        <v>0</v>
      </c>
      <c r="BX54" s="43">
        <f t="shared" si="72"/>
        <v>0</v>
      </c>
      <c r="BY54" s="43">
        <f t="shared" si="73"/>
        <v>0</v>
      </c>
      <c r="BZ54" s="43">
        <f t="shared" si="74"/>
        <v>0</v>
      </c>
      <c r="CA54" s="43">
        <f t="shared" si="75"/>
        <v>0</v>
      </c>
      <c r="CB54" s="43">
        <f t="shared" si="76"/>
        <v>0</v>
      </c>
      <c r="CC54" s="43">
        <f t="shared" si="77"/>
        <v>0</v>
      </c>
      <c r="CD54" s="43">
        <f t="shared" si="78"/>
        <v>0</v>
      </c>
      <c r="CE54" s="43">
        <f t="shared" si="79"/>
        <v>0.25</v>
      </c>
      <c r="CF54" s="43">
        <f t="shared" si="80"/>
        <v>0.5</v>
      </c>
      <c r="CG54" s="43">
        <f t="shared" si="81"/>
        <v>0</v>
      </c>
      <c r="CH54" s="43">
        <f t="shared" si="82"/>
        <v>0.75</v>
      </c>
      <c r="CI54" s="43">
        <f t="shared" si="83"/>
        <v>1</v>
      </c>
      <c r="CJ54" s="239">
        <f t="shared" si="84"/>
        <v>0</v>
      </c>
      <c r="CK54" s="239">
        <f t="shared" si="85"/>
        <v>0</v>
      </c>
      <c r="CL54" s="239">
        <f t="shared" si="86"/>
        <v>0</v>
      </c>
    </row>
    <row r="55" spans="1:90" ht="12.75" customHeight="1" x14ac:dyDescent="0.25">
      <c r="A55" s="479"/>
      <c r="B55" s="28" t="s">
        <v>12</v>
      </c>
      <c r="C55" s="7">
        <v>5</v>
      </c>
      <c r="D55" s="37">
        <v>0</v>
      </c>
      <c r="E55" s="151"/>
      <c r="F55" s="152">
        <v>0</v>
      </c>
      <c r="G55" s="87">
        <v>0</v>
      </c>
      <c r="H55" s="88"/>
      <c r="I55" s="127"/>
      <c r="J55" s="88"/>
      <c r="K55" s="89">
        <v>0</v>
      </c>
      <c r="L55" s="90"/>
      <c r="M55" s="153"/>
      <c r="N55" s="91"/>
      <c r="O55" s="95">
        <v>0</v>
      </c>
      <c r="P55" s="93"/>
      <c r="Q55" s="94"/>
      <c r="R55" s="93"/>
      <c r="S55" s="154">
        <v>0</v>
      </c>
      <c r="T55" s="183"/>
      <c r="U55" s="154"/>
      <c r="V55" s="155"/>
      <c r="W55" s="58">
        <v>0</v>
      </c>
      <c r="X55" s="58">
        <v>0</v>
      </c>
      <c r="Y55" s="58"/>
      <c r="Z55" s="59"/>
      <c r="AA55" s="76">
        <v>0</v>
      </c>
      <c r="AB55" s="156">
        <v>0</v>
      </c>
      <c r="AC55" s="157"/>
      <c r="AD55" s="61"/>
      <c r="AE55" s="63">
        <v>0</v>
      </c>
      <c r="AF55" s="63">
        <v>0</v>
      </c>
      <c r="AG55" s="158"/>
      <c r="AH55" s="62"/>
      <c r="AI55" s="154">
        <v>0</v>
      </c>
      <c r="AJ55" s="154">
        <v>0</v>
      </c>
      <c r="AK55" s="154"/>
      <c r="AL55" s="155"/>
      <c r="AM55" s="49">
        <v>0</v>
      </c>
      <c r="AN55" s="49">
        <v>0</v>
      </c>
      <c r="AO55" s="49"/>
      <c r="AP55" s="184"/>
      <c r="AQ55" s="159">
        <v>0</v>
      </c>
      <c r="AR55" s="198">
        <v>0</v>
      </c>
      <c r="AS55" s="198"/>
      <c r="AT55" s="198"/>
      <c r="AU55" s="210">
        <v>0</v>
      </c>
      <c r="AV55" s="210">
        <v>0</v>
      </c>
      <c r="AW55" s="210"/>
      <c r="AX55" s="210"/>
      <c r="AY55" s="129">
        <v>0</v>
      </c>
      <c r="AZ55" s="129">
        <v>0</v>
      </c>
      <c r="BA55" s="129"/>
      <c r="BB55" s="129"/>
      <c r="BC55" s="146"/>
      <c r="BD55" s="136"/>
      <c r="BE55" s="136"/>
      <c r="BF55" s="136"/>
      <c r="BG55" s="252"/>
      <c r="BH55" s="252"/>
      <c r="BI55" s="252"/>
      <c r="BJ55" s="226"/>
      <c r="BK55" s="226"/>
      <c r="BL55" s="226"/>
      <c r="BM55" s="226"/>
      <c r="BN55" s="233"/>
      <c r="BO55" s="233"/>
      <c r="BP55" s="233"/>
      <c r="BQ55" s="233"/>
      <c r="BR55" s="26">
        <f t="shared" si="66"/>
        <v>0</v>
      </c>
      <c r="BS55" s="43">
        <f t="shared" si="67"/>
        <v>0</v>
      </c>
      <c r="BT55" s="43">
        <f t="shared" si="68"/>
        <v>0</v>
      </c>
      <c r="BU55" s="43">
        <f t="shared" si="69"/>
        <v>0</v>
      </c>
      <c r="BV55" s="43">
        <f t="shared" si="70"/>
        <v>0</v>
      </c>
      <c r="BW55" s="43">
        <f t="shared" si="71"/>
        <v>0</v>
      </c>
      <c r="BX55" s="43">
        <f t="shared" si="72"/>
        <v>0</v>
      </c>
      <c r="BY55" s="43">
        <f t="shared" si="73"/>
        <v>0</v>
      </c>
      <c r="BZ55" s="43">
        <f t="shared" si="74"/>
        <v>0</v>
      </c>
      <c r="CA55" s="43">
        <f t="shared" si="75"/>
        <v>0</v>
      </c>
      <c r="CB55" s="43">
        <f t="shared" si="76"/>
        <v>0</v>
      </c>
      <c r="CC55" s="43">
        <f t="shared" si="77"/>
        <v>0</v>
      </c>
      <c r="CD55" s="43">
        <f t="shared" si="78"/>
        <v>0.19999999999999996</v>
      </c>
      <c r="CE55" s="43">
        <f t="shared" si="79"/>
        <v>0.4</v>
      </c>
      <c r="CF55" s="43">
        <f t="shared" si="80"/>
        <v>0.6</v>
      </c>
      <c r="CG55" s="43">
        <f t="shared" si="81"/>
        <v>0</v>
      </c>
      <c r="CH55" s="43">
        <f t="shared" si="82"/>
        <v>0.8</v>
      </c>
      <c r="CI55" s="43">
        <f t="shared" si="83"/>
        <v>1</v>
      </c>
      <c r="CJ55" s="239">
        <f t="shared" si="84"/>
        <v>0</v>
      </c>
      <c r="CK55" s="239">
        <f t="shared" si="85"/>
        <v>0</v>
      </c>
      <c r="CL55" s="239">
        <f t="shared" si="86"/>
        <v>0</v>
      </c>
    </row>
    <row r="56" spans="1:90" ht="12.75" customHeight="1" x14ac:dyDescent="0.25">
      <c r="A56" s="479"/>
      <c r="B56" s="28" t="s">
        <v>13</v>
      </c>
      <c r="C56" s="7">
        <v>8</v>
      </c>
      <c r="D56" s="37">
        <v>0</v>
      </c>
      <c r="E56" s="151"/>
      <c r="F56" s="152">
        <v>0</v>
      </c>
      <c r="G56" s="87">
        <v>0</v>
      </c>
      <c r="H56" s="88"/>
      <c r="I56" s="127"/>
      <c r="J56" s="88"/>
      <c r="K56" s="89">
        <v>0</v>
      </c>
      <c r="L56" s="90"/>
      <c r="M56" s="153"/>
      <c r="N56" s="91"/>
      <c r="O56" s="95">
        <v>0</v>
      </c>
      <c r="P56" s="93"/>
      <c r="Q56" s="94"/>
      <c r="R56" s="93"/>
      <c r="S56" s="154">
        <v>0</v>
      </c>
      <c r="T56" s="183"/>
      <c r="U56" s="154"/>
      <c r="V56" s="155"/>
      <c r="W56" s="58">
        <v>0</v>
      </c>
      <c r="X56" s="58">
        <v>0</v>
      </c>
      <c r="Y56" s="58"/>
      <c r="Z56" s="59"/>
      <c r="AA56" s="76">
        <v>0</v>
      </c>
      <c r="AB56" s="156">
        <v>0</v>
      </c>
      <c r="AC56" s="157"/>
      <c r="AD56" s="61"/>
      <c r="AE56" s="63">
        <v>0</v>
      </c>
      <c r="AF56" s="63">
        <v>0</v>
      </c>
      <c r="AG56" s="158"/>
      <c r="AH56" s="62"/>
      <c r="AI56" s="154">
        <v>0</v>
      </c>
      <c r="AJ56" s="154">
        <v>0</v>
      </c>
      <c r="AK56" s="154"/>
      <c r="AL56" s="155"/>
      <c r="AM56" s="49">
        <v>0</v>
      </c>
      <c r="AN56" s="49">
        <v>0</v>
      </c>
      <c r="AO56" s="49"/>
      <c r="AP56" s="184"/>
      <c r="AQ56" s="159">
        <v>0</v>
      </c>
      <c r="AR56" s="198">
        <v>0</v>
      </c>
      <c r="AS56" s="198"/>
      <c r="AT56" s="198"/>
      <c r="AU56" s="210">
        <v>0</v>
      </c>
      <c r="AV56" s="210">
        <v>0</v>
      </c>
      <c r="AW56" s="210"/>
      <c r="AX56" s="210"/>
      <c r="AY56" s="129">
        <v>0</v>
      </c>
      <c r="AZ56" s="129">
        <v>0</v>
      </c>
      <c r="BA56" s="129"/>
      <c r="BB56" s="129"/>
      <c r="BC56" s="146"/>
      <c r="BD56" s="136"/>
      <c r="BE56" s="136"/>
      <c r="BF56" s="136"/>
      <c r="BG56" s="252"/>
      <c r="BH56" s="252"/>
      <c r="BI56" s="252"/>
      <c r="BJ56" s="226"/>
      <c r="BK56" s="226"/>
      <c r="BL56" s="226"/>
      <c r="BM56" s="226"/>
      <c r="BN56" s="233"/>
      <c r="BO56" s="233"/>
      <c r="BP56" s="233"/>
      <c r="BQ56" s="233"/>
      <c r="BR56" s="26">
        <f t="shared" si="66"/>
        <v>0</v>
      </c>
      <c r="BS56" s="43">
        <f t="shared" si="67"/>
        <v>0</v>
      </c>
      <c r="BT56" s="43">
        <f t="shared" si="68"/>
        <v>0</v>
      </c>
      <c r="BU56" s="43">
        <f t="shared" si="69"/>
        <v>0</v>
      </c>
      <c r="BV56" s="43">
        <f t="shared" si="70"/>
        <v>0</v>
      </c>
      <c r="BW56" s="43">
        <f t="shared" si="71"/>
        <v>0</v>
      </c>
      <c r="BX56" s="43">
        <f t="shared" si="72"/>
        <v>0</v>
      </c>
      <c r="BY56" s="43">
        <f t="shared" si="73"/>
        <v>0</v>
      </c>
      <c r="BZ56" s="43">
        <f t="shared" si="74"/>
        <v>0</v>
      </c>
      <c r="CA56" s="43">
        <f t="shared" si="75"/>
        <v>0.125</v>
      </c>
      <c r="CB56" s="43">
        <f t="shared" si="76"/>
        <v>0.25</v>
      </c>
      <c r="CC56" s="43">
        <f t="shared" si="77"/>
        <v>0.375</v>
      </c>
      <c r="CD56" s="43">
        <f t="shared" si="78"/>
        <v>0.5</v>
      </c>
      <c r="CE56" s="43">
        <f t="shared" si="79"/>
        <v>0.625</v>
      </c>
      <c r="CF56" s="43">
        <f t="shared" si="80"/>
        <v>0.75</v>
      </c>
      <c r="CG56" s="43">
        <f t="shared" si="81"/>
        <v>0</v>
      </c>
      <c r="CH56" s="43">
        <f t="shared" si="82"/>
        <v>0.875</v>
      </c>
      <c r="CI56" s="43">
        <f t="shared" si="83"/>
        <v>1</v>
      </c>
      <c r="CJ56" s="239">
        <f t="shared" si="84"/>
        <v>0</v>
      </c>
      <c r="CK56" s="239">
        <f t="shared" si="85"/>
        <v>0</v>
      </c>
      <c r="CL56" s="239">
        <f t="shared" si="86"/>
        <v>0</v>
      </c>
    </row>
    <row r="57" spans="1:90" ht="12.75" customHeight="1" thickBot="1" x14ac:dyDescent="0.3">
      <c r="A57" s="479"/>
      <c r="B57" s="29" t="s">
        <v>41</v>
      </c>
      <c r="C57" s="11">
        <v>17</v>
      </c>
      <c r="D57" s="41">
        <v>0</v>
      </c>
      <c r="E57" s="151"/>
      <c r="F57" s="162">
        <v>0</v>
      </c>
      <c r="G57" s="87">
        <v>0</v>
      </c>
      <c r="H57" s="96"/>
      <c r="I57" s="127"/>
      <c r="J57" s="96"/>
      <c r="K57" s="89">
        <v>0</v>
      </c>
      <c r="L57" s="97"/>
      <c r="M57" s="153"/>
      <c r="N57" s="98"/>
      <c r="O57" s="92">
        <v>0</v>
      </c>
      <c r="P57" s="99"/>
      <c r="Q57" s="94"/>
      <c r="R57" s="99"/>
      <c r="S57" s="173">
        <v>0</v>
      </c>
      <c r="T57" s="185"/>
      <c r="U57" s="154"/>
      <c r="V57" s="174"/>
      <c r="W57" s="58">
        <v>0</v>
      </c>
      <c r="X57" s="58">
        <v>0</v>
      </c>
      <c r="Y57" s="58"/>
      <c r="Z57" s="64"/>
      <c r="AA57" s="76">
        <v>0</v>
      </c>
      <c r="AB57" s="156">
        <v>0</v>
      </c>
      <c r="AC57" s="157"/>
      <c r="AD57" s="65"/>
      <c r="AE57" s="63">
        <v>0</v>
      </c>
      <c r="AF57" s="63">
        <v>0</v>
      </c>
      <c r="AG57" s="158"/>
      <c r="AH57" s="66"/>
      <c r="AI57" s="173">
        <v>0</v>
      </c>
      <c r="AJ57" s="154">
        <v>0</v>
      </c>
      <c r="AK57" s="154"/>
      <c r="AL57" s="174"/>
      <c r="AM57" s="49">
        <v>0</v>
      </c>
      <c r="AN57" s="49">
        <v>0</v>
      </c>
      <c r="AO57" s="49"/>
      <c r="AP57" s="186"/>
      <c r="AQ57" s="159">
        <v>0</v>
      </c>
      <c r="AR57" s="199">
        <v>0</v>
      </c>
      <c r="AS57" s="199"/>
      <c r="AT57" s="199"/>
      <c r="AU57" s="211">
        <v>0</v>
      </c>
      <c r="AV57" s="211">
        <v>0</v>
      </c>
      <c r="AW57" s="211"/>
      <c r="AX57" s="211"/>
      <c r="AY57" s="130">
        <v>0</v>
      </c>
      <c r="AZ57" s="130">
        <v>0</v>
      </c>
      <c r="BA57" s="130"/>
      <c r="BB57" s="130"/>
      <c r="BC57" s="146">
        <v>0</v>
      </c>
      <c r="BD57" s="137"/>
      <c r="BE57" s="137"/>
      <c r="BF57" s="137"/>
      <c r="BG57" s="253"/>
      <c r="BH57" s="253"/>
      <c r="BI57" s="253"/>
      <c r="BJ57" s="227">
        <v>0</v>
      </c>
      <c r="BK57" s="227"/>
      <c r="BL57" s="227"/>
      <c r="BM57" s="227"/>
      <c r="BN57" s="234">
        <v>0</v>
      </c>
      <c r="BO57" s="234"/>
      <c r="BP57" s="234"/>
      <c r="BQ57" s="234"/>
      <c r="BR57" s="26">
        <f t="shared" si="66"/>
        <v>0</v>
      </c>
      <c r="BS57" s="44">
        <f t="shared" si="67"/>
        <v>0</v>
      </c>
      <c r="BT57" s="43">
        <f t="shared" si="68"/>
        <v>0.17647058823529416</v>
      </c>
      <c r="BU57" s="43">
        <f t="shared" si="69"/>
        <v>0.23529411764705888</v>
      </c>
      <c r="BV57" s="43">
        <f t="shared" si="70"/>
        <v>0.29411764705882348</v>
      </c>
      <c r="BW57" s="43">
        <f t="shared" si="71"/>
        <v>0.3529411764705882</v>
      </c>
      <c r="BX57" s="43">
        <f t="shared" si="72"/>
        <v>0.41176470588235292</v>
      </c>
      <c r="BY57" s="43">
        <f t="shared" si="73"/>
        <v>0.47058823529411764</v>
      </c>
      <c r="BZ57" s="43">
        <f t="shared" si="74"/>
        <v>0.52941176470588236</v>
      </c>
      <c r="CA57" s="43">
        <f t="shared" si="75"/>
        <v>0.58823529411764708</v>
      </c>
      <c r="CB57" s="43">
        <f t="shared" si="76"/>
        <v>0.64705882352941169</v>
      </c>
      <c r="CC57" s="43">
        <f t="shared" si="77"/>
        <v>0.70588235294117641</v>
      </c>
      <c r="CD57" s="43">
        <f t="shared" si="78"/>
        <v>0.76470588235294112</v>
      </c>
      <c r="CE57" s="43">
        <f t="shared" si="79"/>
        <v>0.82352941176470584</v>
      </c>
      <c r="CF57" s="43">
        <f t="shared" si="80"/>
        <v>0.88235294117647056</v>
      </c>
      <c r="CG57" s="43">
        <f t="shared" si="81"/>
        <v>0</v>
      </c>
      <c r="CH57" s="43">
        <f t="shared" si="82"/>
        <v>0.94117647058823528</v>
      </c>
      <c r="CI57" s="43">
        <f t="shared" si="83"/>
        <v>1</v>
      </c>
      <c r="CJ57" s="239">
        <f t="shared" si="84"/>
        <v>0</v>
      </c>
      <c r="CK57" s="239">
        <f t="shared" si="85"/>
        <v>0</v>
      </c>
      <c r="CL57" s="239">
        <f t="shared" si="86"/>
        <v>0</v>
      </c>
    </row>
    <row r="58" spans="1:90" s="1" customFormat="1" ht="12.75" customHeight="1" thickBot="1" x14ac:dyDescent="0.35">
      <c r="A58" s="481"/>
      <c r="B58" s="30" t="s">
        <v>42</v>
      </c>
      <c r="C58" s="31"/>
      <c r="D58" s="38">
        <v>5660028.2779788757</v>
      </c>
      <c r="E58" s="38"/>
      <c r="F58" s="38">
        <v>4092084.3124159449</v>
      </c>
      <c r="G58" s="67">
        <v>385845.48</v>
      </c>
      <c r="H58" s="67">
        <v>0</v>
      </c>
      <c r="I58" s="67"/>
      <c r="J58" s="67"/>
      <c r="K58" s="116">
        <v>452747.86</v>
      </c>
      <c r="L58" s="116">
        <v>0</v>
      </c>
      <c r="M58" s="116"/>
      <c r="N58" s="116"/>
      <c r="O58" s="68">
        <v>370817.32</v>
      </c>
      <c r="P58" s="68">
        <v>0</v>
      </c>
      <c r="Q58" s="68"/>
      <c r="R58" s="68"/>
      <c r="S58" s="123">
        <v>396757.73</v>
      </c>
      <c r="T58" s="124">
        <v>0</v>
      </c>
      <c r="U58" s="124"/>
      <c r="V58" s="125"/>
      <c r="W58" s="67">
        <v>291785.66999999993</v>
      </c>
      <c r="X58" s="67">
        <v>0</v>
      </c>
      <c r="Y58" s="67"/>
      <c r="Z58" s="67"/>
      <c r="AA58" s="116">
        <v>471133.24000000005</v>
      </c>
      <c r="AB58" s="116">
        <v>0</v>
      </c>
      <c r="AC58" s="126"/>
      <c r="AD58" s="116"/>
      <c r="AE58" s="68">
        <v>641039</v>
      </c>
      <c r="AF58" s="68">
        <v>0</v>
      </c>
      <c r="AG58" s="68"/>
      <c r="AH58" s="117"/>
      <c r="AI58" s="123">
        <v>528906.63000000012</v>
      </c>
      <c r="AJ58" s="124">
        <v>0</v>
      </c>
      <c r="AK58" s="124"/>
      <c r="AL58" s="125"/>
      <c r="AM58" s="52">
        <v>421950.02999999991</v>
      </c>
      <c r="AN58" s="52">
        <v>0</v>
      </c>
      <c r="AO58" s="52"/>
      <c r="AP58" s="52"/>
      <c r="AQ58" s="208">
        <v>401723.83</v>
      </c>
      <c r="AR58" s="203">
        <v>0</v>
      </c>
      <c r="AS58" s="203"/>
      <c r="AT58" s="203"/>
      <c r="AU58" s="215">
        <v>401723.83</v>
      </c>
      <c r="AV58" s="215">
        <v>0</v>
      </c>
      <c r="AW58" s="215"/>
      <c r="AX58" s="215"/>
      <c r="AY58" s="133">
        <v>555885.05319699994</v>
      </c>
      <c r="AZ58" s="133">
        <v>0</v>
      </c>
      <c r="BA58" s="133"/>
      <c r="BB58" s="133"/>
      <c r="BC58" s="148">
        <f>+SUM(BC48:BC57)</f>
        <v>660890.24999999988</v>
      </c>
      <c r="BD58" s="140"/>
      <c r="BE58" s="140"/>
      <c r="BF58" s="140"/>
      <c r="BG58" s="255">
        <f t="shared" ref="BG58:BO58" si="87">+SUM(BG48:BG57)</f>
        <v>265555</v>
      </c>
      <c r="BH58" s="255">
        <f t="shared" si="87"/>
        <v>265555</v>
      </c>
      <c r="BI58" s="255">
        <f t="shared" si="87"/>
        <v>173348.46</v>
      </c>
      <c r="BJ58" s="229">
        <f t="shared" si="87"/>
        <v>682413</v>
      </c>
      <c r="BK58" s="229">
        <f t="shared" si="87"/>
        <v>0</v>
      </c>
      <c r="BL58" s="229"/>
      <c r="BM58" s="229"/>
      <c r="BN58" s="235">
        <f t="shared" si="87"/>
        <v>805417.89999999991</v>
      </c>
      <c r="BO58" s="235">
        <f t="shared" si="87"/>
        <v>0</v>
      </c>
      <c r="BP58" s="235"/>
      <c r="BQ58" s="235"/>
      <c r="BR58" s="54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240">
        <f>SUM(CJ48:CJ57)</f>
        <v>11927783.872394709</v>
      </c>
      <c r="CK58" s="240">
        <f>SUM(CK48:CK57)</f>
        <v>14383.151123919413</v>
      </c>
      <c r="CL58" s="240">
        <f>SUM(CL48:CL57)</f>
        <v>4908496.4189648787</v>
      </c>
    </row>
    <row r="59" spans="1:90" s="23" customFormat="1" ht="30" customHeight="1" x14ac:dyDescent="0.25">
      <c r="A59" s="2"/>
      <c r="B59" s="21" t="s">
        <v>43</v>
      </c>
      <c r="C59" s="22"/>
      <c r="D59" s="32">
        <v>80363913.342109516</v>
      </c>
      <c r="E59" s="32"/>
      <c r="F59" s="32">
        <v>45909466.481640987</v>
      </c>
      <c r="G59" s="25">
        <v>2297920.7887920002</v>
      </c>
      <c r="H59" s="25">
        <v>0</v>
      </c>
      <c r="I59" s="25"/>
      <c r="J59" s="25"/>
      <c r="K59" s="33">
        <v>3705380.7350740549</v>
      </c>
      <c r="L59" s="33">
        <v>315949</v>
      </c>
      <c r="M59" s="33"/>
      <c r="N59" s="33"/>
      <c r="O59" s="34">
        <v>3354159.6110609998</v>
      </c>
      <c r="P59" s="34">
        <v>0</v>
      </c>
      <c r="Q59" s="34"/>
      <c r="R59" s="34"/>
      <c r="S59" s="196">
        <v>3518386.36</v>
      </c>
      <c r="T59" s="196">
        <v>0</v>
      </c>
      <c r="U59" s="196"/>
      <c r="V59" s="196"/>
      <c r="W59" s="25">
        <v>3815993.5700000003</v>
      </c>
      <c r="X59" s="25">
        <v>0</v>
      </c>
      <c r="Y59" s="25"/>
      <c r="Z59" s="25"/>
      <c r="AA59" s="33">
        <v>5590315.4300000006</v>
      </c>
      <c r="AB59" s="33">
        <v>556386.07000000007</v>
      </c>
      <c r="AC59" s="33"/>
      <c r="AD59" s="33"/>
      <c r="AE59" s="36">
        <v>6630069.3099999996</v>
      </c>
      <c r="AF59" s="34">
        <v>0</v>
      </c>
      <c r="AG59" s="34"/>
      <c r="AH59" s="34"/>
      <c r="AI59" s="196">
        <v>8798937.4638769962</v>
      </c>
      <c r="AJ59" s="196">
        <v>0</v>
      </c>
      <c r="AK59" s="196"/>
      <c r="AL59" s="196"/>
      <c r="AM59" s="197">
        <v>6243081.9319999982</v>
      </c>
      <c r="AN59" s="197">
        <v>0</v>
      </c>
      <c r="AO59" s="194"/>
      <c r="AP59" s="197"/>
      <c r="AQ59" s="209">
        <v>7546107.3088913755</v>
      </c>
      <c r="AR59" s="205">
        <v>0</v>
      </c>
      <c r="AS59" s="205"/>
      <c r="AT59" s="205"/>
      <c r="AU59" s="217">
        <v>5992528.1899999967</v>
      </c>
      <c r="AV59" s="217">
        <v>0</v>
      </c>
      <c r="AW59" s="217"/>
      <c r="AX59" s="217"/>
      <c r="AY59" s="135">
        <v>9964863.5911969952</v>
      </c>
      <c r="AZ59" s="135">
        <v>0</v>
      </c>
      <c r="BA59" s="135"/>
      <c r="BB59" s="135"/>
      <c r="BC59" s="150">
        <f>+BC58+BC47+BC45+BC13</f>
        <v>11143773.309999999</v>
      </c>
      <c r="BD59" s="142"/>
      <c r="BE59" s="142"/>
      <c r="BF59" s="142"/>
      <c r="BG59" s="258">
        <f>+BG58+BG47+BG45+BG13</f>
        <v>8136602.2479580687</v>
      </c>
      <c r="BH59" s="258"/>
      <c r="BI59" s="258">
        <f t="shared" ref="BI59:BO59" si="88">+BI58+BI47+BI45+BI13</f>
        <v>6021259.6799999988</v>
      </c>
      <c r="BJ59" s="232">
        <f t="shared" si="88"/>
        <v>12605720.15</v>
      </c>
      <c r="BK59" s="232">
        <f t="shared" si="88"/>
        <v>0</v>
      </c>
      <c r="BL59" s="232"/>
      <c r="BM59" s="232"/>
      <c r="BN59" s="238">
        <f t="shared" si="88"/>
        <v>25963295.499999996</v>
      </c>
      <c r="BO59" s="238">
        <f t="shared" si="88"/>
        <v>0</v>
      </c>
      <c r="BP59" s="238"/>
      <c r="BQ59" s="238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242">
        <f>CJ13+CJ45+CJ47+CJ58</f>
        <v>185385823.18111986</v>
      </c>
      <c r="CK59" s="242">
        <f>CK13+CK45+CK47+CK58</f>
        <v>17355684.779053807</v>
      </c>
      <c r="CL59" s="242">
        <f>CL13+CL45+CL47+CL58</f>
        <v>85611553.472993672</v>
      </c>
    </row>
    <row r="60" spans="1:90" ht="12.75" customHeight="1" x14ac:dyDescent="0.25">
      <c r="A60" s="482" t="s">
        <v>46</v>
      </c>
      <c r="B60" s="483" t="s">
        <v>6</v>
      </c>
      <c r="C60" s="483"/>
      <c r="D60" s="473">
        <v>1</v>
      </c>
      <c r="E60" s="474"/>
      <c r="F60" s="475"/>
      <c r="G60" s="458">
        <v>0.73425935745407456</v>
      </c>
      <c r="H60" s="459"/>
      <c r="I60" s="459"/>
      <c r="J60" s="460"/>
      <c r="K60" s="461">
        <v>0.7223278986436179</v>
      </c>
      <c r="L60" s="462"/>
      <c r="M60" s="462"/>
      <c r="N60" s="463"/>
      <c r="O60" s="464">
        <v>0.80446415375460911</v>
      </c>
      <c r="P60" s="465"/>
      <c r="Q60" s="465"/>
      <c r="R60" s="466"/>
      <c r="S60" s="467">
        <v>0.6</v>
      </c>
      <c r="T60" s="468"/>
      <c r="U60" s="468"/>
      <c r="V60" s="469"/>
      <c r="W60" s="458">
        <v>0.88619671568982039</v>
      </c>
      <c r="X60" s="459"/>
      <c r="Y60" s="459"/>
      <c r="Z60" s="460"/>
      <c r="AA60" s="458">
        <v>0.83739907628684485</v>
      </c>
      <c r="AB60" s="459"/>
      <c r="AC60" s="459"/>
      <c r="AD60" s="460"/>
      <c r="AE60" s="458">
        <v>0.85489205145403468</v>
      </c>
      <c r="AF60" s="459"/>
      <c r="AG60" s="459"/>
      <c r="AH60" s="460"/>
      <c r="AI60" s="458">
        <v>0.860049343536328</v>
      </c>
      <c r="AJ60" s="459"/>
      <c r="AK60" s="459"/>
      <c r="AL60" s="460"/>
      <c r="AM60" s="470">
        <v>1</v>
      </c>
      <c r="AN60" s="471">
        <v>0</v>
      </c>
      <c r="AO60" s="471">
        <v>0</v>
      </c>
      <c r="AP60" s="472">
        <v>0</v>
      </c>
      <c r="AQ60" s="438">
        <v>0.96450748585106127</v>
      </c>
      <c r="AR60" s="439">
        <v>0</v>
      </c>
      <c r="AS60" s="439">
        <v>0</v>
      </c>
      <c r="AT60" s="440">
        <v>0</v>
      </c>
      <c r="AU60" s="441">
        <v>0</v>
      </c>
      <c r="AV60" s="442">
        <v>0</v>
      </c>
      <c r="AW60" s="442">
        <v>0</v>
      </c>
      <c r="AX60" s="443">
        <v>0</v>
      </c>
      <c r="AY60" s="455">
        <v>1</v>
      </c>
      <c r="AZ60" s="456">
        <v>0</v>
      </c>
      <c r="BA60" s="456">
        <v>0</v>
      </c>
      <c r="BB60" s="457">
        <v>0</v>
      </c>
      <c r="BC60" s="444">
        <v>0.90074035778042882</v>
      </c>
      <c r="BD60" s="445"/>
      <c r="BE60" s="445"/>
      <c r="BF60" s="446"/>
      <c r="BG60" s="259"/>
      <c r="BH60" s="259"/>
      <c r="BI60" s="259"/>
      <c r="BJ60" s="546">
        <v>0.82138749486930474</v>
      </c>
      <c r="BK60" s="547"/>
      <c r="BL60" s="547"/>
      <c r="BM60" s="548"/>
      <c r="BN60" s="549">
        <v>0.89522906288268778</v>
      </c>
      <c r="BO60" s="550"/>
      <c r="BP60" s="550"/>
      <c r="BQ60" s="551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</row>
    <row r="61" spans="1:90" x14ac:dyDescent="0.25">
      <c r="A61" s="482"/>
      <c r="B61" s="483" t="s">
        <v>16</v>
      </c>
      <c r="C61" s="483"/>
      <c r="D61" s="473">
        <v>1</v>
      </c>
      <c r="E61" s="474"/>
      <c r="F61" s="475"/>
      <c r="G61" s="458">
        <v>0.9125435465430991</v>
      </c>
      <c r="H61" s="459"/>
      <c r="I61" s="459"/>
      <c r="J61" s="460"/>
      <c r="K61" s="461">
        <v>0.92116040031093294</v>
      </c>
      <c r="L61" s="462"/>
      <c r="M61" s="462"/>
      <c r="N61" s="463"/>
      <c r="O61" s="464">
        <v>0.84394587985421521</v>
      </c>
      <c r="P61" s="465"/>
      <c r="Q61" s="465"/>
      <c r="R61" s="466"/>
      <c r="S61" s="467">
        <v>0.82853155879468665</v>
      </c>
      <c r="T61" s="468"/>
      <c r="U61" s="468"/>
      <c r="V61" s="469"/>
      <c r="W61" s="458">
        <v>0.8344632030650222</v>
      </c>
      <c r="X61" s="459"/>
      <c r="Y61" s="459"/>
      <c r="Z61" s="460"/>
      <c r="AA61" s="458">
        <v>0.86522075423483169</v>
      </c>
      <c r="AB61" s="459"/>
      <c r="AC61" s="459"/>
      <c r="AD61" s="460"/>
      <c r="AE61" s="458">
        <v>0.84869146746418234</v>
      </c>
      <c r="AF61" s="459"/>
      <c r="AG61" s="459"/>
      <c r="AH61" s="460"/>
      <c r="AI61" s="458">
        <v>0.85053297503209813</v>
      </c>
      <c r="AJ61" s="459"/>
      <c r="AK61" s="459"/>
      <c r="AL61" s="460"/>
      <c r="AM61" s="470">
        <v>0.70549685882258439</v>
      </c>
      <c r="AN61" s="471">
        <v>0</v>
      </c>
      <c r="AO61" s="471">
        <v>0</v>
      </c>
      <c r="AP61" s="472">
        <v>0</v>
      </c>
      <c r="AQ61" s="438">
        <v>0.81213323157668005</v>
      </c>
      <c r="AR61" s="439">
        <v>0</v>
      </c>
      <c r="AS61" s="439">
        <v>0</v>
      </c>
      <c r="AT61" s="440">
        <v>0</v>
      </c>
      <c r="AU61" s="441">
        <v>0.81704104295630753</v>
      </c>
      <c r="AV61" s="442">
        <v>0</v>
      </c>
      <c r="AW61" s="442">
        <v>0</v>
      </c>
      <c r="AX61" s="443">
        <v>0</v>
      </c>
      <c r="AY61" s="455">
        <v>0.57641338517467222</v>
      </c>
      <c r="AZ61" s="456">
        <v>0</v>
      </c>
      <c r="BA61" s="456">
        <v>0</v>
      </c>
      <c r="BB61" s="457">
        <v>0</v>
      </c>
      <c r="BC61" s="444">
        <v>0.82689288467073041</v>
      </c>
      <c r="BD61" s="445"/>
      <c r="BE61" s="445"/>
      <c r="BF61" s="446"/>
      <c r="BG61" s="259"/>
      <c r="BH61" s="259"/>
      <c r="BI61" s="259"/>
      <c r="BJ61" s="546">
        <v>0.82678611162921223</v>
      </c>
      <c r="BK61" s="547"/>
      <c r="BL61" s="547"/>
      <c r="BM61" s="548"/>
      <c r="BN61" s="549">
        <v>0.87441558026888644</v>
      </c>
      <c r="BO61" s="550"/>
      <c r="BP61" s="550"/>
      <c r="BQ61" s="551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</row>
    <row r="62" spans="1:90" x14ac:dyDescent="0.25">
      <c r="A62" s="482"/>
      <c r="B62" s="483" t="s">
        <v>35</v>
      </c>
      <c r="C62" s="483"/>
      <c r="D62" s="473">
        <v>1</v>
      </c>
      <c r="E62" s="474"/>
      <c r="F62" s="475"/>
      <c r="G62" s="458">
        <v>1</v>
      </c>
      <c r="H62" s="459"/>
      <c r="I62" s="459"/>
      <c r="J62" s="460"/>
      <c r="K62" s="461">
        <v>1</v>
      </c>
      <c r="L62" s="462"/>
      <c r="M62" s="462"/>
      <c r="N62" s="463"/>
      <c r="O62" s="464">
        <v>1</v>
      </c>
      <c r="P62" s="465"/>
      <c r="Q62" s="465"/>
      <c r="R62" s="466"/>
      <c r="S62" s="467">
        <v>1</v>
      </c>
      <c r="T62" s="468"/>
      <c r="U62" s="468"/>
      <c r="V62" s="469"/>
      <c r="W62" s="458">
        <v>0.92</v>
      </c>
      <c r="X62" s="459"/>
      <c r="Y62" s="459"/>
      <c r="Z62" s="460"/>
      <c r="AA62" s="458">
        <v>0.92000000000000015</v>
      </c>
      <c r="AB62" s="459"/>
      <c r="AC62" s="459"/>
      <c r="AD62" s="460"/>
      <c r="AE62" s="458">
        <v>0.91999999999999993</v>
      </c>
      <c r="AF62" s="459"/>
      <c r="AG62" s="459"/>
      <c r="AH62" s="460"/>
      <c r="AI62" s="458">
        <v>0.92</v>
      </c>
      <c r="AJ62" s="459"/>
      <c r="AK62" s="459"/>
      <c r="AL62" s="460"/>
      <c r="AM62" s="470">
        <v>1</v>
      </c>
      <c r="AN62" s="471">
        <v>0</v>
      </c>
      <c r="AO62" s="471">
        <v>0</v>
      </c>
      <c r="AP62" s="472">
        <v>0</v>
      </c>
      <c r="AQ62" s="438">
        <v>1</v>
      </c>
      <c r="AR62" s="439">
        <v>0</v>
      </c>
      <c r="AS62" s="439">
        <v>0</v>
      </c>
      <c r="AT62" s="440">
        <v>0</v>
      </c>
      <c r="AU62" s="441">
        <v>1</v>
      </c>
      <c r="AV62" s="442">
        <v>0</v>
      </c>
      <c r="AW62" s="442">
        <v>0</v>
      </c>
      <c r="AX62" s="443">
        <v>0</v>
      </c>
      <c r="AY62" s="455">
        <v>1</v>
      </c>
      <c r="AZ62" s="456">
        <v>0</v>
      </c>
      <c r="BA62" s="456">
        <v>0</v>
      </c>
      <c r="BB62" s="457">
        <v>0</v>
      </c>
      <c r="BC62" s="444">
        <v>0.89999999999999991</v>
      </c>
      <c r="BD62" s="445"/>
      <c r="BE62" s="445"/>
      <c r="BF62" s="446"/>
      <c r="BG62" s="259"/>
      <c r="BH62" s="259"/>
      <c r="BI62" s="259"/>
      <c r="BJ62" s="546">
        <v>0.9</v>
      </c>
      <c r="BK62" s="547"/>
      <c r="BL62" s="547"/>
      <c r="BM62" s="548"/>
      <c r="BN62" s="549">
        <v>0.9</v>
      </c>
      <c r="BO62" s="550"/>
      <c r="BP62" s="550"/>
      <c r="BQ62" s="551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</row>
    <row r="63" spans="1:90" x14ac:dyDescent="0.25">
      <c r="A63" s="482"/>
      <c r="B63" s="483" t="s">
        <v>44</v>
      </c>
      <c r="C63" s="483"/>
      <c r="D63" s="473">
        <v>1</v>
      </c>
      <c r="E63" s="474"/>
      <c r="F63" s="475"/>
      <c r="G63" s="458">
        <v>0.97071835077606705</v>
      </c>
      <c r="H63" s="459"/>
      <c r="I63" s="459"/>
      <c r="J63" s="460"/>
      <c r="K63" s="461">
        <v>0.94188477445260588</v>
      </c>
      <c r="L63" s="462"/>
      <c r="M63" s="462"/>
      <c r="N63" s="463"/>
      <c r="O63" s="464">
        <v>0.94459016099895221</v>
      </c>
      <c r="P63" s="465"/>
      <c r="Q63" s="465"/>
      <c r="R63" s="466"/>
      <c r="S63" s="467">
        <v>0.6</v>
      </c>
      <c r="T63" s="468"/>
      <c r="U63" s="468"/>
      <c r="V63" s="469"/>
      <c r="W63" s="458">
        <v>0.7</v>
      </c>
      <c r="X63" s="459"/>
      <c r="Y63" s="459"/>
      <c r="Z63" s="460"/>
      <c r="AA63" s="458">
        <v>0.70569406650229127</v>
      </c>
      <c r="AB63" s="459"/>
      <c r="AC63" s="459"/>
      <c r="AD63" s="460"/>
      <c r="AE63" s="458">
        <v>0.7</v>
      </c>
      <c r="AF63" s="459"/>
      <c r="AG63" s="459"/>
      <c r="AH63" s="460"/>
      <c r="AI63" s="458">
        <v>0.69999999999999984</v>
      </c>
      <c r="AJ63" s="459"/>
      <c r="AK63" s="459"/>
      <c r="AL63" s="460"/>
      <c r="AM63" s="470">
        <v>0.7296268273387243</v>
      </c>
      <c r="AN63" s="471">
        <v>0</v>
      </c>
      <c r="AO63" s="471">
        <v>0</v>
      </c>
      <c r="AP63" s="472">
        <v>0</v>
      </c>
      <c r="AQ63" s="438">
        <v>0.82679737994064006</v>
      </c>
      <c r="AR63" s="439">
        <v>0</v>
      </c>
      <c r="AS63" s="439">
        <v>0</v>
      </c>
      <c r="AT63" s="440">
        <v>0</v>
      </c>
      <c r="AU63" s="441">
        <v>0.84174754147591813</v>
      </c>
      <c r="AV63" s="442">
        <v>0</v>
      </c>
      <c r="AW63" s="442">
        <v>0</v>
      </c>
      <c r="AX63" s="443">
        <v>0</v>
      </c>
      <c r="AY63" s="455">
        <v>0.62097122171328334</v>
      </c>
      <c r="AZ63" s="456">
        <v>0</v>
      </c>
      <c r="BA63" s="456">
        <v>0</v>
      </c>
      <c r="BB63" s="457">
        <v>0</v>
      </c>
      <c r="BC63" s="444">
        <v>0.90000000000000013</v>
      </c>
      <c r="BD63" s="445"/>
      <c r="BE63" s="445"/>
      <c r="BF63" s="446"/>
      <c r="BG63" s="259"/>
      <c r="BH63" s="259"/>
      <c r="BI63" s="259"/>
      <c r="BJ63" s="546">
        <v>0.90000000000000013</v>
      </c>
      <c r="BK63" s="547"/>
      <c r="BL63" s="547"/>
      <c r="BM63" s="548"/>
      <c r="BN63" s="549">
        <v>0.90000000000000024</v>
      </c>
      <c r="BO63" s="550"/>
      <c r="BP63" s="550"/>
      <c r="BQ63" s="551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</row>
    <row r="64" spans="1:90" ht="12.75" customHeight="1" x14ac:dyDescent="0.25"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225"/>
      <c r="BN64" s="225"/>
      <c r="BO64" s="225"/>
      <c r="BP64" s="225"/>
      <c r="BQ64" s="225"/>
    </row>
    <row r="65" spans="4:69" x14ac:dyDescent="0.25"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</row>
    <row r="66" spans="4:69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5"/>
      <c r="BN66" s="225"/>
      <c r="BO66" s="225"/>
      <c r="BP66" s="225"/>
      <c r="BQ66" s="225"/>
    </row>
    <row r="67" spans="4:69" x14ac:dyDescent="0.25"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5"/>
      <c r="BN67" s="225"/>
      <c r="BO67" s="225"/>
      <c r="BP67" s="225"/>
      <c r="BQ67" s="225"/>
    </row>
    <row r="68" spans="4:69" ht="13.25" customHeight="1" x14ac:dyDescent="0.25"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5"/>
      <c r="BN68" s="225"/>
      <c r="BO68" s="225"/>
      <c r="BP68" s="225"/>
      <c r="BQ68" s="225"/>
    </row>
    <row r="69" spans="4:69" x14ac:dyDescent="0.25"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225"/>
      <c r="BN69" s="225"/>
      <c r="BO69" s="225"/>
      <c r="BP69" s="225"/>
      <c r="BQ69" s="225"/>
    </row>
    <row r="70" spans="4:69" ht="13.25" customHeight="1" x14ac:dyDescent="0.25">
      <c r="BC70" s="225"/>
      <c r="BD70" s="225"/>
      <c r="BE70" s="225"/>
      <c r="BF70" s="225"/>
      <c r="BG70" s="225"/>
      <c r="BH70" s="225"/>
      <c r="BI70" s="225"/>
      <c r="BJ70" s="225"/>
      <c r="BK70" s="225"/>
      <c r="BL70" s="225"/>
      <c r="BM70" s="225"/>
      <c r="BN70" s="225"/>
      <c r="BO70" s="225"/>
      <c r="BP70" s="225"/>
      <c r="BQ70" s="225"/>
    </row>
    <row r="71" spans="4:69" x14ac:dyDescent="0.25">
      <c r="BC71" s="225"/>
      <c r="BD71" s="225"/>
      <c r="BE71" s="225"/>
      <c r="BF71" s="225"/>
      <c r="BG71" s="225"/>
      <c r="BH71" s="225"/>
      <c r="BI71" s="225"/>
      <c r="BJ71" s="225"/>
      <c r="BK71" s="225"/>
      <c r="BL71" s="225"/>
      <c r="BM71" s="225"/>
      <c r="BN71" s="225"/>
      <c r="BO71" s="225"/>
      <c r="BP71" s="225"/>
      <c r="BQ71" s="225"/>
    </row>
    <row r="72" spans="4:69" x14ac:dyDescent="0.25">
      <c r="BC72" s="225"/>
      <c r="BD72" s="225"/>
      <c r="BE72" s="225"/>
      <c r="BF72" s="225"/>
      <c r="BG72" s="225"/>
      <c r="BH72" s="225"/>
      <c r="BI72" s="225"/>
      <c r="BJ72" s="225"/>
      <c r="BK72" s="225"/>
      <c r="BL72" s="225"/>
      <c r="BM72" s="225"/>
      <c r="BN72" s="225"/>
      <c r="BO72" s="225"/>
      <c r="BP72" s="225"/>
      <c r="BQ72" s="225"/>
    </row>
    <row r="73" spans="4:69" x14ac:dyDescent="0.25">
      <c r="BC73" s="225"/>
      <c r="BD73" s="225"/>
      <c r="BE73" s="225"/>
      <c r="BF73" s="225"/>
      <c r="BG73" s="225"/>
      <c r="BH73" s="225"/>
      <c r="BI73" s="225"/>
      <c r="BJ73" s="225"/>
      <c r="BK73" s="225"/>
      <c r="BL73" s="225"/>
      <c r="BM73" s="225"/>
      <c r="BN73" s="225"/>
      <c r="BO73" s="225"/>
      <c r="BP73" s="225"/>
      <c r="BQ73" s="225"/>
    </row>
    <row r="74" spans="4:69" x14ac:dyDescent="0.25">
      <c r="AU74" s="220"/>
      <c r="AV74" s="220"/>
      <c r="AW74" s="221"/>
      <c r="AX74" s="221"/>
      <c r="AY74" s="221"/>
      <c r="AZ74" s="221"/>
      <c r="BA74" s="221"/>
      <c r="BB74" s="221"/>
      <c r="BC74" s="225"/>
      <c r="BD74" s="225"/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</row>
    <row r="75" spans="4:69" x14ac:dyDescent="0.25">
      <c r="AU75" s="221"/>
      <c r="AV75" s="221"/>
      <c r="AW75" s="221"/>
      <c r="AX75" s="221"/>
      <c r="AY75" s="221"/>
      <c r="AZ75" s="221"/>
      <c r="BA75" s="221"/>
      <c r="BB75" s="221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</row>
    <row r="76" spans="4:69" x14ac:dyDescent="0.25">
      <c r="BC76" s="225"/>
      <c r="BD76" s="225"/>
      <c r="BE76" s="225"/>
      <c r="BF76" s="225"/>
      <c r="BG76" s="225"/>
      <c r="BH76" s="225"/>
      <c r="BI76" s="225"/>
      <c r="BJ76" s="225"/>
      <c r="BK76" s="225"/>
      <c r="BL76" s="225"/>
      <c r="BM76" s="225"/>
      <c r="BN76" s="225"/>
      <c r="BO76" s="225"/>
      <c r="BP76" s="225"/>
      <c r="BQ76" s="225"/>
    </row>
    <row r="77" spans="4:69" x14ac:dyDescent="0.25">
      <c r="BC77" s="225"/>
      <c r="BD77" s="225"/>
      <c r="BE77" s="225"/>
      <c r="BF77" s="225"/>
      <c r="BG77" s="225"/>
      <c r="BH77" s="225"/>
      <c r="BI77" s="225"/>
      <c r="BJ77" s="225"/>
      <c r="BK77" s="225"/>
      <c r="BL77" s="225"/>
      <c r="BM77" s="225"/>
      <c r="BN77" s="225"/>
      <c r="BO77" s="225"/>
      <c r="BP77" s="225"/>
      <c r="BQ77" s="225"/>
    </row>
    <row r="78" spans="4:69" x14ac:dyDescent="0.25">
      <c r="BC78" s="225"/>
      <c r="BD78" s="225"/>
      <c r="BE78" s="225"/>
      <c r="BF78" s="225"/>
      <c r="BG78" s="225"/>
      <c r="BH78" s="225"/>
      <c r="BI78" s="225"/>
      <c r="BJ78" s="225"/>
      <c r="BK78" s="225"/>
      <c r="BL78" s="225"/>
      <c r="BM78" s="225"/>
      <c r="BN78" s="225"/>
      <c r="BO78" s="225"/>
      <c r="BP78" s="225"/>
      <c r="BQ78" s="225"/>
    </row>
    <row r="79" spans="4:69" x14ac:dyDescent="0.25">
      <c r="BC79" s="225"/>
      <c r="BD79" s="225"/>
      <c r="BE79" s="225"/>
      <c r="BF79" s="225"/>
      <c r="BG79" s="225"/>
      <c r="BH79" s="225"/>
      <c r="BI79" s="225"/>
      <c r="BJ79" s="225"/>
      <c r="BK79" s="225"/>
      <c r="BL79" s="225"/>
      <c r="BM79" s="225"/>
      <c r="BN79" s="225"/>
      <c r="BO79" s="225"/>
      <c r="BP79" s="225"/>
      <c r="BQ79" s="225"/>
    </row>
    <row r="80" spans="4:69" x14ac:dyDescent="0.25">
      <c r="BC80" s="225"/>
      <c r="BD80" s="225"/>
      <c r="BE80" s="225"/>
      <c r="BF80" s="225"/>
      <c r="BG80" s="225"/>
      <c r="BH80" s="225"/>
      <c r="BI80" s="225"/>
      <c r="BJ80" s="225"/>
      <c r="BK80" s="225"/>
      <c r="BL80" s="225"/>
      <c r="BM80" s="225"/>
      <c r="BN80" s="225"/>
      <c r="BO80" s="225"/>
      <c r="BP80" s="225"/>
      <c r="BQ80" s="225"/>
    </row>
    <row r="81" spans="41:69" ht="13.25" customHeight="1" x14ac:dyDescent="0.25">
      <c r="AO81"/>
      <c r="AS81"/>
      <c r="BC81" s="225"/>
      <c r="BD81" s="225"/>
      <c r="BE81" s="225"/>
      <c r="BF81" s="225"/>
      <c r="BG81" s="225"/>
      <c r="BH81" s="225"/>
      <c r="BI81" s="225"/>
      <c r="BJ81" s="225"/>
      <c r="BK81" s="225"/>
      <c r="BL81" s="225"/>
      <c r="BM81" s="225"/>
      <c r="BN81" s="225"/>
      <c r="BO81" s="225"/>
      <c r="BP81" s="225"/>
      <c r="BQ81" s="225"/>
    </row>
    <row r="82" spans="41:69" x14ac:dyDescent="0.25">
      <c r="AO82"/>
      <c r="AS82"/>
      <c r="BC82" s="225"/>
      <c r="BD82" s="225"/>
      <c r="BE82" s="225"/>
      <c r="BF82" s="225"/>
      <c r="BG82" s="225"/>
      <c r="BH82" s="225"/>
      <c r="BI82" s="225"/>
      <c r="BJ82" s="225"/>
      <c r="BK82" s="225"/>
      <c r="BL82" s="225"/>
      <c r="BM82" s="225"/>
      <c r="BN82" s="225"/>
      <c r="BO82" s="225"/>
      <c r="BP82" s="225"/>
      <c r="BQ82" s="225"/>
    </row>
    <row r="83" spans="41:69" x14ac:dyDescent="0.25">
      <c r="AO83"/>
      <c r="AS83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225"/>
      <c r="BN83" s="225"/>
      <c r="BO83" s="225"/>
      <c r="BP83" s="225"/>
      <c r="BQ83" s="225"/>
    </row>
    <row r="84" spans="41:69" x14ac:dyDescent="0.25">
      <c r="AO84"/>
      <c r="AS84"/>
      <c r="BC84" s="225"/>
      <c r="BD84" s="225"/>
      <c r="BE84" s="225"/>
      <c r="BF84" s="225"/>
      <c r="BG84" s="225"/>
      <c r="BH84" s="225"/>
      <c r="BI84" s="225"/>
      <c r="BJ84" s="225"/>
      <c r="BK84" s="225"/>
      <c r="BL84" s="225"/>
      <c r="BM84" s="225"/>
      <c r="BN84" s="225"/>
      <c r="BO84" s="225"/>
      <c r="BP84" s="225"/>
      <c r="BQ84" s="225"/>
    </row>
    <row r="85" spans="41:69" x14ac:dyDescent="0.25">
      <c r="AO85"/>
      <c r="AS8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5"/>
      <c r="BN85" s="225"/>
      <c r="BO85" s="225"/>
      <c r="BP85" s="225"/>
      <c r="BQ85" s="225"/>
    </row>
    <row r="86" spans="41:69" x14ac:dyDescent="0.25">
      <c r="AO86"/>
      <c r="AS86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5"/>
      <c r="BN86" s="225"/>
      <c r="BO86" s="225"/>
      <c r="BP86" s="225"/>
      <c r="BQ86" s="225"/>
    </row>
    <row r="87" spans="41:69" x14ac:dyDescent="0.25">
      <c r="AO87"/>
      <c r="AS87"/>
      <c r="BC87" s="225"/>
      <c r="BD87" s="225"/>
      <c r="BE87" s="225"/>
      <c r="BF87" s="225"/>
      <c r="BG87" s="225"/>
      <c r="BH87" s="225"/>
      <c r="BI87" s="225"/>
      <c r="BJ87" s="225"/>
      <c r="BK87" s="225"/>
      <c r="BL87" s="225"/>
      <c r="BM87" s="225"/>
      <c r="BN87" s="225"/>
      <c r="BO87" s="225"/>
      <c r="BP87" s="225"/>
      <c r="BQ87" s="225"/>
    </row>
    <row r="88" spans="41:69" x14ac:dyDescent="0.25">
      <c r="AO88"/>
      <c r="AS88"/>
      <c r="BC88" s="225"/>
      <c r="BD88" s="225"/>
      <c r="BE88" s="225"/>
      <c r="BF88" s="225"/>
      <c r="BG88" s="225"/>
      <c r="BH88" s="225"/>
      <c r="BI88" s="225"/>
      <c r="BJ88" s="225"/>
      <c r="BK88" s="225"/>
      <c r="BL88" s="225"/>
      <c r="BM88" s="225"/>
      <c r="BN88" s="225"/>
      <c r="BO88" s="225"/>
      <c r="BP88" s="225"/>
      <c r="BQ88" s="225"/>
    </row>
    <row r="89" spans="41:69" x14ac:dyDescent="0.25">
      <c r="AO89"/>
      <c r="AS89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</row>
    <row r="90" spans="41:69" x14ac:dyDescent="0.25">
      <c r="AO90"/>
      <c r="AS90"/>
      <c r="BC90" s="225"/>
      <c r="BD90" s="225"/>
      <c r="BE90" s="225"/>
      <c r="BF90" s="225"/>
      <c r="BG90" s="225"/>
      <c r="BH90" s="225"/>
      <c r="BI90" s="225"/>
      <c r="BJ90" s="225"/>
      <c r="BK90" s="225"/>
      <c r="BL90" s="225"/>
      <c r="BM90" s="225"/>
      <c r="BN90" s="225"/>
      <c r="BO90" s="225"/>
      <c r="BP90" s="225"/>
      <c r="BQ90" s="225"/>
    </row>
    <row r="91" spans="41:69" x14ac:dyDescent="0.25">
      <c r="AO91"/>
      <c r="AS91"/>
      <c r="BC91" s="225"/>
      <c r="BD91" s="225"/>
      <c r="BE91" s="225"/>
      <c r="BF91" s="225"/>
      <c r="BG91" s="225"/>
      <c r="BH91" s="225"/>
      <c r="BI91" s="225"/>
      <c r="BJ91" s="225"/>
      <c r="BK91" s="225"/>
      <c r="BL91" s="225"/>
      <c r="BM91" s="225"/>
      <c r="BN91" s="225"/>
      <c r="BO91" s="225"/>
      <c r="BP91" s="225"/>
      <c r="BQ91" s="225"/>
    </row>
    <row r="92" spans="41:69" x14ac:dyDescent="0.25">
      <c r="AO92"/>
      <c r="AS92"/>
      <c r="BC92" s="225"/>
      <c r="BD92" s="225"/>
      <c r="BE92" s="225"/>
      <c r="BF92" s="225"/>
      <c r="BG92" s="225"/>
      <c r="BH92" s="225"/>
      <c r="BI92" s="225"/>
      <c r="BJ92" s="225"/>
      <c r="BK92" s="225"/>
      <c r="BL92" s="225"/>
      <c r="BM92" s="225"/>
      <c r="BN92" s="225"/>
      <c r="BO92" s="225"/>
      <c r="BP92" s="225"/>
      <c r="BQ92" s="225"/>
    </row>
    <row r="93" spans="41:69" x14ac:dyDescent="0.25">
      <c r="AO93"/>
      <c r="AS93"/>
      <c r="BC93" s="225"/>
      <c r="BD93" s="225"/>
      <c r="BE93" s="225"/>
      <c r="BF93" s="225"/>
      <c r="BG93" s="225"/>
      <c r="BH93" s="225"/>
      <c r="BI93" s="225"/>
      <c r="BJ93" s="225"/>
      <c r="BK93" s="225"/>
      <c r="BL93" s="225"/>
      <c r="BM93" s="225"/>
      <c r="BN93" s="225"/>
      <c r="BO93" s="225"/>
      <c r="BP93" s="225"/>
      <c r="BQ93" s="225"/>
    </row>
    <row r="94" spans="41:69" x14ac:dyDescent="0.25">
      <c r="AO94"/>
      <c r="AS94"/>
      <c r="BC94" s="225"/>
      <c r="BD94" s="225"/>
      <c r="BE94" s="225"/>
      <c r="BF94" s="225"/>
      <c r="BG94" s="225"/>
      <c r="BH94" s="225"/>
      <c r="BI94" s="225"/>
      <c r="BJ94" s="225"/>
      <c r="BK94" s="225"/>
      <c r="BL94" s="225"/>
      <c r="BM94" s="225"/>
      <c r="BN94" s="225"/>
      <c r="BO94" s="225"/>
      <c r="BP94" s="225"/>
      <c r="BQ94" s="225"/>
    </row>
    <row r="95" spans="41:69" x14ac:dyDescent="0.25">
      <c r="AO95"/>
      <c r="AS95"/>
      <c r="BC95" s="225"/>
      <c r="BD95" s="225"/>
      <c r="BE95" s="225"/>
      <c r="BF95" s="225"/>
      <c r="BG95" s="225"/>
      <c r="BH95" s="225"/>
      <c r="BI95" s="225"/>
      <c r="BJ95" s="225"/>
      <c r="BK95" s="225"/>
      <c r="BL95" s="225"/>
      <c r="BM95" s="225"/>
      <c r="BN95" s="225"/>
      <c r="BO95" s="225"/>
      <c r="BP95" s="225"/>
      <c r="BQ95" s="225"/>
    </row>
    <row r="96" spans="41:69" x14ac:dyDescent="0.25">
      <c r="AO96"/>
      <c r="AS96"/>
      <c r="BC96" s="225"/>
      <c r="BD96" s="225"/>
      <c r="BE96" s="225"/>
      <c r="BF96" s="225"/>
      <c r="BG96" s="225"/>
      <c r="BH96" s="225"/>
      <c r="BI96" s="225"/>
      <c r="BJ96" s="225"/>
      <c r="BK96" s="225"/>
      <c r="BL96" s="225"/>
      <c r="BM96" s="225"/>
      <c r="BN96" s="225"/>
      <c r="BO96" s="225"/>
      <c r="BP96" s="225"/>
      <c r="BQ96" s="225"/>
    </row>
    <row r="97" spans="41:69" x14ac:dyDescent="0.25">
      <c r="AO97"/>
      <c r="AS97"/>
      <c r="BC97" s="225"/>
      <c r="BD97" s="225"/>
      <c r="BE97" s="225"/>
      <c r="BF97" s="225"/>
      <c r="BG97" s="225"/>
      <c r="BH97" s="225"/>
      <c r="BI97" s="225"/>
      <c r="BJ97" s="225"/>
      <c r="BK97" s="225"/>
      <c r="BL97" s="225"/>
      <c r="BM97" s="225"/>
      <c r="BN97" s="225"/>
      <c r="BO97" s="225"/>
      <c r="BP97" s="225"/>
      <c r="BQ97" s="225"/>
    </row>
    <row r="98" spans="41:69" x14ac:dyDescent="0.25">
      <c r="AO98"/>
      <c r="AS98"/>
      <c r="BC98" s="225"/>
      <c r="BD98" s="225"/>
      <c r="BE98" s="225"/>
      <c r="BF98" s="225"/>
      <c r="BG98" s="225"/>
      <c r="BH98" s="225"/>
      <c r="BI98" s="225"/>
      <c r="BJ98" s="225"/>
      <c r="BK98" s="225"/>
      <c r="BL98" s="225"/>
      <c r="BM98" s="225"/>
      <c r="BN98" s="225"/>
      <c r="BO98" s="225"/>
      <c r="BP98" s="225"/>
      <c r="BQ98" s="225"/>
    </row>
    <row r="99" spans="41:69" x14ac:dyDescent="0.25">
      <c r="AO99"/>
      <c r="AS99"/>
      <c r="BC99" s="225"/>
      <c r="BD99" s="225"/>
      <c r="BE99" s="225"/>
      <c r="BF99" s="225"/>
      <c r="BG99" s="225"/>
      <c r="BH99" s="225"/>
      <c r="BI99" s="225"/>
      <c r="BJ99" s="225"/>
      <c r="BK99" s="225"/>
      <c r="BL99" s="225"/>
      <c r="BM99" s="225"/>
      <c r="BN99" s="225"/>
      <c r="BO99" s="225"/>
      <c r="BP99" s="225"/>
      <c r="BQ99" s="225"/>
    </row>
    <row r="100" spans="41:69" x14ac:dyDescent="0.25">
      <c r="AO100"/>
      <c r="AS100"/>
      <c r="BC100" s="225"/>
      <c r="BD100" s="225"/>
      <c r="BE100" s="225"/>
      <c r="BF100" s="225"/>
      <c r="BG100" s="225"/>
      <c r="BH100" s="225"/>
      <c r="BI100" s="225"/>
      <c r="BJ100" s="225"/>
      <c r="BK100" s="225"/>
      <c r="BL100" s="225"/>
      <c r="BM100" s="225"/>
      <c r="BN100" s="225"/>
      <c r="BO100" s="225"/>
      <c r="BP100" s="225"/>
      <c r="BQ100" s="225"/>
    </row>
    <row r="101" spans="41:69" x14ac:dyDescent="0.25">
      <c r="AO101"/>
      <c r="AS101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</row>
    <row r="102" spans="41:69" x14ac:dyDescent="0.25">
      <c r="AO102"/>
      <c r="AS102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</row>
    <row r="103" spans="41:69" x14ac:dyDescent="0.25">
      <c r="AO103"/>
      <c r="AS103"/>
      <c r="BC103" s="225"/>
      <c r="BD103" s="225"/>
      <c r="BE103" s="225"/>
      <c r="BF103" s="225"/>
      <c r="BG103" s="225"/>
      <c r="BH103" s="225"/>
      <c r="BI103" s="225"/>
      <c r="BJ103" s="225"/>
      <c r="BK103" s="225"/>
      <c r="BL103" s="225"/>
      <c r="BM103" s="225"/>
      <c r="BN103" s="225"/>
      <c r="BO103" s="225"/>
      <c r="BP103" s="225"/>
      <c r="BQ103" s="225"/>
    </row>
    <row r="104" spans="41:69" x14ac:dyDescent="0.25">
      <c r="AO104"/>
      <c r="AS104"/>
      <c r="BC104" s="225"/>
      <c r="BD104" s="225"/>
      <c r="BE104" s="225"/>
      <c r="BF104" s="225"/>
      <c r="BG104" s="225"/>
      <c r="BH104" s="225"/>
      <c r="BI104" s="225"/>
      <c r="BJ104" s="225"/>
      <c r="BK104" s="225"/>
      <c r="BL104" s="225"/>
      <c r="BM104" s="225"/>
      <c r="BN104" s="225"/>
      <c r="BO104" s="225"/>
      <c r="BP104" s="225"/>
      <c r="BQ104" s="225"/>
    </row>
    <row r="105" spans="41:69" x14ac:dyDescent="0.25">
      <c r="AO105"/>
      <c r="AS105"/>
      <c r="BC105" s="225"/>
      <c r="BD105" s="225"/>
      <c r="BE105" s="225"/>
      <c r="BF105" s="225"/>
      <c r="BG105" s="225"/>
      <c r="BH105" s="225"/>
      <c r="BI105" s="225"/>
      <c r="BJ105" s="225"/>
      <c r="BK105" s="225"/>
      <c r="BL105" s="225"/>
      <c r="BM105" s="225"/>
      <c r="BN105" s="225"/>
      <c r="BO105" s="225"/>
      <c r="BP105" s="225"/>
      <c r="BQ105" s="225"/>
    </row>
    <row r="106" spans="41:69" x14ac:dyDescent="0.25">
      <c r="AO106"/>
      <c r="AS106"/>
      <c r="BC106" s="225"/>
      <c r="BD106" s="225"/>
      <c r="BE106" s="225"/>
      <c r="BF106" s="225"/>
      <c r="BG106" s="225"/>
      <c r="BH106" s="225"/>
      <c r="BI106" s="225"/>
      <c r="BJ106" s="225"/>
      <c r="BK106" s="225"/>
      <c r="BL106" s="225"/>
      <c r="BM106" s="225"/>
      <c r="BN106" s="225"/>
      <c r="BO106" s="225"/>
      <c r="BP106" s="225"/>
      <c r="BQ106" s="225"/>
    </row>
    <row r="107" spans="41:69" x14ac:dyDescent="0.25">
      <c r="AO107"/>
      <c r="AS107"/>
      <c r="BC107" s="225"/>
      <c r="BD107" s="225"/>
      <c r="BE107" s="225"/>
      <c r="BF107" s="225"/>
      <c r="BG107" s="225"/>
      <c r="BH107" s="225"/>
      <c r="BI107" s="225"/>
      <c r="BJ107" s="225"/>
      <c r="BK107" s="225"/>
      <c r="BL107" s="225"/>
      <c r="BM107" s="225"/>
      <c r="BN107" s="225"/>
      <c r="BO107" s="225"/>
      <c r="BP107" s="225"/>
      <c r="BQ107" s="225"/>
    </row>
    <row r="108" spans="41:69" x14ac:dyDescent="0.25">
      <c r="AO108"/>
      <c r="AS108"/>
      <c r="BC108" s="225"/>
      <c r="BD108" s="225"/>
      <c r="BE108" s="225"/>
      <c r="BF108" s="225"/>
      <c r="BG108" s="225"/>
      <c r="BH108" s="225"/>
      <c r="BI108" s="225"/>
      <c r="BJ108" s="225"/>
      <c r="BK108" s="225"/>
      <c r="BL108" s="225"/>
      <c r="BM108" s="225"/>
      <c r="BN108" s="225"/>
      <c r="BO108" s="225"/>
      <c r="BP108" s="225"/>
      <c r="BQ108" s="225"/>
    </row>
    <row r="109" spans="41:69" x14ac:dyDescent="0.25">
      <c r="AO109"/>
      <c r="AS109"/>
      <c r="BC109" s="225"/>
      <c r="BD109" s="225"/>
      <c r="BE109" s="225"/>
      <c r="BF109" s="225"/>
      <c r="BG109" s="225"/>
      <c r="BH109" s="225"/>
      <c r="BI109" s="225"/>
      <c r="BJ109" s="225"/>
      <c r="BK109" s="225"/>
      <c r="BL109" s="225"/>
      <c r="BM109" s="225"/>
      <c r="BN109" s="225"/>
      <c r="BO109" s="225"/>
      <c r="BP109" s="225"/>
      <c r="BQ109" s="225"/>
    </row>
    <row r="110" spans="41:69" x14ac:dyDescent="0.25">
      <c r="AO110"/>
      <c r="AS110"/>
      <c r="BC110" s="225"/>
      <c r="BD110" s="225"/>
      <c r="BE110" s="225"/>
      <c r="BF110" s="225"/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5"/>
      <c r="BQ110" s="225"/>
    </row>
    <row r="111" spans="41:69" x14ac:dyDescent="0.25">
      <c r="AO111"/>
      <c r="AS111"/>
      <c r="BC111" s="225"/>
      <c r="BD111" s="225"/>
      <c r="BE111" s="225"/>
      <c r="BF111" s="225"/>
      <c r="BG111" s="225"/>
      <c r="BH111" s="225"/>
      <c r="BI111" s="225"/>
      <c r="BJ111" s="225"/>
      <c r="BK111" s="225"/>
      <c r="BL111" s="225"/>
      <c r="BM111" s="225"/>
      <c r="BN111" s="225"/>
      <c r="BO111" s="225"/>
      <c r="BP111" s="225"/>
      <c r="BQ111" s="225"/>
    </row>
    <row r="112" spans="41:69" x14ac:dyDescent="0.25">
      <c r="AO112"/>
      <c r="AS112"/>
      <c r="BC112" s="225"/>
      <c r="BD112" s="225"/>
      <c r="BE112" s="225"/>
      <c r="BF112" s="225"/>
      <c r="BG112" s="225"/>
      <c r="BH112" s="225"/>
      <c r="BI112" s="225"/>
      <c r="BJ112" s="225"/>
      <c r="BK112" s="225"/>
      <c r="BL112" s="225"/>
      <c r="BM112" s="225"/>
      <c r="BN112" s="225"/>
      <c r="BO112" s="225"/>
      <c r="BP112" s="225"/>
      <c r="BQ112" s="225"/>
    </row>
    <row r="113" spans="41:69" x14ac:dyDescent="0.25">
      <c r="AO113"/>
      <c r="AS113"/>
      <c r="BC113" s="225"/>
      <c r="BD113" s="225"/>
      <c r="BE113" s="225"/>
      <c r="BF113" s="225"/>
      <c r="BG113" s="225"/>
      <c r="BH113" s="225"/>
      <c r="BI113" s="225"/>
      <c r="BJ113" s="225"/>
      <c r="BK113" s="225"/>
      <c r="BL113" s="225"/>
      <c r="BM113" s="225"/>
      <c r="BN113" s="225"/>
      <c r="BO113" s="225"/>
      <c r="BP113" s="225"/>
      <c r="BQ113" s="225"/>
    </row>
    <row r="114" spans="41:69" x14ac:dyDescent="0.25">
      <c r="AO114"/>
      <c r="AS114"/>
      <c r="BC114" s="225"/>
      <c r="BD114" s="225"/>
      <c r="BE114" s="225"/>
      <c r="BF114" s="225"/>
      <c r="BG114" s="225"/>
      <c r="BH114" s="225"/>
      <c r="BI114" s="225"/>
      <c r="BJ114" s="225"/>
      <c r="BK114" s="225"/>
      <c r="BL114" s="225"/>
      <c r="BM114" s="225"/>
      <c r="BN114" s="225"/>
      <c r="BO114" s="225"/>
      <c r="BP114" s="225"/>
      <c r="BQ114" s="225"/>
    </row>
    <row r="115" spans="41:69" x14ac:dyDescent="0.25">
      <c r="AO115"/>
      <c r="AS115"/>
      <c r="BC115" s="225"/>
      <c r="BD115" s="225"/>
      <c r="BE115" s="225"/>
      <c r="BF115" s="225"/>
      <c r="BG115" s="225"/>
      <c r="BH115" s="225"/>
      <c r="BI115" s="225"/>
      <c r="BJ115" s="225"/>
      <c r="BK115" s="225"/>
      <c r="BL115" s="225"/>
      <c r="BM115" s="225"/>
      <c r="BN115" s="225"/>
      <c r="BO115" s="225"/>
      <c r="BP115" s="225"/>
      <c r="BQ115" s="225"/>
    </row>
    <row r="116" spans="41:69" x14ac:dyDescent="0.25">
      <c r="AO116"/>
      <c r="AS116"/>
      <c r="BC116" s="225"/>
      <c r="BD116" s="225"/>
      <c r="BE116" s="225"/>
      <c r="BF116" s="225"/>
      <c r="BG116" s="225"/>
      <c r="BH116" s="225"/>
      <c r="BI116" s="225"/>
      <c r="BJ116" s="225"/>
      <c r="BK116" s="225"/>
      <c r="BL116" s="225"/>
      <c r="BM116" s="225"/>
      <c r="BN116" s="225"/>
      <c r="BO116" s="225"/>
      <c r="BP116" s="225"/>
      <c r="BQ116" s="225"/>
    </row>
    <row r="117" spans="41:69" x14ac:dyDescent="0.25">
      <c r="AO117"/>
      <c r="AS117"/>
      <c r="BC117" s="225"/>
      <c r="BD117" s="225"/>
      <c r="BE117" s="225"/>
      <c r="BF117" s="225"/>
      <c r="BG117" s="225"/>
      <c r="BH117" s="225"/>
      <c r="BI117" s="225"/>
      <c r="BJ117" s="225"/>
      <c r="BK117" s="225"/>
      <c r="BL117" s="225"/>
      <c r="BM117" s="225"/>
      <c r="BN117" s="225"/>
      <c r="BO117" s="225"/>
      <c r="BP117" s="225"/>
      <c r="BQ117" s="225"/>
    </row>
    <row r="118" spans="41:69" x14ac:dyDescent="0.25">
      <c r="AO118"/>
      <c r="AS118"/>
      <c r="BC118" s="225"/>
      <c r="BD118" s="225"/>
      <c r="BE118" s="225"/>
      <c r="BF118" s="225"/>
      <c r="BG118" s="225"/>
      <c r="BH118" s="225"/>
      <c r="BI118" s="225"/>
      <c r="BJ118" s="225"/>
      <c r="BK118" s="225"/>
      <c r="BL118" s="225"/>
      <c r="BM118" s="225"/>
      <c r="BN118" s="225"/>
      <c r="BO118" s="225"/>
      <c r="BP118" s="225"/>
      <c r="BQ118" s="225"/>
    </row>
    <row r="119" spans="41:69" x14ac:dyDescent="0.25">
      <c r="AO119"/>
      <c r="AS119"/>
      <c r="BC119" s="225"/>
      <c r="BD119" s="225"/>
      <c r="BE119" s="225"/>
      <c r="BF119" s="225"/>
      <c r="BG119" s="225"/>
      <c r="BH119" s="225"/>
      <c r="BI119" s="225"/>
      <c r="BJ119" s="225"/>
      <c r="BK119" s="225"/>
      <c r="BL119" s="225"/>
      <c r="BM119" s="225"/>
      <c r="BN119" s="225"/>
      <c r="BO119" s="225"/>
      <c r="BP119" s="225"/>
      <c r="BQ119" s="225"/>
    </row>
    <row r="120" spans="41:69" x14ac:dyDescent="0.25">
      <c r="AO120"/>
      <c r="AS120"/>
      <c r="BC120" s="225"/>
      <c r="BD120" s="225"/>
      <c r="BE120" s="225"/>
      <c r="BF120" s="225"/>
      <c r="BG120" s="225"/>
      <c r="BH120" s="225"/>
      <c r="BI120" s="225"/>
      <c r="BJ120" s="225"/>
      <c r="BK120" s="225"/>
      <c r="BL120" s="225"/>
      <c r="BM120" s="225"/>
      <c r="BN120" s="225"/>
      <c r="BO120" s="225"/>
      <c r="BP120" s="225"/>
      <c r="BQ120" s="225"/>
    </row>
    <row r="121" spans="41:69" x14ac:dyDescent="0.25">
      <c r="AO121"/>
      <c r="AS121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5"/>
      <c r="BN121" s="225"/>
      <c r="BO121" s="225"/>
      <c r="BP121" s="225"/>
      <c r="BQ121" s="225"/>
    </row>
    <row r="122" spans="41:69" x14ac:dyDescent="0.25">
      <c r="AO122"/>
      <c r="AS122"/>
      <c r="BC122" s="225"/>
      <c r="BD122" s="225"/>
      <c r="BE122" s="225"/>
      <c r="BF122" s="225"/>
      <c r="BG122" s="225"/>
      <c r="BH122" s="225"/>
      <c r="BI122" s="225"/>
      <c r="BJ122" s="225"/>
      <c r="BK122" s="225"/>
      <c r="BL122" s="225"/>
      <c r="BM122" s="225"/>
      <c r="BN122" s="225"/>
      <c r="BO122" s="225"/>
      <c r="BP122" s="225"/>
      <c r="BQ122" s="225"/>
    </row>
    <row r="123" spans="41:69" x14ac:dyDescent="0.25">
      <c r="AO123"/>
      <c r="AS123"/>
      <c r="BC123" s="225"/>
      <c r="BD123" s="225"/>
      <c r="BE123" s="225"/>
      <c r="BF123" s="225"/>
      <c r="BG123" s="225"/>
      <c r="BH123" s="225"/>
      <c r="BI123" s="225"/>
      <c r="BJ123" s="225"/>
      <c r="BK123" s="225"/>
      <c r="BL123" s="225"/>
      <c r="BM123" s="225"/>
      <c r="BN123" s="225"/>
      <c r="BO123" s="225"/>
      <c r="BP123" s="225"/>
      <c r="BQ123" s="225"/>
    </row>
    <row r="124" spans="41:69" x14ac:dyDescent="0.25">
      <c r="AO124"/>
      <c r="AS124"/>
      <c r="BC124" s="225"/>
      <c r="BD124" s="225"/>
      <c r="BE124" s="225"/>
      <c r="BF124" s="225"/>
      <c r="BG124" s="225"/>
      <c r="BH124" s="225"/>
      <c r="BI124" s="225"/>
      <c r="BJ124" s="225"/>
      <c r="BK124" s="225"/>
      <c r="BL124" s="225"/>
      <c r="BM124" s="225"/>
      <c r="BN124" s="225"/>
      <c r="BO124" s="225"/>
      <c r="BP124" s="225"/>
      <c r="BQ124" s="225"/>
    </row>
    <row r="125" spans="41:69" x14ac:dyDescent="0.25">
      <c r="AO125"/>
      <c r="AS125"/>
      <c r="BC125" s="225"/>
      <c r="BD125" s="225"/>
      <c r="BE125" s="225"/>
      <c r="BF125" s="225"/>
      <c r="BG125" s="225"/>
      <c r="BH125" s="225"/>
      <c r="BI125" s="225"/>
      <c r="BJ125" s="225"/>
      <c r="BK125" s="225"/>
      <c r="BL125" s="225"/>
      <c r="BM125" s="225"/>
      <c r="BN125" s="225"/>
      <c r="BO125" s="225"/>
      <c r="BP125" s="225"/>
      <c r="BQ125" s="225"/>
    </row>
    <row r="126" spans="41:69" x14ac:dyDescent="0.25">
      <c r="AO126"/>
      <c r="AS126"/>
      <c r="BC126" s="225"/>
      <c r="BD126" s="225"/>
      <c r="BE126" s="225"/>
      <c r="BF126" s="225"/>
      <c r="BG126" s="225"/>
      <c r="BH126" s="225"/>
      <c r="BI126" s="225"/>
      <c r="BJ126" s="225"/>
      <c r="BK126" s="225"/>
      <c r="BL126" s="225"/>
      <c r="BM126" s="225"/>
      <c r="BN126" s="225"/>
      <c r="BO126" s="225"/>
      <c r="BP126" s="225"/>
      <c r="BQ126" s="225"/>
    </row>
    <row r="127" spans="41:69" x14ac:dyDescent="0.25">
      <c r="AO127"/>
      <c r="AS127"/>
      <c r="BC127" s="225"/>
      <c r="BD127" s="225"/>
      <c r="BE127" s="225"/>
      <c r="BF127" s="225"/>
      <c r="BG127" s="225"/>
      <c r="BH127" s="225"/>
      <c r="BI127" s="225"/>
      <c r="BJ127" s="225"/>
      <c r="BK127" s="225"/>
      <c r="BL127" s="225"/>
      <c r="BM127" s="225"/>
      <c r="BN127" s="225"/>
      <c r="BO127" s="225"/>
      <c r="BP127" s="225"/>
      <c r="BQ127" s="225"/>
    </row>
    <row r="128" spans="41:69" x14ac:dyDescent="0.25">
      <c r="AO128"/>
      <c r="AS128"/>
      <c r="BC128" s="225"/>
      <c r="BD128" s="225"/>
      <c r="BE128" s="225"/>
      <c r="BF128" s="225"/>
      <c r="BG128" s="225"/>
      <c r="BH128" s="225"/>
      <c r="BI128" s="225"/>
      <c r="BJ128" s="225"/>
      <c r="BK128" s="225"/>
      <c r="BL128" s="225"/>
      <c r="BM128" s="225"/>
      <c r="BN128" s="225"/>
      <c r="BO128" s="225"/>
      <c r="BP128" s="225"/>
      <c r="BQ128" s="225"/>
    </row>
    <row r="129" spans="41:69" x14ac:dyDescent="0.25">
      <c r="AO129"/>
      <c r="AS129"/>
      <c r="BC129" s="225"/>
      <c r="BD129" s="225"/>
      <c r="BE129" s="225"/>
      <c r="BF129" s="225"/>
      <c r="BG129" s="225"/>
      <c r="BH129" s="225"/>
      <c r="BI129" s="225"/>
      <c r="BJ129" s="225"/>
      <c r="BK129" s="225"/>
      <c r="BL129" s="225"/>
      <c r="BM129" s="225"/>
      <c r="BN129" s="225"/>
      <c r="BO129" s="225"/>
      <c r="BP129" s="225"/>
      <c r="BQ129" s="225"/>
    </row>
    <row r="130" spans="41:69" x14ac:dyDescent="0.25">
      <c r="AO130"/>
      <c r="AS130"/>
      <c r="BC130" s="225"/>
      <c r="BD130" s="225"/>
      <c r="BE130" s="225"/>
      <c r="BF130" s="225"/>
      <c r="BG130" s="225"/>
      <c r="BH130" s="225"/>
      <c r="BI130" s="225"/>
      <c r="BJ130" s="225"/>
      <c r="BK130" s="225"/>
      <c r="BL130" s="225"/>
      <c r="BM130" s="225"/>
      <c r="BN130" s="225"/>
      <c r="BO130" s="225"/>
      <c r="BP130" s="225"/>
      <c r="BQ130" s="225"/>
    </row>
    <row r="131" spans="41:69" x14ac:dyDescent="0.25">
      <c r="AO131"/>
      <c r="AS131"/>
      <c r="BC131" s="225"/>
      <c r="BD131" s="225"/>
      <c r="BE131" s="225"/>
      <c r="BF131" s="225"/>
      <c r="BG131" s="225"/>
      <c r="BH131" s="225"/>
      <c r="BI131" s="225"/>
      <c r="BJ131" s="225"/>
      <c r="BK131" s="225"/>
      <c r="BL131" s="225"/>
      <c r="BM131" s="225"/>
      <c r="BN131" s="225"/>
      <c r="BO131" s="225"/>
      <c r="BP131" s="225"/>
      <c r="BQ131" s="225"/>
    </row>
    <row r="132" spans="41:69" x14ac:dyDescent="0.25">
      <c r="AO132"/>
      <c r="AS132"/>
      <c r="BC132" s="225"/>
      <c r="BD132" s="225"/>
      <c r="BE132" s="225"/>
      <c r="BF132" s="225"/>
      <c r="BG132" s="225"/>
      <c r="BH132" s="225"/>
      <c r="BI132" s="225"/>
      <c r="BJ132" s="225"/>
      <c r="BK132" s="225"/>
      <c r="BL132" s="225"/>
      <c r="BM132" s="225"/>
      <c r="BN132" s="225"/>
      <c r="BO132" s="225"/>
      <c r="BP132" s="225"/>
      <c r="BQ132" s="225"/>
    </row>
    <row r="133" spans="41:69" x14ac:dyDescent="0.25">
      <c r="AO133"/>
      <c r="AS133"/>
      <c r="BC133" s="225"/>
      <c r="BD133" s="225"/>
      <c r="BE133" s="225"/>
      <c r="BF133" s="225"/>
      <c r="BG133" s="225"/>
      <c r="BH133" s="225"/>
      <c r="BI133" s="225"/>
      <c r="BJ133" s="225"/>
      <c r="BK133" s="225"/>
      <c r="BL133" s="225"/>
      <c r="BM133" s="225"/>
      <c r="BN133" s="225"/>
      <c r="BO133" s="225"/>
      <c r="BP133" s="225"/>
      <c r="BQ133" s="225"/>
    </row>
    <row r="134" spans="41:69" x14ac:dyDescent="0.25">
      <c r="AO134"/>
      <c r="AS134"/>
      <c r="BC134" s="225"/>
      <c r="BD134" s="225"/>
      <c r="BE134" s="225"/>
      <c r="BF134" s="225"/>
      <c r="BG134" s="225"/>
      <c r="BH134" s="225"/>
      <c r="BI134" s="225"/>
      <c r="BJ134" s="225"/>
      <c r="BK134" s="225"/>
      <c r="BL134" s="225"/>
      <c r="BM134" s="225"/>
      <c r="BN134" s="225"/>
      <c r="BO134" s="225"/>
      <c r="BP134" s="225"/>
      <c r="BQ134" s="225"/>
    </row>
    <row r="135" spans="41:69" x14ac:dyDescent="0.25">
      <c r="AO135"/>
      <c r="AS135"/>
      <c r="BC135" s="225"/>
      <c r="BD135" s="225"/>
      <c r="BE135" s="225"/>
      <c r="BF135" s="225"/>
      <c r="BG135" s="225"/>
      <c r="BH135" s="225"/>
      <c r="BI135" s="225"/>
      <c r="BJ135" s="225"/>
      <c r="BK135" s="225"/>
      <c r="BL135" s="225"/>
      <c r="BM135" s="225"/>
      <c r="BN135" s="225"/>
      <c r="BO135" s="225"/>
      <c r="BP135" s="225"/>
      <c r="BQ135" s="225"/>
    </row>
    <row r="136" spans="41:69" x14ac:dyDescent="0.25">
      <c r="AO136"/>
      <c r="AS136"/>
      <c r="BC136" s="225"/>
      <c r="BD136" s="225"/>
      <c r="BE136" s="225"/>
      <c r="BF136" s="225"/>
      <c r="BG136" s="225"/>
      <c r="BH136" s="225"/>
      <c r="BI136" s="225"/>
      <c r="BJ136" s="225"/>
      <c r="BK136" s="225"/>
      <c r="BL136" s="225"/>
      <c r="BM136" s="225"/>
      <c r="BN136" s="225"/>
      <c r="BO136" s="225"/>
      <c r="BP136" s="225"/>
      <c r="BQ136" s="225"/>
    </row>
    <row r="137" spans="41:69" x14ac:dyDescent="0.25">
      <c r="AO137"/>
      <c r="AS137"/>
      <c r="BC137" s="225"/>
      <c r="BD137" s="225"/>
      <c r="BE137" s="225"/>
      <c r="BF137" s="225"/>
      <c r="BG137" s="225"/>
      <c r="BH137" s="225"/>
      <c r="BI137" s="225"/>
      <c r="BJ137" s="225"/>
      <c r="BK137" s="225"/>
      <c r="BL137" s="225"/>
      <c r="BM137" s="225"/>
      <c r="BN137" s="225"/>
      <c r="BO137" s="225"/>
      <c r="BP137" s="225"/>
      <c r="BQ137" s="225"/>
    </row>
    <row r="138" spans="41:69" x14ac:dyDescent="0.25">
      <c r="AO138"/>
      <c r="AS138"/>
      <c r="BC138" s="225"/>
      <c r="BD138" s="225"/>
      <c r="BE138" s="225"/>
      <c r="BF138" s="225"/>
      <c r="BG138" s="225"/>
      <c r="BH138" s="225"/>
      <c r="BI138" s="225"/>
      <c r="BJ138" s="225"/>
      <c r="BK138" s="225"/>
      <c r="BL138" s="225"/>
      <c r="BM138" s="225"/>
      <c r="BN138" s="225"/>
      <c r="BO138" s="225"/>
      <c r="BP138" s="225"/>
      <c r="BQ138" s="225"/>
    </row>
    <row r="139" spans="41:69" x14ac:dyDescent="0.25">
      <c r="AO139"/>
      <c r="AS139"/>
      <c r="BC139" s="225"/>
      <c r="BD139" s="225"/>
      <c r="BE139" s="225"/>
      <c r="BF139" s="225"/>
      <c r="BG139" s="225"/>
      <c r="BH139" s="225"/>
      <c r="BI139" s="225"/>
      <c r="BJ139" s="225"/>
      <c r="BK139" s="225"/>
      <c r="BL139" s="225"/>
      <c r="BM139" s="225"/>
      <c r="BN139" s="225"/>
      <c r="BO139" s="225"/>
      <c r="BP139" s="225"/>
      <c r="BQ139" s="225"/>
    </row>
    <row r="140" spans="41:69" x14ac:dyDescent="0.25">
      <c r="AO140"/>
      <c r="AS140"/>
      <c r="BC140" s="225"/>
      <c r="BD140" s="225"/>
      <c r="BE140" s="225"/>
      <c r="BF140" s="225"/>
      <c r="BG140" s="225"/>
      <c r="BH140" s="225"/>
      <c r="BI140" s="225"/>
      <c r="BJ140" s="225"/>
      <c r="BK140" s="225"/>
      <c r="BL140" s="225"/>
      <c r="BM140" s="225"/>
      <c r="BN140" s="225"/>
      <c r="BO140" s="225"/>
      <c r="BP140" s="225"/>
      <c r="BQ140" s="225"/>
    </row>
    <row r="141" spans="41:69" x14ac:dyDescent="0.25">
      <c r="AO141"/>
      <c r="AS141"/>
      <c r="BC141" s="225"/>
      <c r="BD141" s="225"/>
      <c r="BE141" s="225"/>
      <c r="BF141" s="225"/>
      <c r="BG141" s="225"/>
      <c r="BH141" s="225"/>
      <c r="BI141" s="225"/>
      <c r="BJ141" s="225"/>
      <c r="BK141" s="225"/>
      <c r="BL141" s="225"/>
      <c r="BM141" s="225"/>
      <c r="BN141" s="225"/>
      <c r="BO141" s="225"/>
      <c r="BP141" s="225"/>
      <c r="BQ141" s="225"/>
    </row>
    <row r="142" spans="41:69" x14ac:dyDescent="0.25">
      <c r="AO142"/>
      <c r="AS142"/>
      <c r="BC142" s="225"/>
      <c r="BD142" s="225"/>
      <c r="BE142" s="225"/>
      <c r="BF142" s="225"/>
      <c r="BG142" s="225"/>
      <c r="BH142" s="225"/>
      <c r="BI142" s="225"/>
      <c r="BJ142" s="225"/>
      <c r="BK142" s="225"/>
      <c r="BL142" s="225"/>
      <c r="BM142" s="225"/>
      <c r="BN142" s="225"/>
      <c r="BO142" s="225"/>
      <c r="BP142" s="225"/>
      <c r="BQ142" s="225"/>
    </row>
    <row r="143" spans="41:69" x14ac:dyDescent="0.25">
      <c r="AO143"/>
      <c r="AS143"/>
      <c r="BC143" s="225"/>
      <c r="BD143" s="225"/>
      <c r="BE143" s="225"/>
      <c r="BF143" s="225"/>
      <c r="BG143" s="225"/>
      <c r="BH143" s="225"/>
      <c r="BI143" s="225"/>
      <c r="BJ143" s="225"/>
      <c r="BK143" s="225"/>
      <c r="BL143" s="225"/>
      <c r="BM143" s="225"/>
      <c r="BN143" s="225"/>
      <c r="BO143" s="225"/>
      <c r="BP143" s="225"/>
      <c r="BQ143" s="225"/>
    </row>
    <row r="144" spans="41:69" x14ac:dyDescent="0.25">
      <c r="AO144"/>
      <c r="AS144"/>
      <c r="BC144" s="225"/>
      <c r="BD144" s="225"/>
      <c r="BE144" s="225"/>
      <c r="BF144" s="225"/>
      <c r="BG144" s="225"/>
      <c r="BH144" s="225"/>
      <c r="BI144" s="225"/>
      <c r="BJ144" s="225"/>
      <c r="BK144" s="225"/>
      <c r="BL144" s="225"/>
      <c r="BM144" s="225"/>
      <c r="BN144" s="225"/>
      <c r="BO144" s="225"/>
      <c r="BP144" s="225"/>
      <c r="BQ144" s="225"/>
    </row>
    <row r="145" spans="41:69" x14ac:dyDescent="0.25">
      <c r="AO145"/>
      <c r="AS145"/>
      <c r="BC145" s="225"/>
      <c r="BD145" s="225"/>
      <c r="BE145" s="225"/>
      <c r="BF145" s="225"/>
      <c r="BG145" s="225"/>
      <c r="BH145" s="225"/>
      <c r="BI145" s="225"/>
      <c r="BJ145" s="225"/>
      <c r="BK145" s="225"/>
      <c r="BL145" s="225"/>
      <c r="BM145" s="225"/>
      <c r="BN145" s="225"/>
      <c r="BO145" s="225"/>
      <c r="BP145" s="225"/>
      <c r="BQ145" s="225"/>
    </row>
    <row r="146" spans="41:69" x14ac:dyDescent="0.25">
      <c r="AO146"/>
      <c r="AS146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5"/>
      <c r="BQ146" s="225"/>
    </row>
    <row r="147" spans="41:69" x14ac:dyDescent="0.25">
      <c r="AO147"/>
      <c r="AS147"/>
      <c r="BC147" s="225"/>
      <c r="BD147" s="225"/>
      <c r="BE147" s="225"/>
      <c r="BF147" s="225"/>
      <c r="BG147" s="225"/>
      <c r="BH147" s="225"/>
      <c r="BI147" s="225"/>
      <c r="BJ147" s="225"/>
      <c r="BK147" s="225"/>
      <c r="BL147" s="225"/>
      <c r="BM147" s="225"/>
      <c r="BN147" s="225"/>
      <c r="BO147" s="225"/>
      <c r="BP147" s="225"/>
      <c r="BQ147" s="225"/>
    </row>
    <row r="148" spans="41:69" x14ac:dyDescent="0.25">
      <c r="AO148"/>
      <c r="AS148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</row>
    <row r="149" spans="41:69" x14ac:dyDescent="0.25">
      <c r="AO149"/>
      <c r="AS149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</row>
    <row r="150" spans="41:69" x14ac:dyDescent="0.25">
      <c r="AO150"/>
      <c r="AS150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</row>
    <row r="151" spans="41:69" x14ac:dyDescent="0.25">
      <c r="AO151"/>
      <c r="AS151"/>
      <c r="BC151" s="225"/>
      <c r="BD151" s="225"/>
      <c r="BE151" s="225"/>
      <c r="BF151" s="225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5"/>
      <c r="BQ151" s="225"/>
    </row>
    <row r="152" spans="41:69" x14ac:dyDescent="0.25">
      <c r="AO152"/>
      <c r="AS152"/>
      <c r="BC152" s="225"/>
      <c r="BD152" s="225"/>
      <c r="BE152" s="225"/>
      <c r="BF152" s="225"/>
      <c r="BG152" s="225"/>
      <c r="BH152" s="225"/>
      <c r="BI152" s="225"/>
      <c r="BJ152" s="225"/>
      <c r="BK152" s="225"/>
      <c r="BL152" s="225"/>
      <c r="BM152" s="225"/>
      <c r="BN152" s="225"/>
      <c r="BO152" s="225"/>
      <c r="BP152" s="225"/>
      <c r="BQ152" s="225"/>
    </row>
    <row r="153" spans="41:69" x14ac:dyDescent="0.25">
      <c r="AO153"/>
      <c r="AS153"/>
      <c r="BC153" s="225"/>
      <c r="BD153" s="225"/>
      <c r="BE153" s="225"/>
      <c r="BF153" s="225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5"/>
      <c r="BQ153" s="225"/>
    </row>
    <row r="154" spans="41:69" x14ac:dyDescent="0.25">
      <c r="AO154"/>
      <c r="AS154"/>
      <c r="BC154" s="225"/>
      <c r="BD154" s="225"/>
      <c r="BE154" s="225"/>
      <c r="BF154" s="225"/>
      <c r="BG154" s="225"/>
      <c r="BH154" s="225"/>
      <c r="BI154" s="225"/>
      <c r="BJ154" s="225"/>
      <c r="BK154" s="225"/>
      <c r="BL154" s="225"/>
      <c r="BM154" s="225"/>
      <c r="BN154" s="225"/>
      <c r="BO154" s="225"/>
      <c r="BP154" s="225"/>
      <c r="BQ154" s="225"/>
    </row>
    <row r="155" spans="41:69" x14ac:dyDescent="0.25">
      <c r="AO155"/>
      <c r="AS155"/>
      <c r="BC155" s="225"/>
      <c r="BD155" s="225"/>
      <c r="BE155" s="225"/>
      <c r="BF155" s="225"/>
      <c r="BG155" s="225"/>
      <c r="BH155" s="225"/>
      <c r="BI155" s="225"/>
      <c r="BJ155" s="225"/>
      <c r="BK155" s="225"/>
      <c r="BL155" s="225"/>
      <c r="BM155" s="225"/>
      <c r="BN155" s="225"/>
      <c r="BO155" s="225"/>
      <c r="BP155" s="225"/>
      <c r="BQ155" s="225"/>
    </row>
    <row r="156" spans="41:69" x14ac:dyDescent="0.25">
      <c r="AO156"/>
      <c r="AS156"/>
      <c r="BC156" s="225"/>
      <c r="BD156" s="225"/>
      <c r="BE156" s="225"/>
      <c r="BF156" s="225"/>
      <c r="BG156" s="225"/>
      <c r="BH156" s="225"/>
      <c r="BI156" s="225"/>
      <c r="BJ156" s="225"/>
      <c r="BK156" s="225"/>
      <c r="BL156" s="225"/>
      <c r="BM156" s="225"/>
      <c r="BN156" s="225"/>
      <c r="BO156" s="225"/>
      <c r="BP156" s="225"/>
      <c r="BQ156" s="225"/>
    </row>
    <row r="157" spans="41:69" x14ac:dyDescent="0.25">
      <c r="AO157"/>
      <c r="AS157"/>
      <c r="BC157" s="225"/>
      <c r="BD157" s="225"/>
      <c r="BE157" s="225"/>
      <c r="BF157" s="225"/>
      <c r="BG157" s="225"/>
      <c r="BH157" s="225"/>
      <c r="BI157" s="225"/>
      <c r="BJ157" s="225"/>
      <c r="BK157" s="225"/>
      <c r="BL157" s="225"/>
      <c r="BM157" s="225"/>
      <c r="BN157" s="225"/>
      <c r="BO157" s="225"/>
      <c r="BP157" s="225"/>
      <c r="BQ157" s="225"/>
    </row>
    <row r="158" spans="41:69" x14ac:dyDescent="0.25">
      <c r="AO158"/>
      <c r="AS158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</row>
    <row r="159" spans="41:69" x14ac:dyDescent="0.25">
      <c r="AO159"/>
      <c r="AS159"/>
      <c r="BC159" s="225"/>
      <c r="BD159" s="225"/>
      <c r="BE159" s="225"/>
      <c r="BF159" s="225"/>
      <c r="BG159" s="225"/>
      <c r="BH159" s="225"/>
      <c r="BI159" s="225"/>
      <c r="BJ159" s="225"/>
      <c r="BK159" s="225"/>
      <c r="BL159" s="225"/>
      <c r="BM159" s="225"/>
      <c r="BN159" s="225"/>
      <c r="BO159" s="225"/>
      <c r="BP159" s="225"/>
      <c r="BQ159" s="225"/>
    </row>
    <row r="160" spans="41:69" x14ac:dyDescent="0.25">
      <c r="AO160"/>
      <c r="AS160"/>
      <c r="BC160" s="225"/>
      <c r="BD160" s="225"/>
      <c r="BE160" s="225"/>
      <c r="BF160" s="225"/>
      <c r="BG160" s="225"/>
      <c r="BH160" s="225"/>
      <c r="BI160" s="225"/>
      <c r="BJ160" s="225"/>
      <c r="BK160" s="225"/>
      <c r="BL160" s="225"/>
      <c r="BM160" s="225"/>
      <c r="BN160" s="225"/>
      <c r="BO160" s="225"/>
      <c r="BP160" s="225"/>
      <c r="BQ160" s="225"/>
    </row>
    <row r="161" spans="41:69" x14ac:dyDescent="0.25">
      <c r="AO161"/>
      <c r="AS161"/>
      <c r="BC161" s="225"/>
      <c r="BD161" s="225"/>
      <c r="BE161" s="225"/>
      <c r="BF161" s="225"/>
      <c r="BG161" s="225"/>
      <c r="BH161" s="225"/>
      <c r="BI161" s="225"/>
      <c r="BJ161" s="225"/>
      <c r="BK161" s="225"/>
      <c r="BL161" s="225"/>
      <c r="BM161" s="225"/>
      <c r="BN161" s="225"/>
      <c r="BO161" s="225"/>
      <c r="BP161" s="225"/>
      <c r="BQ161" s="225"/>
    </row>
    <row r="162" spans="41:69" x14ac:dyDescent="0.25">
      <c r="AO162"/>
      <c r="AS162"/>
      <c r="BC162" s="225"/>
      <c r="BD162" s="225"/>
      <c r="BE162" s="225"/>
      <c r="BF162" s="225"/>
      <c r="BG162" s="225"/>
      <c r="BH162" s="225"/>
      <c r="BI162" s="225"/>
      <c r="BJ162" s="225"/>
      <c r="BK162" s="225"/>
      <c r="BL162" s="225"/>
      <c r="BM162" s="225"/>
      <c r="BN162" s="225"/>
      <c r="BO162" s="225"/>
      <c r="BP162" s="225"/>
      <c r="BQ162" s="225"/>
    </row>
    <row r="163" spans="41:69" x14ac:dyDescent="0.25">
      <c r="AO163"/>
      <c r="AS163"/>
      <c r="BC163" s="225"/>
      <c r="BD163" s="225"/>
      <c r="BE163" s="225"/>
      <c r="BF163" s="225"/>
      <c r="BG163" s="225"/>
      <c r="BH163" s="225"/>
      <c r="BI163" s="225"/>
      <c r="BJ163" s="225"/>
      <c r="BK163" s="225"/>
      <c r="BL163" s="225"/>
      <c r="BM163" s="225"/>
      <c r="BN163" s="225"/>
      <c r="BO163" s="225"/>
      <c r="BP163" s="225"/>
      <c r="BQ163" s="225"/>
    </row>
    <row r="164" spans="41:69" x14ac:dyDescent="0.25">
      <c r="AO164"/>
      <c r="AS164"/>
      <c r="BC164" s="225"/>
      <c r="BD164" s="225"/>
      <c r="BE164" s="225"/>
      <c r="BF164" s="225"/>
      <c r="BG164" s="225"/>
      <c r="BH164" s="225"/>
      <c r="BI164" s="225"/>
      <c r="BJ164" s="225"/>
      <c r="BK164" s="225"/>
      <c r="BL164" s="225"/>
      <c r="BM164" s="225"/>
      <c r="BN164" s="225"/>
      <c r="BO164" s="225"/>
      <c r="BP164" s="225"/>
      <c r="BQ164" s="225"/>
    </row>
    <row r="165" spans="41:69" x14ac:dyDescent="0.25">
      <c r="AO165"/>
      <c r="AS16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</row>
    <row r="166" spans="41:69" x14ac:dyDescent="0.25">
      <c r="AO166"/>
      <c r="AS166"/>
      <c r="BC166" s="225"/>
      <c r="BD166" s="225"/>
      <c r="BE166" s="225"/>
      <c r="BF166" s="225"/>
      <c r="BG166" s="225"/>
      <c r="BH166" s="225"/>
      <c r="BI166" s="225"/>
      <c r="BJ166" s="225"/>
      <c r="BK166" s="225"/>
      <c r="BL166" s="225"/>
      <c r="BM166" s="225"/>
      <c r="BN166" s="225"/>
      <c r="BO166" s="225"/>
      <c r="BP166" s="225"/>
      <c r="BQ166" s="225"/>
    </row>
    <row r="167" spans="41:69" x14ac:dyDescent="0.25">
      <c r="AO167"/>
      <c r="AS167"/>
      <c r="BC167" s="225"/>
      <c r="BD167" s="225"/>
      <c r="BE167" s="225"/>
      <c r="BF167" s="225"/>
      <c r="BG167" s="225"/>
      <c r="BH167" s="225"/>
      <c r="BI167" s="225"/>
      <c r="BJ167" s="225"/>
      <c r="BK167" s="225"/>
      <c r="BL167" s="225"/>
      <c r="BM167" s="225"/>
      <c r="BN167" s="225"/>
      <c r="BO167" s="225"/>
      <c r="BP167" s="225"/>
      <c r="BQ167" s="225"/>
    </row>
    <row r="168" spans="41:69" x14ac:dyDescent="0.25">
      <c r="AO168"/>
      <c r="AS168"/>
      <c r="BC168" s="225"/>
      <c r="BD168" s="225"/>
      <c r="BE168" s="225"/>
      <c r="BF168" s="225"/>
      <c r="BG168" s="225"/>
      <c r="BH168" s="225"/>
      <c r="BI168" s="225"/>
      <c r="BJ168" s="225"/>
      <c r="BK168" s="225"/>
      <c r="BL168" s="225"/>
      <c r="BM168" s="225"/>
      <c r="BN168" s="225"/>
      <c r="BO168" s="225"/>
      <c r="BP168" s="225"/>
      <c r="BQ168" s="225"/>
    </row>
    <row r="169" spans="41:69" x14ac:dyDescent="0.25">
      <c r="AO169"/>
      <c r="AS169"/>
      <c r="BC169" s="225"/>
      <c r="BD169" s="225"/>
      <c r="BE169" s="225"/>
      <c r="BF169" s="225"/>
      <c r="BG169" s="225"/>
      <c r="BH169" s="225"/>
      <c r="BI169" s="225"/>
      <c r="BJ169" s="225"/>
      <c r="BK169" s="225"/>
      <c r="BL169" s="225"/>
      <c r="BM169" s="225"/>
      <c r="BN169" s="225"/>
      <c r="BO169" s="225"/>
      <c r="BP169" s="225"/>
      <c r="BQ169" s="225"/>
    </row>
    <row r="170" spans="41:69" x14ac:dyDescent="0.25">
      <c r="AO170"/>
      <c r="AS170"/>
      <c r="BC170" s="225"/>
      <c r="BD170" s="225"/>
      <c r="BE170" s="225"/>
      <c r="BF170" s="225"/>
      <c r="BG170" s="225"/>
      <c r="BH170" s="225"/>
      <c r="BI170" s="225"/>
      <c r="BJ170" s="225"/>
      <c r="BK170" s="225"/>
      <c r="BL170" s="225"/>
      <c r="BM170" s="225"/>
      <c r="BN170" s="225"/>
      <c r="BO170" s="225"/>
      <c r="BP170" s="225"/>
      <c r="BQ170" s="225"/>
    </row>
    <row r="171" spans="41:69" x14ac:dyDescent="0.25">
      <c r="AO171"/>
      <c r="AS171"/>
      <c r="BC171" s="225"/>
      <c r="BD171" s="225"/>
      <c r="BE171" s="225"/>
      <c r="BF171" s="225"/>
      <c r="BG171" s="225"/>
      <c r="BH171" s="225"/>
      <c r="BI171" s="225"/>
      <c r="BJ171" s="225"/>
      <c r="BK171" s="225"/>
      <c r="BL171" s="225"/>
      <c r="BM171" s="225"/>
      <c r="BN171" s="225"/>
      <c r="BO171" s="225"/>
      <c r="BP171" s="225"/>
      <c r="BQ171" s="225"/>
    </row>
    <row r="172" spans="41:69" x14ac:dyDescent="0.25">
      <c r="AO172"/>
      <c r="AS172"/>
      <c r="BC172" s="225"/>
      <c r="BD172" s="225"/>
      <c r="BE172" s="225"/>
      <c r="BF172" s="225"/>
      <c r="BG172" s="225"/>
      <c r="BH172" s="225"/>
      <c r="BI172" s="225"/>
      <c r="BJ172" s="225"/>
      <c r="BK172" s="225"/>
      <c r="BL172" s="225"/>
      <c r="BM172" s="225"/>
      <c r="BN172" s="225"/>
      <c r="BO172" s="225"/>
      <c r="BP172" s="225"/>
      <c r="BQ172" s="225"/>
    </row>
    <row r="173" spans="41:69" x14ac:dyDescent="0.25">
      <c r="AO173"/>
      <c r="AS173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  <c r="BN173" s="225"/>
      <c r="BO173" s="225"/>
      <c r="BP173" s="225"/>
      <c r="BQ173" s="225"/>
    </row>
    <row r="174" spans="41:69" x14ac:dyDescent="0.25">
      <c r="AO174"/>
      <c r="AS174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5"/>
      <c r="BP174" s="225"/>
      <c r="BQ174" s="225"/>
    </row>
    <row r="175" spans="41:69" x14ac:dyDescent="0.25">
      <c r="AO175"/>
      <c r="AS175"/>
      <c r="BC175" s="225"/>
      <c r="BD175" s="225"/>
      <c r="BE175" s="225"/>
      <c r="BF175" s="225"/>
      <c r="BG175" s="225"/>
      <c r="BH175" s="225"/>
      <c r="BI175" s="225"/>
      <c r="BJ175" s="225"/>
      <c r="BK175" s="225"/>
      <c r="BL175" s="225"/>
      <c r="BM175" s="225"/>
      <c r="BN175" s="225"/>
      <c r="BO175" s="225"/>
      <c r="BP175" s="225"/>
      <c r="BQ175" s="225"/>
    </row>
    <row r="176" spans="41:69" x14ac:dyDescent="0.25">
      <c r="AO176"/>
      <c r="AS176"/>
      <c r="BC176" s="225"/>
      <c r="BD176" s="225"/>
      <c r="BE176" s="225"/>
      <c r="BF176" s="225"/>
      <c r="BG176" s="225"/>
      <c r="BH176" s="225"/>
      <c r="BI176" s="225"/>
      <c r="BJ176" s="225"/>
      <c r="BK176" s="225"/>
      <c r="BL176" s="225"/>
      <c r="BM176" s="225"/>
      <c r="BN176" s="225"/>
      <c r="BO176" s="225"/>
      <c r="BP176" s="225"/>
      <c r="BQ176" s="225"/>
    </row>
    <row r="177" spans="41:69" x14ac:dyDescent="0.25">
      <c r="AO177"/>
      <c r="AS177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  <c r="BN177" s="225"/>
      <c r="BO177" s="225"/>
      <c r="BP177" s="225"/>
      <c r="BQ177" s="225"/>
    </row>
    <row r="178" spans="41:69" x14ac:dyDescent="0.25">
      <c r="AO178"/>
      <c r="AS178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  <c r="BN178" s="225"/>
      <c r="BO178" s="225"/>
      <c r="BP178" s="225"/>
      <c r="BQ178" s="225"/>
    </row>
    <row r="179" spans="41:69" x14ac:dyDescent="0.25">
      <c r="AO179"/>
      <c r="AS179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  <c r="BN179" s="225"/>
      <c r="BO179" s="225"/>
      <c r="BP179" s="225"/>
      <c r="BQ179" s="225"/>
    </row>
    <row r="180" spans="41:69" x14ac:dyDescent="0.25">
      <c r="AO180"/>
      <c r="AS180"/>
      <c r="BC180" s="225"/>
      <c r="BD180" s="225"/>
      <c r="BE180" s="225"/>
      <c r="BF180" s="225"/>
      <c r="BG180" s="225"/>
      <c r="BH180" s="225"/>
      <c r="BI180" s="225"/>
      <c r="BJ180" s="225"/>
      <c r="BK180" s="225"/>
      <c r="BL180" s="225"/>
      <c r="BM180" s="225"/>
      <c r="BN180" s="225"/>
      <c r="BO180" s="225"/>
      <c r="BP180" s="225"/>
      <c r="BQ180" s="225"/>
    </row>
    <row r="181" spans="41:69" x14ac:dyDescent="0.25">
      <c r="AO181"/>
      <c r="AS181"/>
      <c r="BC181" s="225"/>
      <c r="BD181" s="225"/>
      <c r="BE181" s="225"/>
      <c r="BF181" s="225"/>
      <c r="BG181" s="225"/>
      <c r="BH181" s="225"/>
      <c r="BI181" s="225"/>
      <c r="BJ181" s="225"/>
      <c r="BK181" s="225"/>
      <c r="BL181" s="225"/>
      <c r="BM181" s="225"/>
      <c r="BN181" s="225"/>
      <c r="BO181" s="225"/>
      <c r="BP181" s="225"/>
      <c r="BQ181" s="225"/>
    </row>
    <row r="182" spans="41:69" x14ac:dyDescent="0.25">
      <c r="AO182"/>
      <c r="AS182"/>
      <c r="BC182" s="225"/>
      <c r="BD182" s="225"/>
      <c r="BE182" s="225"/>
      <c r="BF182" s="225"/>
      <c r="BG182" s="225"/>
      <c r="BH182" s="225"/>
      <c r="BI182" s="225"/>
      <c r="BJ182" s="225"/>
      <c r="BK182" s="225"/>
      <c r="BL182" s="225"/>
      <c r="BM182" s="225"/>
      <c r="BN182" s="225"/>
      <c r="BO182" s="225"/>
      <c r="BP182" s="225"/>
      <c r="BQ182" s="225"/>
    </row>
    <row r="183" spans="41:69" x14ac:dyDescent="0.25">
      <c r="AO183"/>
      <c r="AS183"/>
      <c r="BC183" s="225"/>
      <c r="BD183" s="225"/>
      <c r="BE183" s="225"/>
      <c r="BF183" s="225"/>
      <c r="BG183" s="225"/>
      <c r="BH183" s="225"/>
      <c r="BI183" s="225"/>
      <c r="BJ183" s="225"/>
      <c r="BK183" s="225"/>
      <c r="BL183" s="225"/>
      <c r="BM183" s="225"/>
      <c r="BN183" s="225"/>
      <c r="BO183" s="225"/>
      <c r="BP183" s="225"/>
      <c r="BQ183" s="225"/>
    </row>
    <row r="184" spans="41:69" x14ac:dyDescent="0.25">
      <c r="AO184"/>
      <c r="AS184"/>
      <c r="BC184" s="225"/>
      <c r="BD184" s="225"/>
      <c r="BE184" s="225"/>
      <c r="BF184" s="225"/>
      <c r="BG184" s="225"/>
      <c r="BH184" s="225"/>
      <c r="BI184" s="225"/>
      <c r="BJ184" s="225"/>
      <c r="BK184" s="225"/>
      <c r="BL184" s="225"/>
      <c r="BM184" s="225"/>
      <c r="BN184" s="225"/>
      <c r="BO184" s="225"/>
      <c r="BP184" s="225"/>
      <c r="BQ184" s="225"/>
    </row>
    <row r="185" spans="41:69" x14ac:dyDescent="0.25">
      <c r="AO185"/>
      <c r="AS185"/>
      <c r="BC185" s="225"/>
      <c r="BD185" s="225"/>
      <c r="BE185" s="225"/>
      <c r="BF185" s="225"/>
      <c r="BG185" s="225"/>
      <c r="BH185" s="225"/>
      <c r="BI185" s="225"/>
      <c r="BJ185" s="225"/>
      <c r="BK185" s="225"/>
      <c r="BL185" s="225"/>
      <c r="BM185" s="225"/>
      <c r="BN185" s="225"/>
      <c r="BO185" s="225"/>
      <c r="BP185" s="225"/>
      <c r="BQ185" s="225"/>
    </row>
    <row r="186" spans="41:69" x14ac:dyDescent="0.25">
      <c r="AO186"/>
      <c r="AS186"/>
      <c r="BC186" s="225"/>
      <c r="BD186" s="225"/>
      <c r="BE186" s="225"/>
      <c r="BF186" s="225"/>
      <c r="BG186" s="225"/>
      <c r="BH186" s="225"/>
      <c r="BI186" s="225"/>
      <c r="BJ186" s="225"/>
      <c r="BK186" s="225"/>
      <c r="BL186" s="225"/>
      <c r="BM186" s="225"/>
      <c r="BN186" s="225"/>
      <c r="BO186" s="225"/>
      <c r="BP186" s="225"/>
      <c r="BQ186" s="225"/>
    </row>
    <row r="187" spans="41:69" x14ac:dyDescent="0.25">
      <c r="AO187"/>
      <c r="AS187"/>
      <c r="BC187" s="225"/>
      <c r="BD187" s="225"/>
      <c r="BE187" s="225"/>
      <c r="BF187" s="225"/>
      <c r="BG187" s="225"/>
      <c r="BH187" s="225"/>
      <c r="BI187" s="225"/>
      <c r="BJ187" s="225"/>
      <c r="BK187" s="225"/>
      <c r="BL187" s="225"/>
      <c r="BM187" s="225"/>
      <c r="BN187" s="225"/>
      <c r="BO187" s="225"/>
      <c r="BP187" s="225"/>
      <c r="BQ187" s="225"/>
    </row>
    <row r="188" spans="41:69" x14ac:dyDescent="0.25">
      <c r="AO188"/>
      <c r="AS188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  <c r="BN188" s="225"/>
      <c r="BO188" s="225"/>
      <c r="BP188" s="225"/>
      <c r="BQ188" s="225"/>
    </row>
    <row r="189" spans="41:69" x14ac:dyDescent="0.25">
      <c r="AO189"/>
      <c r="AS189"/>
      <c r="BC189" s="225"/>
      <c r="BD189" s="225"/>
      <c r="BE189" s="225"/>
      <c r="BF189" s="225"/>
      <c r="BG189" s="225"/>
      <c r="BH189" s="225"/>
      <c r="BI189" s="225"/>
      <c r="BJ189" s="225"/>
      <c r="BK189" s="225"/>
      <c r="BL189" s="225"/>
      <c r="BM189" s="225"/>
      <c r="BN189" s="225"/>
      <c r="BO189" s="225"/>
      <c r="BP189" s="225"/>
      <c r="BQ189" s="225"/>
    </row>
    <row r="190" spans="41:69" x14ac:dyDescent="0.25">
      <c r="AO190"/>
      <c r="AS190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5"/>
      <c r="BO190" s="225"/>
      <c r="BP190" s="225"/>
      <c r="BQ190" s="225"/>
    </row>
    <row r="191" spans="41:69" x14ac:dyDescent="0.25">
      <c r="AO191"/>
      <c r="AS191"/>
      <c r="BC191" s="225"/>
      <c r="BD191" s="225"/>
      <c r="BE191" s="225"/>
      <c r="BF191" s="225"/>
      <c r="BG191" s="225"/>
      <c r="BH191" s="225"/>
      <c r="BI191" s="225"/>
      <c r="BJ191" s="225"/>
      <c r="BK191" s="225"/>
      <c r="BL191" s="225"/>
      <c r="BM191" s="225"/>
      <c r="BN191" s="225"/>
      <c r="BO191" s="225"/>
      <c r="BP191" s="225"/>
      <c r="BQ191" s="225"/>
    </row>
    <row r="192" spans="41:69" x14ac:dyDescent="0.25">
      <c r="AO192"/>
      <c r="AS192"/>
      <c r="BC192" s="225"/>
      <c r="BD192" s="225"/>
      <c r="BE192" s="225"/>
      <c r="BF192" s="225"/>
      <c r="BG192" s="225"/>
      <c r="BH192" s="225"/>
      <c r="BI192" s="225"/>
      <c r="BJ192" s="225"/>
      <c r="BK192" s="225"/>
      <c r="BL192" s="225"/>
      <c r="BM192" s="225"/>
      <c r="BN192" s="225"/>
      <c r="BO192" s="225"/>
      <c r="BP192" s="225"/>
      <c r="BQ192" s="225"/>
    </row>
    <row r="193" spans="41:69" x14ac:dyDescent="0.25">
      <c r="AO193"/>
      <c r="AS193"/>
      <c r="BC193" s="225"/>
      <c r="BD193" s="225"/>
      <c r="BE193" s="225"/>
      <c r="BF193" s="225"/>
      <c r="BG193" s="225"/>
      <c r="BH193" s="225"/>
      <c r="BI193" s="225"/>
      <c r="BJ193" s="225"/>
      <c r="BK193" s="225"/>
      <c r="BL193" s="225"/>
      <c r="BM193" s="225"/>
      <c r="BN193" s="225"/>
      <c r="BO193" s="225"/>
      <c r="BP193" s="225"/>
      <c r="BQ193" s="225"/>
    </row>
    <row r="194" spans="41:69" x14ac:dyDescent="0.25">
      <c r="AO194"/>
      <c r="AS194"/>
      <c r="BC194" s="225"/>
      <c r="BD194" s="225"/>
      <c r="BE194" s="225"/>
      <c r="BF194" s="225"/>
      <c r="BG194" s="225"/>
      <c r="BH194" s="225"/>
      <c r="BI194" s="225"/>
      <c r="BJ194" s="225"/>
      <c r="BK194" s="225"/>
      <c r="BL194" s="225"/>
      <c r="BM194" s="225"/>
      <c r="BN194" s="225"/>
      <c r="BO194" s="225"/>
      <c r="BP194" s="225"/>
      <c r="BQ194" s="225"/>
    </row>
    <row r="195" spans="41:69" x14ac:dyDescent="0.25">
      <c r="AO195"/>
      <c r="AS195"/>
      <c r="BC195" s="225"/>
      <c r="BD195" s="225"/>
      <c r="BE195" s="225"/>
      <c r="BF195" s="225"/>
      <c r="BG195" s="225"/>
      <c r="BH195" s="225"/>
      <c r="BI195" s="225"/>
      <c r="BJ195" s="225"/>
      <c r="BK195" s="225"/>
      <c r="BL195" s="225"/>
      <c r="BM195" s="225"/>
      <c r="BN195" s="225"/>
      <c r="BO195" s="225"/>
      <c r="BP195" s="225"/>
      <c r="BQ195" s="225"/>
    </row>
    <row r="196" spans="41:69" x14ac:dyDescent="0.25">
      <c r="AO196"/>
      <c r="AS196"/>
      <c r="BC196" s="225"/>
      <c r="BD196" s="225"/>
      <c r="BE196" s="225"/>
      <c r="BF196" s="225"/>
      <c r="BG196" s="225"/>
      <c r="BH196" s="225"/>
      <c r="BI196" s="225"/>
      <c r="BJ196" s="225"/>
      <c r="BK196" s="225"/>
      <c r="BL196" s="225"/>
      <c r="BM196" s="225"/>
      <c r="BN196" s="225"/>
      <c r="BO196" s="225"/>
      <c r="BP196" s="225"/>
      <c r="BQ196" s="225"/>
    </row>
    <row r="197" spans="41:69" x14ac:dyDescent="0.25">
      <c r="AO197"/>
      <c r="AS197"/>
      <c r="BC197" s="225"/>
      <c r="BD197" s="225"/>
      <c r="BE197" s="225"/>
      <c r="BF197" s="225"/>
      <c r="BG197" s="225"/>
      <c r="BH197" s="225"/>
      <c r="BI197" s="225"/>
      <c r="BJ197" s="225"/>
      <c r="BK197" s="225"/>
      <c r="BL197" s="225"/>
      <c r="BM197" s="225"/>
      <c r="BN197" s="225"/>
      <c r="BO197" s="225"/>
      <c r="BP197" s="225"/>
      <c r="BQ197" s="225"/>
    </row>
    <row r="198" spans="41:69" x14ac:dyDescent="0.25">
      <c r="AO198"/>
      <c r="AS198"/>
      <c r="BC198" s="225"/>
      <c r="BD198" s="225"/>
      <c r="BE198" s="225"/>
      <c r="BF198" s="225"/>
      <c r="BG198" s="225"/>
      <c r="BH198" s="225"/>
      <c r="BI198" s="225"/>
      <c r="BJ198" s="225"/>
      <c r="BK198" s="225"/>
      <c r="BL198" s="225"/>
      <c r="BM198" s="225"/>
      <c r="BN198" s="225"/>
      <c r="BO198" s="225"/>
      <c r="BP198" s="225"/>
      <c r="BQ198" s="225"/>
    </row>
    <row r="199" spans="41:69" x14ac:dyDescent="0.25">
      <c r="AO199"/>
      <c r="AS199"/>
      <c r="BC199" s="225"/>
      <c r="BD199" s="225"/>
      <c r="BE199" s="225"/>
      <c r="BF199" s="225"/>
      <c r="BG199" s="225"/>
      <c r="BH199" s="225"/>
      <c r="BI199" s="225"/>
      <c r="BJ199" s="225"/>
      <c r="BK199" s="225"/>
      <c r="BL199" s="225"/>
      <c r="BM199" s="225"/>
      <c r="BN199" s="225"/>
      <c r="BO199" s="225"/>
      <c r="BP199" s="225"/>
      <c r="BQ199" s="225"/>
    </row>
    <row r="200" spans="41:69" x14ac:dyDescent="0.25">
      <c r="AO200"/>
      <c r="AS200"/>
      <c r="BC200" s="225"/>
      <c r="BD200" s="225"/>
      <c r="BE200" s="225"/>
      <c r="BF200" s="225"/>
      <c r="BG200" s="225"/>
      <c r="BH200" s="225"/>
      <c r="BI200" s="225"/>
      <c r="BJ200" s="225"/>
      <c r="BK200" s="225"/>
      <c r="BL200" s="225"/>
      <c r="BM200" s="225"/>
      <c r="BN200" s="225"/>
      <c r="BO200" s="225"/>
      <c r="BP200" s="225"/>
      <c r="BQ200" s="225"/>
    </row>
    <row r="201" spans="41:69" x14ac:dyDescent="0.25">
      <c r="AO201"/>
      <c r="AS201"/>
      <c r="BC201" s="225"/>
      <c r="BD201" s="225"/>
      <c r="BE201" s="225"/>
      <c r="BF201" s="225"/>
      <c r="BG201" s="225"/>
      <c r="BH201" s="225"/>
      <c r="BI201" s="225"/>
      <c r="BJ201" s="225"/>
      <c r="BK201" s="225"/>
      <c r="BL201" s="225"/>
      <c r="BM201" s="225"/>
      <c r="BN201" s="225"/>
      <c r="BO201" s="225"/>
      <c r="BP201" s="225"/>
      <c r="BQ201" s="225"/>
    </row>
    <row r="202" spans="41:69" x14ac:dyDescent="0.25">
      <c r="AO202"/>
      <c r="AS202"/>
      <c r="BC202" s="225"/>
      <c r="BD202" s="225"/>
      <c r="BE202" s="225"/>
      <c r="BF202" s="225"/>
      <c r="BG202" s="225"/>
      <c r="BH202" s="225"/>
      <c r="BI202" s="225"/>
      <c r="BJ202" s="225"/>
      <c r="BK202" s="225"/>
      <c r="BL202" s="225"/>
      <c r="BM202" s="225"/>
      <c r="BN202" s="225"/>
      <c r="BO202" s="225"/>
      <c r="BP202" s="225"/>
      <c r="BQ202" s="225"/>
    </row>
    <row r="203" spans="41:69" x14ac:dyDescent="0.25">
      <c r="AO203"/>
      <c r="AS203"/>
      <c r="BC203" s="225"/>
      <c r="BD203" s="225"/>
      <c r="BE203" s="225"/>
      <c r="BF203" s="225"/>
      <c r="BG203" s="225"/>
      <c r="BH203" s="225"/>
      <c r="BI203" s="225"/>
      <c r="BJ203" s="225"/>
      <c r="BK203" s="225"/>
      <c r="BL203" s="225"/>
      <c r="BM203" s="225"/>
      <c r="BN203" s="225"/>
      <c r="BO203" s="225"/>
      <c r="BP203" s="225"/>
      <c r="BQ203" s="225"/>
    </row>
    <row r="204" spans="41:69" x14ac:dyDescent="0.25">
      <c r="AO204"/>
      <c r="AS204"/>
      <c r="BC204" s="225"/>
      <c r="BD204" s="225"/>
      <c r="BE204" s="225"/>
      <c r="BF204" s="225"/>
      <c r="BG204" s="225"/>
      <c r="BH204" s="225"/>
      <c r="BI204" s="225"/>
      <c r="BJ204" s="225"/>
      <c r="BK204" s="225"/>
      <c r="BL204" s="225"/>
      <c r="BM204" s="225"/>
      <c r="BN204" s="225"/>
      <c r="BO204" s="225"/>
      <c r="BP204" s="225"/>
      <c r="BQ204" s="225"/>
    </row>
    <row r="205" spans="41:69" x14ac:dyDescent="0.25">
      <c r="AO205"/>
      <c r="AS205"/>
      <c r="BC205" s="225"/>
      <c r="BD205" s="225"/>
      <c r="BE205" s="225"/>
      <c r="BF205" s="225"/>
      <c r="BG205" s="225"/>
      <c r="BH205" s="225"/>
      <c r="BI205" s="225"/>
      <c r="BJ205" s="225"/>
      <c r="BK205" s="225"/>
      <c r="BL205" s="225"/>
      <c r="BM205" s="225"/>
      <c r="BN205" s="225"/>
      <c r="BO205" s="225"/>
      <c r="BP205" s="225"/>
      <c r="BQ205" s="225"/>
    </row>
    <row r="206" spans="41:69" x14ac:dyDescent="0.25">
      <c r="AO206"/>
      <c r="AS206"/>
      <c r="BC206" s="225"/>
      <c r="BD206" s="225"/>
      <c r="BE206" s="225"/>
      <c r="BF206" s="225"/>
      <c r="BG206" s="225"/>
      <c r="BH206" s="225"/>
      <c r="BI206" s="225"/>
      <c r="BJ206" s="225"/>
      <c r="BK206" s="225"/>
      <c r="BL206" s="225"/>
      <c r="BM206" s="225"/>
      <c r="BN206" s="225"/>
      <c r="BO206" s="225"/>
      <c r="BP206" s="225"/>
      <c r="BQ206" s="225"/>
    </row>
    <row r="207" spans="41:69" x14ac:dyDescent="0.25">
      <c r="AO207"/>
      <c r="AS207"/>
      <c r="BC207" s="225"/>
      <c r="BD207" s="225"/>
      <c r="BE207" s="225"/>
      <c r="BF207" s="225"/>
      <c r="BG207" s="225"/>
      <c r="BH207" s="225"/>
      <c r="BI207" s="225"/>
      <c r="BJ207" s="225"/>
      <c r="BK207" s="225"/>
      <c r="BL207" s="225"/>
      <c r="BM207" s="225"/>
      <c r="BN207" s="225"/>
      <c r="BO207" s="225"/>
      <c r="BP207" s="225"/>
      <c r="BQ207" s="225"/>
    </row>
    <row r="208" spans="41:69" x14ac:dyDescent="0.25">
      <c r="AO208"/>
      <c r="AS208"/>
      <c r="BC208" s="225"/>
      <c r="BD208" s="225"/>
      <c r="BE208" s="225"/>
      <c r="BF208" s="225"/>
      <c r="BG208" s="225"/>
      <c r="BH208" s="225"/>
      <c r="BI208" s="225"/>
      <c r="BJ208" s="225"/>
      <c r="BK208" s="225"/>
      <c r="BL208" s="225"/>
      <c r="BM208" s="225"/>
      <c r="BN208" s="225"/>
      <c r="BO208" s="225"/>
      <c r="BP208" s="225"/>
      <c r="BQ208" s="225"/>
    </row>
    <row r="209" spans="41:69" x14ac:dyDescent="0.25">
      <c r="AO209"/>
      <c r="AS209"/>
      <c r="BC209" s="225"/>
      <c r="BD209" s="225"/>
      <c r="BE209" s="225"/>
      <c r="BF209" s="225"/>
      <c r="BG209" s="225"/>
      <c r="BH209" s="225"/>
      <c r="BI209" s="225"/>
      <c r="BJ209" s="225"/>
      <c r="BK209" s="225"/>
      <c r="BL209" s="225"/>
      <c r="BM209" s="225"/>
      <c r="BN209" s="225"/>
      <c r="BO209" s="225"/>
      <c r="BP209" s="225"/>
      <c r="BQ209" s="225"/>
    </row>
    <row r="210" spans="41:69" x14ac:dyDescent="0.25">
      <c r="AO210"/>
      <c r="AS210"/>
      <c r="BC210" s="225"/>
      <c r="BD210" s="225"/>
      <c r="BE210" s="225"/>
      <c r="BF210" s="225"/>
      <c r="BG210" s="225"/>
      <c r="BH210" s="225"/>
      <c r="BI210" s="225"/>
      <c r="BJ210" s="225"/>
      <c r="BK210" s="225"/>
      <c r="BL210" s="225"/>
      <c r="BM210" s="225"/>
      <c r="BN210" s="225"/>
      <c r="BO210" s="225"/>
      <c r="BP210" s="225"/>
      <c r="BQ210" s="225"/>
    </row>
    <row r="211" spans="41:69" x14ac:dyDescent="0.25">
      <c r="AO211"/>
      <c r="AS211"/>
      <c r="BC211" s="225"/>
      <c r="BD211" s="225"/>
      <c r="BE211" s="225"/>
      <c r="BF211" s="225"/>
      <c r="BG211" s="225"/>
      <c r="BH211" s="225"/>
      <c r="BI211" s="225"/>
      <c r="BJ211" s="225"/>
      <c r="BK211" s="225"/>
      <c r="BL211" s="225"/>
      <c r="BM211" s="225"/>
      <c r="BN211" s="225"/>
      <c r="BO211" s="225"/>
      <c r="BP211" s="225"/>
      <c r="BQ211" s="225"/>
    </row>
    <row r="212" spans="41:69" x14ac:dyDescent="0.25">
      <c r="AO212"/>
      <c r="AS212"/>
      <c r="BC212" s="225"/>
      <c r="BD212" s="225"/>
      <c r="BE212" s="225"/>
      <c r="BF212" s="225"/>
      <c r="BG212" s="225"/>
      <c r="BH212" s="225"/>
      <c r="BI212" s="225"/>
      <c r="BJ212" s="225"/>
      <c r="BK212" s="225"/>
      <c r="BL212" s="225"/>
      <c r="BM212" s="225"/>
      <c r="BN212" s="225"/>
      <c r="BO212" s="225"/>
      <c r="BP212" s="225"/>
      <c r="BQ212" s="225"/>
    </row>
    <row r="213" spans="41:69" x14ac:dyDescent="0.25">
      <c r="AO213"/>
      <c r="AS213"/>
      <c r="BC213" s="225"/>
      <c r="BD213" s="225"/>
      <c r="BE213" s="225"/>
      <c r="BF213" s="225"/>
      <c r="BG213" s="225"/>
      <c r="BH213" s="225"/>
      <c r="BI213" s="225"/>
      <c r="BJ213" s="225"/>
      <c r="BK213" s="225"/>
      <c r="BL213" s="225"/>
      <c r="BM213" s="225"/>
      <c r="BN213" s="225"/>
      <c r="BO213" s="225"/>
      <c r="BP213" s="225"/>
      <c r="BQ213" s="225"/>
    </row>
    <row r="214" spans="41:69" x14ac:dyDescent="0.25">
      <c r="AO214"/>
      <c r="AS214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</row>
    <row r="215" spans="41:69" x14ac:dyDescent="0.25">
      <c r="AO215"/>
      <c r="AS21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</row>
    <row r="216" spans="41:69" x14ac:dyDescent="0.25">
      <c r="AO216"/>
      <c r="AS216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</row>
    <row r="217" spans="41:69" x14ac:dyDescent="0.25">
      <c r="AO217"/>
      <c r="AS217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</row>
    <row r="218" spans="41:69" x14ac:dyDescent="0.25">
      <c r="AO218"/>
      <c r="AS218"/>
      <c r="BC218" s="225"/>
      <c r="BD218" s="225"/>
      <c r="BE218" s="225"/>
      <c r="BF218" s="225"/>
      <c r="BG218" s="225"/>
      <c r="BH218" s="225"/>
      <c r="BI218" s="225"/>
      <c r="BJ218" s="225"/>
      <c r="BK218" s="225"/>
      <c r="BL218" s="225"/>
      <c r="BM218" s="225"/>
      <c r="BN218" s="225"/>
      <c r="BO218" s="225"/>
      <c r="BP218" s="225"/>
      <c r="BQ218" s="225"/>
    </row>
    <row r="219" spans="41:69" x14ac:dyDescent="0.25">
      <c r="AO219"/>
      <c r="AS219"/>
      <c r="BC219" s="225"/>
      <c r="BD219" s="225"/>
      <c r="BE219" s="225"/>
      <c r="BF219" s="225"/>
      <c r="BG219" s="225"/>
      <c r="BH219" s="225"/>
      <c r="BI219" s="225"/>
      <c r="BJ219" s="225"/>
      <c r="BK219" s="225"/>
      <c r="BL219" s="225"/>
      <c r="BM219" s="225"/>
      <c r="BN219" s="225"/>
      <c r="BO219" s="225"/>
      <c r="BP219" s="225"/>
      <c r="BQ219" s="225"/>
    </row>
    <row r="220" spans="41:69" x14ac:dyDescent="0.25">
      <c r="AO220"/>
      <c r="AS220"/>
      <c r="BC220" s="225"/>
      <c r="BD220" s="225"/>
      <c r="BE220" s="225"/>
      <c r="BF220" s="225"/>
      <c r="BG220" s="225"/>
      <c r="BH220" s="225"/>
      <c r="BI220" s="225"/>
      <c r="BJ220" s="225"/>
      <c r="BK220" s="225"/>
      <c r="BL220" s="225"/>
      <c r="BM220" s="225"/>
      <c r="BN220" s="225"/>
      <c r="BO220" s="225"/>
      <c r="BP220" s="225"/>
      <c r="BQ220" s="225"/>
    </row>
    <row r="221" spans="41:69" x14ac:dyDescent="0.25">
      <c r="AO221"/>
      <c r="AS221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</row>
    <row r="222" spans="41:69" x14ac:dyDescent="0.25">
      <c r="AO222"/>
      <c r="AS222"/>
      <c r="BC222" s="225"/>
      <c r="BD222" s="225"/>
      <c r="BE222" s="225"/>
      <c r="BF222" s="225"/>
      <c r="BG222" s="225"/>
      <c r="BH222" s="225"/>
      <c r="BI222" s="225"/>
      <c r="BJ222" s="225"/>
      <c r="BK222" s="225"/>
      <c r="BL222" s="225"/>
      <c r="BM222" s="225"/>
      <c r="BN222" s="225"/>
      <c r="BO222" s="225"/>
      <c r="BP222" s="225"/>
      <c r="BQ222" s="225"/>
    </row>
    <row r="223" spans="41:69" x14ac:dyDescent="0.25">
      <c r="AO223"/>
      <c r="AS223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</row>
    <row r="224" spans="41:69" x14ac:dyDescent="0.25">
      <c r="AO224"/>
      <c r="AS224"/>
      <c r="BC224" s="225"/>
      <c r="BD224" s="225"/>
      <c r="BE224" s="225"/>
      <c r="BF224" s="225"/>
      <c r="BG224" s="225"/>
      <c r="BH224" s="225"/>
      <c r="BI224" s="225"/>
      <c r="BJ224" s="225"/>
      <c r="BK224" s="225"/>
      <c r="BL224" s="225"/>
      <c r="BM224" s="225"/>
      <c r="BN224" s="225"/>
      <c r="BO224" s="225"/>
      <c r="BP224" s="225"/>
      <c r="BQ224" s="225"/>
    </row>
    <row r="225" spans="41:69" x14ac:dyDescent="0.25">
      <c r="AO225"/>
      <c r="AS225"/>
      <c r="BC225" s="225"/>
      <c r="BD225" s="225"/>
      <c r="BE225" s="225"/>
      <c r="BF225" s="225"/>
      <c r="BG225" s="225"/>
      <c r="BH225" s="225"/>
      <c r="BI225" s="225"/>
      <c r="BJ225" s="225"/>
      <c r="BK225" s="225"/>
      <c r="BL225" s="225"/>
      <c r="BM225" s="225"/>
      <c r="BN225" s="225"/>
      <c r="BO225" s="225"/>
      <c r="BP225" s="225"/>
      <c r="BQ225" s="225"/>
    </row>
    <row r="226" spans="41:69" x14ac:dyDescent="0.25">
      <c r="AO226"/>
      <c r="AS226"/>
      <c r="BC226" s="225"/>
      <c r="BD226" s="225"/>
      <c r="BE226" s="225"/>
      <c r="BF226" s="225"/>
      <c r="BG226" s="225"/>
      <c r="BH226" s="225"/>
      <c r="BI226" s="225"/>
      <c r="BJ226" s="225"/>
      <c r="BK226" s="225"/>
      <c r="BL226" s="225"/>
      <c r="BM226" s="225"/>
      <c r="BN226" s="225"/>
      <c r="BO226" s="225"/>
      <c r="BP226" s="225"/>
      <c r="BQ226" s="225"/>
    </row>
    <row r="227" spans="41:69" x14ac:dyDescent="0.25">
      <c r="AO227"/>
      <c r="AS227"/>
      <c r="BC227" s="225"/>
      <c r="BD227" s="225"/>
      <c r="BE227" s="225"/>
      <c r="BF227" s="225"/>
      <c r="BG227" s="225"/>
      <c r="BH227" s="225"/>
      <c r="BI227" s="225"/>
      <c r="BJ227" s="225"/>
      <c r="BK227" s="225"/>
      <c r="BL227" s="225"/>
      <c r="BM227" s="225"/>
      <c r="BN227" s="225"/>
      <c r="BO227" s="225"/>
      <c r="BP227" s="225"/>
      <c r="BQ227" s="225"/>
    </row>
    <row r="228" spans="41:69" x14ac:dyDescent="0.25">
      <c r="AO228"/>
      <c r="AS228"/>
      <c r="BC228" s="225"/>
      <c r="BD228" s="225"/>
      <c r="BE228" s="225"/>
      <c r="BF228" s="225"/>
      <c r="BG228" s="225"/>
      <c r="BH228" s="225"/>
      <c r="BI228" s="225"/>
      <c r="BJ228" s="225"/>
      <c r="BK228" s="225"/>
      <c r="BL228" s="225"/>
      <c r="BM228" s="225"/>
      <c r="BN228" s="225"/>
      <c r="BO228" s="225"/>
      <c r="BP228" s="225"/>
      <c r="BQ228" s="225"/>
    </row>
    <row r="229" spans="41:69" x14ac:dyDescent="0.25">
      <c r="AO229"/>
      <c r="AS229"/>
      <c r="BC229" s="225"/>
      <c r="BD229" s="225"/>
      <c r="BE229" s="225"/>
      <c r="BF229" s="225"/>
      <c r="BG229" s="225"/>
      <c r="BH229" s="225"/>
      <c r="BI229" s="225"/>
      <c r="BJ229" s="225"/>
      <c r="BK229" s="225"/>
      <c r="BL229" s="225"/>
      <c r="BM229" s="225"/>
      <c r="BN229" s="225"/>
      <c r="BO229" s="225"/>
      <c r="BP229" s="225"/>
      <c r="BQ229" s="225"/>
    </row>
    <row r="230" spans="41:69" x14ac:dyDescent="0.25">
      <c r="AO230"/>
      <c r="AS230"/>
      <c r="BC230" s="225"/>
      <c r="BD230" s="225"/>
      <c r="BE230" s="225"/>
      <c r="BF230" s="225"/>
      <c r="BG230" s="225"/>
      <c r="BH230" s="225"/>
      <c r="BI230" s="225"/>
      <c r="BJ230" s="225"/>
      <c r="BK230" s="225"/>
      <c r="BL230" s="225"/>
      <c r="BM230" s="225"/>
      <c r="BN230" s="225"/>
      <c r="BO230" s="225"/>
      <c r="BP230" s="225"/>
      <c r="BQ230" s="225"/>
    </row>
    <row r="231" spans="41:69" x14ac:dyDescent="0.25">
      <c r="AO231"/>
      <c r="AS231"/>
      <c r="BC231" s="225"/>
      <c r="BD231" s="225"/>
      <c r="BE231" s="225"/>
      <c r="BF231" s="225"/>
      <c r="BG231" s="225"/>
      <c r="BH231" s="225"/>
      <c r="BI231" s="225"/>
      <c r="BJ231" s="225"/>
      <c r="BK231" s="225"/>
      <c r="BL231" s="225"/>
      <c r="BM231" s="225"/>
      <c r="BN231" s="225"/>
      <c r="BO231" s="225"/>
      <c r="BP231" s="225"/>
      <c r="BQ231" s="225"/>
    </row>
    <row r="232" spans="41:69" x14ac:dyDescent="0.25">
      <c r="AO232"/>
      <c r="AS232"/>
      <c r="BC232" s="225"/>
      <c r="BD232" s="225"/>
      <c r="BE232" s="225"/>
      <c r="BF232" s="225"/>
      <c r="BG232" s="225"/>
      <c r="BH232" s="225"/>
      <c r="BI232" s="225"/>
      <c r="BJ232" s="225"/>
      <c r="BK232" s="225"/>
      <c r="BL232" s="225"/>
      <c r="BM232" s="225"/>
      <c r="BN232" s="225"/>
      <c r="BO232" s="225"/>
      <c r="BP232" s="225"/>
      <c r="BQ232" s="225"/>
    </row>
    <row r="233" spans="41:69" x14ac:dyDescent="0.25">
      <c r="AO233"/>
      <c r="AS233"/>
      <c r="BC233" s="225"/>
      <c r="BD233" s="225"/>
      <c r="BE233" s="225"/>
      <c r="BF233" s="225"/>
      <c r="BG233" s="225"/>
      <c r="BH233" s="225"/>
      <c r="BI233" s="225"/>
      <c r="BJ233" s="225"/>
      <c r="BK233" s="225"/>
      <c r="BL233" s="225"/>
      <c r="BM233" s="225"/>
      <c r="BN233" s="225"/>
      <c r="BO233" s="225"/>
      <c r="BP233" s="225"/>
      <c r="BQ233" s="225"/>
    </row>
    <row r="234" spans="41:69" x14ac:dyDescent="0.25">
      <c r="AO234"/>
      <c r="AS234"/>
      <c r="BC234" s="225"/>
      <c r="BD234" s="225"/>
      <c r="BE234" s="225"/>
      <c r="BF234" s="225"/>
      <c r="BG234" s="225"/>
      <c r="BH234" s="225"/>
      <c r="BI234" s="225"/>
      <c r="BJ234" s="225"/>
      <c r="BK234" s="225"/>
      <c r="BL234" s="225"/>
      <c r="BM234" s="225"/>
      <c r="BN234" s="225"/>
      <c r="BO234" s="225"/>
      <c r="BP234" s="225"/>
      <c r="BQ234" s="225"/>
    </row>
    <row r="235" spans="41:69" x14ac:dyDescent="0.25">
      <c r="AO235"/>
      <c r="AS235"/>
      <c r="BC235" s="225"/>
      <c r="BD235" s="225"/>
      <c r="BE235" s="225"/>
      <c r="BF235" s="225"/>
      <c r="BG235" s="225"/>
      <c r="BH235" s="225"/>
      <c r="BI235" s="225"/>
      <c r="BJ235" s="225"/>
      <c r="BK235" s="225"/>
      <c r="BL235" s="225"/>
      <c r="BM235" s="225"/>
      <c r="BN235" s="225"/>
      <c r="BO235" s="225"/>
      <c r="BP235" s="225"/>
      <c r="BQ235" s="225"/>
    </row>
    <row r="236" spans="41:69" x14ac:dyDescent="0.25">
      <c r="AO236"/>
      <c r="AS236"/>
      <c r="BC236" s="225"/>
      <c r="BD236" s="225"/>
      <c r="BE236" s="225"/>
      <c r="BF236" s="225"/>
      <c r="BG236" s="225"/>
      <c r="BH236" s="225"/>
      <c r="BI236" s="225"/>
      <c r="BJ236" s="225"/>
      <c r="BK236" s="225"/>
      <c r="BL236" s="225"/>
      <c r="BM236" s="225"/>
      <c r="BN236" s="225"/>
      <c r="BO236" s="225"/>
      <c r="BP236" s="225"/>
      <c r="BQ236" s="225"/>
    </row>
    <row r="237" spans="41:69" x14ac:dyDescent="0.25">
      <c r="AO237"/>
      <c r="AS237"/>
      <c r="BC237" s="225"/>
      <c r="BD237" s="225"/>
      <c r="BE237" s="225"/>
      <c r="BF237" s="225"/>
      <c r="BG237" s="225"/>
      <c r="BH237" s="225"/>
      <c r="BI237" s="225"/>
      <c r="BJ237" s="225"/>
      <c r="BK237" s="225"/>
      <c r="BL237" s="225"/>
      <c r="BM237" s="225"/>
      <c r="BN237" s="225"/>
      <c r="BO237" s="225"/>
      <c r="BP237" s="225"/>
      <c r="BQ237" s="225"/>
    </row>
    <row r="238" spans="41:69" x14ac:dyDescent="0.25">
      <c r="AO238"/>
      <c r="AS238"/>
      <c r="BC238" s="225"/>
      <c r="BD238" s="225"/>
      <c r="BE238" s="225"/>
      <c r="BF238" s="225"/>
      <c r="BG238" s="225"/>
      <c r="BH238" s="225"/>
      <c r="BI238" s="225"/>
      <c r="BJ238" s="225"/>
      <c r="BK238" s="225"/>
      <c r="BL238" s="225"/>
      <c r="BM238" s="225"/>
      <c r="BN238" s="225"/>
      <c r="BO238" s="225"/>
      <c r="BP238" s="225"/>
      <c r="BQ238" s="225"/>
    </row>
    <row r="239" spans="41:69" x14ac:dyDescent="0.25">
      <c r="AO239"/>
      <c r="AS239"/>
      <c r="BC239" s="225"/>
      <c r="BD239" s="225"/>
      <c r="BE239" s="225"/>
      <c r="BF239" s="225"/>
      <c r="BG239" s="225"/>
      <c r="BH239" s="225"/>
      <c r="BI239" s="225"/>
      <c r="BJ239" s="225"/>
      <c r="BK239" s="225"/>
      <c r="BL239" s="225"/>
      <c r="BM239" s="225"/>
      <c r="BN239" s="225"/>
      <c r="BO239" s="225"/>
      <c r="BP239" s="225"/>
      <c r="BQ239" s="225"/>
    </row>
    <row r="240" spans="41:69" x14ac:dyDescent="0.25">
      <c r="AO240"/>
      <c r="AS240"/>
      <c r="BC240" s="225"/>
      <c r="BD240" s="225"/>
      <c r="BE240" s="225"/>
      <c r="BF240" s="225"/>
      <c r="BG240" s="225"/>
      <c r="BH240" s="225"/>
      <c r="BI240" s="225"/>
      <c r="BJ240" s="225"/>
      <c r="BK240" s="225"/>
      <c r="BL240" s="225"/>
      <c r="BM240" s="225"/>
      <c r="BN240" s="225"/>
      <c r="BO240" s="225"/>
      <c r="BP240" s="225"/>
      <c r="BQ240" s="225"/>
    </row>
    <row r="241" spans="41:69" x14ac:dyDescent="0.25">
      <c r="AO241"/>
      <c r="AS241"/>
      <c r="BC241" s="225"/>
      <c r="BD241" s="225"/>
      <c r="BE241" s="225"/>
      <c r="BF241" s="225"/>
      <c r="BG241" s="225"/>
      <c r="BH241" s="225"/>
      <c r="BI241" s="225"/>
      <c r="BJ241" s="225"/>
      <c r="BK241" s="225"/>
      <c r="BL241" s="225"/>
      <c r="BM241" s="225"/>
      <c r="BN241" s="225"/>
      <c r="BO241" s="225"/>
      <c r="BP241" s="225"/>
      <c r="BQ241" s="225"/>
    </row>
    <row r="242" spans="41:69" x14ac:dyDescent="0.25">
      <c r="AO242"/>
      <c r="AS242"/>
      <c r="BC242" s="225"/>
      <c r="BD242" s="225"/>
      <c r="BE242" s="225"/>
      <c r="BF242" s="225"/>
      <c r="BG242" s="225"/>
      <c r="BH242" s="225"/>
      <c r="BI242" s="225"/>
      <c r="BJ242" s="225"/>
      <c r="BK242" s="225"/>
      <c r="BL242" s="225"/>
      <c r="BM242" s="225"/>
      <c r="BN242" s="225"/>
      <c r="BO242" s="225"/>
      <c r="BP242" s="225"/>
      <c r="BQ242" s="225"/>
    </row>
    <row r="243" spans="41:69" x14ac:dyDescent="0.25">
      <c r="AO243"/>
      <c r="AS243"/>
      <c r="BC243" s="225"/>
      <c r="BD243" s="225"/>
      <c r="BE243" s="225"/>
      <c r="BF243" s="225"/>
      <c r="BG243" s="225"/>
      <c r="BH243" s="225"/>
      <c r="BI243" s="225"/>
      <c r="BJ243" s="225"/>
      <c r="BK243" s="225"/>
      <c r="BL243" s="225"/>
      <c r="BM243" s="225"/>
      <c r="BN243" s="225"/>
      <c r="BO243" s="225"/>
      <c r="BP243" s="225"/>
      <c r="BQ243" s="225"/>
    </row>
    <row r="244" spans="41:69" x14ac:dyDescent="0.25">
      <c r="AO244"/>
      <c r="AS244"/>
      <c r="BC244" s="225"/>
      <c r="BD244" s="225"/>
      <c r="BE244" s="225"/>
      <c r="BF244" s="225"/>
      <c r="BG244" s="225"/>
      <c r="BH244" s="225"/>
      <c r="BI244" s="225"/>
      <c r="BJ244" s="225"/>
      <c r="BK244" s="225"/>
      <c r="BL244" s="225"/>
      <c r="BM244" s="225"/>
      <c r="BN244" s="225"/>
      <c r="BO244" s="225"/>
      <c r="BP244" s="225"/>
      <c r="BQ244" s="225"/>
    </row>
    <row r="245" spans="41:69" x14ac:dyDescent="0.25">
      <c r="AO245"/>
      <c r="AS245"/>
      <c r="BC245" s="225"/>
      <c r="BD245" s="225"/>
      <c r="BE245" s="225"/>
      <c r="BF245" s="225"/>
      <c r="BG245" s="225"/>
      <c r="BH245" s="225"/>
      <c r="BI245" s="225"/>
      <c r="BJ245" s="225"/>
      <c r="BK245" s="225"/>
      <c r="BL245" s="225"/>
      <c r="BM245" s="225"/>
      <c r="BN245" s="225"/>
      <c r="BO245" s="225"/>
      <c r="BP245" s="225"/>
      <c r="BQ245" s="225"/>
    </row>
    <row r="246" spans="41:69" x14ac:dyDescent="0.25">
      <c r="AO246"/>
      <c r="AS246"/>
      <c r="BC246" s="225"/>
      <c r="BD246" s="225"/>
      <c r="BE246" s="225"/>
      <c r="BF246" s="225"/>
      <c r="BG246" s="225"/>
      <c r="BH246" s="225"/>
      <c r="BI246" s="225"/>
      <c r="BJ246" s="225"/>
      <c r="BK246" s="225"/>
      <c r="BL246" s="225"/>
      <c r="BM246" s="225"/>
      <c r="BN246" s="225"/>
      <c r="BO246" s="225"/>
      <c r="BP246" s="225"/>
      <c r="BQ246" s="225"/>
    </row>
    <row r="247" spans="41:69" x14ac:dyDescent="0.25">
      <c r="AO247"/>
      <c r="AS247"/>
      <c r="BC247" s="225"/>
      <c r="BD247" s="225"/>
      <c r="BE247" s="225"/>
      <c r="BF247" s="225"/>
      <c r="BG247" s="225"/>
      <c r="BH247" s="225"/>
      <c r="BI247" s="225"/>
      <c r="BJ247" s="225"/>
      <c r="BK247" s="225"/>
      <c r="BL247" s="225"/>
      <c r="BM247" s="225"/>
      <c r="BN247" s="225"/>
      <c r="BO247" s="225"/>
      <c r="BP247" s="225"/>
      <c r="BQ247" s="225"/>
    </row>
    <row r="248" spans="41:69" x14ac:dyDescent="0.25">
      <c r="AO248"/>
      <c r="AS248"/>
      <c r="BC248" s="225"/>
      <c r="BD248" s="225"/>
      <c r="BE248" s="225"/>
      <c r="BF248" s="225"/>
      <c r="BG248" s="225"/>
      <c r="BH248" s="225"/>
      <c r="BI248" s="225"/>
      <c r="BJ248" s="225"/>
      <c r="BK248" s="225"/>
      <c r="BL248" s="225"/>
      <c r="BM248" s="225"/>
      <c r="BN248" s="225"/>
      <c r="BO248" s="225"/>
      <c r="BP248" s="225"/>
      <c r="BQ248" s="225"/>
    </row>
    <row r="249" spans="41:69" x14ac:dyDescent="0.25">
      <c r="AO249"/>
      <c r="AS249"/>
      <c r="BC249" s="225"/>
      <c r="BD249" s="225"/>
      <c r="BE249" s="225"/>
      <c r="BF249" s="225"/>
      <c r="BG249" s="225"/>
      <c r="BH249" s="225"/>
      <c r="BI249" s="225"/>
      <c r="BJ249" s="225"/>
      <c r="BK249" s="225"/>
      <c r="BL249" s="225"/>
      <c r="BM249" s="225"/>
      <c r="BN249" s="225"/>
      <c r="BO249" s="225"/>
      <c r="BP249" s="225"/>
      <c r="BQ249" s="225"/>
    </row>
    <row r="250" spans="41:69" x14ac:dyDescent="0.25">
      <c r="AO250"/>
      <c r="AS250"/>
      <c r="BC250" s="225"/>
      <c r="BD250" s="225"/>
      <c r="BE250" s="225"/>
      <c r="BF250" s="225"/>
      <c r="BG250" s="225"/>
      <c r="BH250" s="225"/>
      <c r="BI250" s="225"/>
      <c r="BJ250" s="225"/>
      <c r="BK250" s="225"/>
      <c r="BL250" s="225"/>
      <c r="BM250" s="225"/>
      <c r="BN250" s="225"/>
      <c r="BO250" s="225"/>
      <c r="BP250" s="225"/>
      <c r="BQ250" s="225"/>
    </row>
    <row r="251" spans="41:69" x14ac:dyDescent="0.25">
      <c r="AO251"/>
      <c r="AS251"/>
      <c r="BC251" s="225"/>
      <c r="BD251" s="225"/>
      <c r="BE251" s="225"/>
      <c r="BF251" s="225"/>
      <c r="BG251" s="225"/>
      <c r="BH251" s="225"/>
      <c r="BI251" s="225"/>
      <c r="BJ251" s="225"/>
      <c r="BK251" s="225"/>
      <c r="BL251" s="225"/>
      <c r="BM251" s="225"/>
      <c r="BN251" s="225"/>
      <c r="BO251" s="225"/>
      <c r="BP251" s="225"/>
      <c r="BQ251" s="225"/>
    </row>
    <row r="252" spans="41:69" x14ac:dyDescent="0.25">
      <c r="AO252"/>
      <c r="AS252"/>
      <c r="BC252" s="225"/>
      <c r="BD252" s="225"/>
      <c r="BE252" s="225"/>
      <c r="BF252" s="225"/>
      <c r="BG252" s="225"/>
      <c r="BH252" s="225"/>
      <c r="BI252" s="225"/>
      <c r="BJ252" s="225"/>
      <c r="BK252" s="225"/>
      <c r="BL252" s="225"/>
      <c r="BM252" s="225"/>
      <c r="BN252" s="225"/>
      <c r="BO252" s="225"/>
      <c r="BP252" s="225"/>
      <c r="BQ252" s="225"/>
    </row>
    <row r="253" spans="41:69" x14ac:dyDescent="0.25">
      <c r="AO253"/>
      <c r="AS253"/>
      <c r="BC253" s="225"/>
      <c r="BD253" s="225"/>
      <c r="BE253" s="225"/>
      <c r="BF253" s="225"/>
      <c r="BG253" s="225"/>
      <c r="BH253" s="225"/>
      <c r="BI253" s="225"/>
      <c r="BJ253" s="225"/>
      <c r="BK253" s="225"/>
      <c r="BL253" s="225"/>
      <c r="BM253" s="225"/>
      <c r="BN253" s="225"/>
      <c r="BO253" s="225"/>
      <c r="BP253" s="225"/>
      <c r="BQ253" s="225"/>
    </row>
    <row r="254" spans="41:69" x14ac:dyDescent="0.25">
      <c r="AO254"/>
      <c r="AS254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</row>
    <row r="255" spans="41:69" x14ac:dyDescent="0.25">
      <c r="AO255"/>
      <c r="AS25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</row>
    <row r="256" spans="41:69" x14ac:dyDescent="0.25">
      <c r="AO256"/>
      <c r="AS256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</row>
    <row r="257" spans="41:69" x14ac:dyDescent="0.25">
      <c r="AO257"/>
      <c r="AS257"/>
      <c r="BC257" s="225"/>
      <c r="BD257" s="225"/>
      <c r="BE257" s="225"/>
      <c r="BF257" s="225"/>
      <c r="BG257" s="225"/>
      <c r="BH257" s="225"/>
      <c r="BI257" s="225"/>
      <c r="BJ257" s="225"/>
      <c r="BK257" s="225"/>
      <c r="BL257" s="225"/>
      <c r="BM257" s="225"/>
      <c r="BN257" s="225"/>
      <c r="BO257" s="225"/>
      <c r="BP257" s="225"/>
      <c r="BQ257" s="225"/>
    </row>
    <row r="258" spans="41:69" x14ac:dyDescent="0.25">
      <c r="AO258"/>
      <c r="AS258"/>
      <c r="BC258" s="225"/>
      <c r="BD258" s="225"/>
      <c r="BE258" s="225"/>
      <c r="BF258" s="225"/>
      <c r="BG258" s="225"/>
      <c r="BH258" s="225"/>
      <c r="BI258" s="225"/>
      <c r="BJ258" s="225"/>
      <c r="BK258" s="225"/>
      <c r="BL258" s="225"/>
      <c r="BM258" s="225"/>
      <c r="BN258" s="225"/>
      <c r="BO258" s="225"/>
      <c r="BP258" s="225"/>
      <c r="BQ258" s="225"/>
    </row>
    <row r="259" spans="41:69" x14ac:dyDescent="0.25">
      <c r="AO259"/>
      <c r="AS259"/>
      <c r="BC259" s="225"/>
      <c r="BD259" s="225"/>
      <c r="BE259" s="225"/>
      <c r="BF259" s="225"/>
      <c r="BG259" s="225"/>
      <c r="BH259" s="225"/>
      <c r="BI259" s="225"/>
      <c r="BJ259" s="225"/>
      <c r="BK259" s="225"/>
      <c r="BL259" s="225"/>
      <c r="BM259" s="225"/>
      <c r="BN259" s="225"/>
      <c r="BO259" s="225"/>
      <c r="BP259" s="225"/>
      <c r="BQ259" s="225"/>
    </row>
    <row r="260" spans="41:69" x14ac:dyDescent="0.25">
      <c r="AO260"/>
      <c r="AS260"/>
      <c r="BC260" s="225"/>
      <c r="BD260" s="225"/>
      <c r="BE260" s="225"/>
      <c r="BF260" s="225"/>
      <c r="BG260" s="225"/>
      <c r="BH260" s="225"/>
      <c r="BI260" s="225"/>
      <c r="BJ260" s="225"/>
      <c r="BK260" s="225"/>
      <c r="BL260" s="225"/>
      <c r="BM260" s="225"/>
      <c r="BN260" s="225"/>
      <c r="BO260" s="225"/>
      <c r="BP260" s="225"/>
      <c r="BQ260" s="225"/>
    </row>
    <row r="261" spans="41:69" x14ac:dyDescent="0.25">
      <c r="AO261"/>
      <c r="AS261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</row>
    <row r="262" spans="41:69" x14ac:dyDescent="0.25">
      <c r="AO262"/>
      <c r="AS262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</row>
    <row r="263" spans="41:69" x14ac:dyDescent="0.25">
      <c r="AO263"/>
      <c r="AS263"/>
      <c r="BC263" s="225"/>
      <c r="BD263" s="225"/>
      <c r="BE263" s="225"/>
      <c r="BF263" s="225"/>
      <c r="BG263" s="225"/>
      <c r="BH263" s="225"/>
      <c r="BI263" s="225"/>
      <c r="BJ263" s="225"/>
      <c r="BK263" s="225"/>
      <c r="BL263" s="225"/>
      <c r="BM263" s="225"/>
      <c r="BN263" s="225"/>
      <c r="BO263" s="225"/>
      <c r="BP263" s="225"/>
      <c r="BQ263" s="225"/>
    </row>
    <row r="264" spans="41:69" x14ac:dyDescent="0.25">
      <c r="AO264"/>
      <c r="AS264"/>
      <c r="BC264" s="225"/>
      <c r="BD264" s="225"/>
      <c r="BE264" s="225"/>
      <c r="BF264" s="225"/>
      <c r="BG264" s="225"/>
      <c r="BH264" s="225"/>
      <c r="BI264" s="225"/>
      <c r="BJ264" s="225"/>
      <c r="BK264" s="225"/>
      <c r="BL264" s="225"/>
      <c r="BM264" s="225"/>
      <c r="BN264" s="225"/>
      <c r="BO264" s="225"/>
      <c r="BP264" s="225"/>
      <c r="BQ264" s="225"/>
    </row>
    <row r="265" spans="41:69" x14ac:dyDescent="0.25">
      <c r="AO265"/>
      <c r="AS265"/>
      <c r="BC265" s="225"/>
      <c r="BD265" s="225"/>
      <c r="BE265" s="225"/>
      <c r="BF265" s="225"/>
      <c r="BG265" s="225"/>
      <c r="BH265" s="225"/>
      <c r="BI265" s="225"/>
      <c r="BJ265" s="225"/>
      <c r="BK265" s="225"/>
      <c r="BL265" s="225"/>
      <c r="BM265" s="225"/>
      <c r="BN265" s="225"/>
      <c r="BO265" s="225"/>
      <c r="BP265" s="225"/>
      <c r="BQ265" s="225"/>
    </row>
    <row r="266" spans="41:69" x14ac:dyDescent="0.25">
      <c r="AO266"/>
      <c r="AS266"/>
      <c r="BC266" s="225"/>
      <c r="BD266" s="225"/>
      <c r="BE266" s="225"/>
      <c r="BF266" s="225"/>
      <c r="BG266" s="225"/>
      <c r="BH266" s="225"/>
      <c r="BI266" s="225"/>
      <c r="BJ266" s="225"/>
      <c r="BK266" s="225"/>
      <c r="BL266" s="225"/>
      <c r="BM266" s="225"/>
      <c r="BN266" s="225"/>
      <c r="BO266" s="225"/>
      <c r="BP266" s="225"/>
      <c r="BQ266" s="225"/>
    </row>
    <row r="267" spans="41:69" x14ac:dyDescent="0.25">
      <c r="AO267"/>
      <c r="AS267"/>
      <c r="BC267" s="225"/>
      <c r="BD267" s="225"/>
      <c r="BE267" s="225"/>
      <c r="BF267" s="225"/>
      <c r="BG267" s="225"/>
      <c r="BH267" s="225"/>
      <c r="BI267" s="225"/>
      <c r="BJ267" s="225"/>
      <c r="BK267" s="225"/>
      <c r="BL267" s="225"/>
      <c r="BM267" s="225"/>
      <c r="BN267" s="225"/>
      <c r="BO267" s="225"/>
      <c r="BP267" s="225"/>
      <c r="BQ267" s="225"/>
    </row>
    <row r="268" spans="41:69" x14ac:dyDescent="0.25">
      <c r="AO268"/>
      <c r="AS268"/>
      <c r="BC268" s="225"/>
      <c r="BD268" s="225"/>
      <c r="BE268" s="225"/>
      <c r="BF268" s="225"/>
      <c r="BG268" s="225"/>
      <c r="BH268" s="225"/>
      <c r="BI268" s="225"/>
      <c r="BJ268" s="225"/>
      <c r="BK268" s="225"/>
      <c r="BL268" s="225"/>
      <c r="BM268" s="225"/>
      <c r="BN268" s="225"/>
      <c r="BO268" s="225"/>
      <c r="BP268" s="225"/>
      <c r="BQ268" s="225"/>
    </row>
    <row r="269" spans="41:69" x14ac:dyDescent="0.25">
      <c r="AO269"/>
      <c r="AS269"/>
      <c r="BC269" s="225"/>
      <c r="BD269" s="225"/>
      <c r="BE269" s="225"/>
      <c r="BF269" s="225"/>
      <c r="BG269" s="225"/>
      <c r="BH269" s="225"/>
      <c r="BI269" s="225"/>
      <c r="BJ269" s="225"/>
      <c r="BK269" s="225"/>
      <c r="BL269" s="225"/>
      <c r="BM269" s="225"/>
      <c r="BN269" s="225"/>
      <c r="BO269" s="225"/>
      <c r="BP269" s="225"/>
      <c r="BQ269" s="225"/>
    </row>
    <row r="270" spans="41:69" x14ac:dyDescent="0.25">
      <c r="AO270"/>
      <c r="AS270"/>
      <c r="BC270" s="225"/>
      <c r="BD270" s="225"/>
      <c r="BE270" s="225"/>
      <c r="BF270" s="225"/>
      <c r="BG270" s="225"/>
      <c r="BH270" s="225"/>
      <c r="BI270" s="225"/>
      <c r="BJ270" s="225"/>
      <c r="BK270" s="225"/>
      <c r="BL270" s="225"/>
      <c r="BM270" s="225"/>
      <c r="BN270" s="225"/>
      <c r="BO270" s="225"/>
      <c r="BP270" s="225"/>
      <c r="BQ270" s="225"/>
    </row>
    <row r="271" spans="41:69" x14ac:dyDescent="0.25">
      <c r="AO271"/>
      <c r="AS271"/>
      <c r="BC271" s="225"/>
      <c r="BD271" s="225"/>
      <c r="BE271" s="225"/>
      <c r="BF271" s="225"/>
      <c r="BG271" s="225"/>
      <c r="BH271" s="225"/>
      <c r="BI271" s="225"/>
      <c r="BJ271" s="225"/>
      <c r="BK271" s="225"/>
      <c r="BL271" s="225"/>
      <c r="BM271" s="225"/>
      <c r="BN271" s="225"/>
      <c r="BO271" s="225"/>
      <c r="BP271" s="225"/>
      <c r="BQ271" s="225"/>
    </row>
    <row r="272" spans="41:69" x14ac:dyDescent="0.25">
      <c r="AO272"/>
      <c r="AS272"/>
      <c r="BC272" s="225"/>
      <c r="BD272" s="225"/>
      <c r="BE272" s="225"/>
      <c r="BF272" s="225"/>
      <c r="BG272" s="225"/>
      <c r="BH272" s="225"/>
      <c r="BI272" s="225"/>
      <c r="BJ272" s="225"/>
      <c r="BK272" s="225"/>
      <c r="BL272" s="225"/>
      <c r="BM272" s="225"/>
      <c r="BN272" s="225"/>
      <c r="BO272" s="225"/>
      <c r="BP272" s="225"/>
      <c r="BQ272" s="225"/>
    </row>
    <row r="273" spans="41:69" x14ac:dyDescent="0.25">
      <c r="AO273"/>
      <c r="AS273"/>
      <c r="BC273" s="225"/>
      <c r="BD273" s="225"/>
      <c r="BE273" s="225"/>
      <c r="BF273" s="225"/>
      <c r="BG273" s="225"/>
      <c r="BH273" s="225"/>
      <c r="BI273" s="225"/>
      <c r="BJ273" s="225"/>
      <c r="BK273" s="225"/>
      <c r="BL273" s="225"/>
      <c r="BM273" s="225"/>
      <c r="BN273" s="225"/>
      <c r="BO273" s="225"/>
      <c r="BP273" s="225"/>
      <c r="BQ273" s="225"/>
    </row>
    <row r="274" spans="41:69" x14ac:dyDescent="0.25">
      <c r="AO274"/>
      <c r="AS274"/>
      <c r="BC274" s="225"/>
      <c r="BD274" s="225"/>
      <c r="BE274" s="225"/>
      <c r="BF274" s="225"/>
      <c r="BG274" s="225"/>
      <c r="BH274" s="225"/>
      <c r="BI274" s="225"/>
      <c r="BJ274" s="225"/>
      <c r="BK274" s="225"/>
      <c r="BL274" s="225"/>
      <c r="BM274" s="225"/>
      <c r="BN274" s="225"/>
      <c r="BO274" s="225"/>
      <c r="BP274" s="225"/>
      <c r="BQ274" s="225"/>
    </row>
    <row r="275" spans="41:69" x14ac:dyDescent="0.25">
      <c r="AO275"/>
      <c r="AS275"/>
      <c r="BC275" s="225"/>
      <c r="BD275" s="225"/>
      <c r="BE275" s="225"/>
      <c r="BF275" s="225"/>
      <c r="BG275" s="225"/>
      <c r="BH275" s="225"/>
      <c r="BI275" s="225"/>
      <c r="BJ275" s="225"/>
      <c r="BK275" s="225"/>
      <c r="BL275" s="225"/>
      <c r="BM275" s="225"/>
      <c r="BN275" s="225"/>
      <c r="BO275" s="225"/>
      <c r="BP275" s="225"/>
      <c r="BQ275" s="225"/>
    </row>
    <row r="276" spans="41:69" x14ac:dyDescent="0.25">
      <c r="AO276"/>
      <c r="AS276"/>
      <c r="BC276" s="225"/>
      <c r="BD276" s="225"/>
      <c r="BE276" s="225"/>
      <c r="BF276" s="225"/>
      <c r="BG276" s="225"/>
      <c r="BH276" s="225"/>
      <c r="BI276" s="225"/>
      <c r="BJ276" s="225"/>
      <c r="BK276" s="225"/>
      <c r="BL276" s="225"/>
      <c r="BM276" s="225"/>
      <c r="BN276" s="225"/>
      <c r="BO276" s="225"/>
      <c r="BP276" s="225"/>
      <c r="BQ276" s="225"/>
    </row>
    <row r="277" spans="41:69" x14ac:dyDescent="0.25">
      <c r="AO277"/>
      <c r="AS277"/>
      <c r="BC277" s="225"/>
      <c r="BD277" s="225"/>
      <c r="BE277" s="225"/>
      <c r="BF277" s="225"/>
      <c r="BG277" s="225"/>
      <c r="BH277" s="225"/>
      <c r="BI277" s="225"/>
      <c r="BJ277" s="225"/>
      <c r="BK277" s="225"/>
      <c r="BL277" s="225"/>
      <c r="BM277" s="225"/>
      <c r="BN277" s="225"/>
      <c r="BO277" s="225"/>
      <c r="BP277" s="225"/>
      <c r="BQ277" s="225"/>
    </row>
    <row r="278" spans="41:69" x14ac:dyDescent="0.25">
      <c r="AO278"/>
      <c r="AS278"/>
      <c r="BC278" s="225"/>
      <c r="BD278" s="225"/>
      <c r="BE278" s="225"/>
      <c r="BF278" s="225"/>
      <c r="BG278" s="225"/>
      <c r="BH278" s="225"/>
      <c r="BI278" s="225"/>
      <c r="BJ278" s="225"/>
      <c r="BK278" s="225"/>
      <c r="BL278" s="225"/>
      <c r="BM278" s="225"/>
      <c r="BN278" s="225"/>
      <c r="BO278" s="225"/>
      <c r="BP278" s="225"/>
      <c r="BQ278" s="225"/>
    </row>
    <row r="279" spans="41:69" x14ac:dyDescent="0.25">
      <c r="AO279"/>
      <c r="AS279"/>
      <c r="BC279" s="225"/>
      <c r="BD279" s="225"/>
      <c r="BE279" s="225"/>
      <c r="BF279" s="225"/>
      <c r="BG279" s="225"/>
      <c r="BH279" s="225"/>
      <c r="BI279" s="225"/>
      <c r="BJ279" s="225"/>
      <c r="BK279" s="225"/>
      <c r="BL279" s="225"/>
      <c r="BM279" s="225"/>
      <c r="BN279" s="225"/>
      <c r="BO279" s="225"/>
      <c r="BP279" s="225"/>
      <c r="BQ279" s="225"/>
    </row>
    <row r="280" spans="41:69" x14ac:dyDescent="0.25">
      <c r="AO280"/>
      <c r="AS280"/>
      <c r="BC280" s="225"/>
      <c r="BD280" s="225"/>
      <c r="BE280" s="225"/>
      <c r="BF280" s="225"/>
      <c r="BG280" s="225"/>
      <c r="BH280" s="225"/>
      <c r="BI280" s="225"/>
      <c r="BJ280" s="225"/>
      <c r="BK280" s="225"/>
      <c r="BL280" s="225"/>
      <c r="BM280" s="225"/>
      <c r="BN280" s="225"/>
      <c r="BO280" s="225"/>
      <c r="BP280" s="225"/>
      <c r="BQ280" s="225"/>
    </row>
    <row r="281" spans="41:69" x14ac:dyDescent="0.25">
      <c r="AO281"/>
      <c r="AS281"/>
      <c r="BC281" s="225"/>
      <c r="BD281" s="225"/>
      <c r="BE281" s="225"/>
      <c r="BF281" s="225"/>
      <c r="BG281" s="225"/>
      <c r="BH281" s="225"/>
      <c r="BI281" s="225"/>
      <c r="BJ281" s="225"/>
      <c r="BK281" s="225"/>
      <c r="BL281" s="225"/>
      <c r="BM281" s="225"/>
      <c r="BN281" s="225"/>
      <c r="BO281" s="225"/>
      <c r="BP281" s="225"/>
      <c r="BQ281" s="225"/>
    </row>
    <row r="282" spans="41:69" x14ac:dyDescent="0.25">
      <c r="AO282"/>
      <c r="AS282"/>
      <c r="BC282" s="225"/>
      <c r="BD282" s="225"/>
      <c r="BE282" s="225"/>
      <c r="BF282" s="225"/>
      <c r="BG282" s="225"/>
      <c r="BH282" s="225"/>
      <c r="BI282" s="225"/>
      <c r="BJ282" s="225"/>
      <c r="BK282" s="225"/>
      <c r="BL282" s="225"/>
      <c r="BM282" s="225"/>
      <c r="BN282" s="225"/>
      <c r="BO282" s="225"/>
      <c r="BP282" s="225"/>
      <c r="BQ282" s="225"/>
    </row>
    <row r="283" spans="41:69" x14ac:dyDescent="0.25">
      <c r="AO283"/>
      <c r="AS283"/>
      <c r="BC283" s="225"/>
      <c r="BD283" s="225"/>
      <c r="BE283" s="225"/>
      <c r="BF283" s="225"/>
      <c r="BG283" s="225"/>
      <c r="BH283" s="225"/>
      <c r="BI283" s="225"/>
      <c r="BJ283" s="225"/>
      <c r="BK283" s="225"/>
      <c r="BL283" s="225"/>
      <c r="BM283" s="225"/>
      <c r="BN283" s="225"/>
      <c r="BO283" s="225"/>
      <c r="BP283" s="225"/>
      <c r="BQ283" s="225"/>
    </row>
    <row r="284" spans="41:69" x14ac:dyDescent="0.25">
      <c r="AO284"/>
      <c r="AS284"/>
      <c r="BC284" s="225"/>
      <c r="BD284" s="225"/>
      <c r="BE284" s="225"/>
      <c r="BF284" s="225"/>
      <c r="BG284" s="225"/>
      <c r="BH284" s="225"/>
      <c r="BI284" s="225"/>
      <c r="BJ284" s="225"/>
      <c r="BK284" s="225"/>
      <c r="BL284" s="225"/>
      <c r="BM284" s="225"/>
      <c r="BN284" s="225"/>
      <c r="BO284" s="225"/>
      <c r="BP284" s="225"/>
      <c r="BQ284" s="225"/>
    </row>
    <row r="285" spans="41:69" x14ac:dyDescent="0.25">
      <c r="AO285"/>
      <c r="AS285"/>
      <c r="BC285" s="225"/>
      <c r="BD285" s="225"/>
      <c r="BE285" s="225"/>
      <c r="BF285" s="225"/>
      <c r="BG285" s="225"/>
      <c r="BH285" s="225"/>
      <c r="BI285" s="225"/>
      <c r="BJ285" s="225"/>
      <c r="BK285" s="225"/>
      <c r="BL285" s="225"/>
      <c r="BM285" s="225"/>
      <c r="BN285" s="225"/>
      <c r="BO285" s="225"/>
      <c r="BP285" s="225"/>
      <c r="BQ285" s="225"/>
    </row>
    <row r="286" spans="41:69" x14ac:dyDescent="0.25">
      <c r="AO286"/>
      <c r="AS286"/>
      <c r="BC286" s="225"/>
      <c r="BD286" s="225"/>
      <c r="BE286" s="225"/>
      <c r="BF286" s="225"/>
      <c r="BG286" s="225"/>
      <c r="BH286" s="225"/>
      <c r="BI286" s="225"/>
      <c r="BJ286" s="225"/>
      <c r="BK286" s="225"/>
      <c r="BL286" s="225"/>
      <c r="BM286" s="225"/>
      <c r="BN286" s="225"/>
      <c r="BO286" s="225"/>
      <c r="BP286" s="225"/>
      <c r="BQ286" s="225"/>
    </row>
    <row r="287" spans="41:69" x14ac:dyDescent="0.25">
      <c r="AO287"/>
      <c r="AS287"/>
      <c r="BC287" s="225"/>
      <c r="BD287" s="225"/>
      <c r="BE287" s="225"/>
      <c r="BF287" s="225"/>
      <c r="BG287" s="225"/>
      <c r="BH287" s="225"/>
      <c r="BI287" s="225"/>
      <c r="BJ287" s="225"/>
      <c r="BK287" s="225"/>
      <c r="BL287" s="225"/>
      <c r="BM287" s="225"/>
      <c r="BN287" s="225"/>
      <c r="BO287" s="225"/>
      <c r="BP287" s="225"/>
      <c r="BQ287" s="225"/>
    </row>
    <row r="288" spans="41:69" x14ac:dyDescent="0.25">
      <c r="AO288"/>
      <c r="AS288"/>
      <c r="BC288" s="225"/>
      <c r="BD288" s="225"/>
      <c r="BE288" s="225"/>
      <c r="BF288" s="225"/>
      <c r="BG288" s="225"/>
      <c r="BH288" s="225"/>
      <c r="BI288" s="225"/>
      <c r="BJ288" s="225"/>
      <c r="BK288" s="225"/>
      <c r="BL288" s="225"/>
      <c r="BM288" s="225"/>
      <c r="BN288" s="225"/>
      <c r="BO288" s="225"/>
      <c r="BP288" s="225"/>
      <c r="BQ288" s="225"/>
    </row>
    <row r="289" spans="41:69" x14ac:dyDescent="0.25">
      <c r="AO289"/>
      <c r="AS289"/>
      <c r="BC289" s="225"/>
      <c r="BD289" s="225"/>
      <c r="BE289" s="225"/>
      <c r="BF289" s="225"/>
      <c r="BG289" s="225"/>
      <c r="BH289" s="225"/>
      <c r="BI289" s="225"/>
      <c r="BJ289" s="225"/>
      <c r="BK289" s="225"/>
      <c r="BL289" s="225"/>
      <c r="BM289" s="225"/>
      <c r="BN289" s="225"/>
      <c r="BO289" s="225"/>
      <c r="BP289" s="225"/>
      <c r="BQ289" s="225"/>
    </row>
    <row r="290" spans="41:69" x14ac:dyDescent="0.25">
      <c r="AO290"/>
      <c r="AS290"/>
      <c r="BC290" s="225"/>
      <c r="BD290" s="225"/>
      <c r="BE290" s="225"/>
      <c r="BF290" s="225"/>
      <c r="BG290" s="225"/>
      <c r="BH290" s="225"/>
      <c r="BI290" s="225"/>
      <c r="BJ290" s="225"/>
      <c r="BK290" s="225"/>
      <c r="BL290" s="225"/>
      <c r="BM290" s="225"/>
      <c r="BN290" s="225"/>
      <c r="BO290" s="225"/>
      <c r="BP290" s="225"/>
      <c r="BQ290" s="225"/>
    </row>
    <row r="291" spans="41:69" x14ac:dyDescent="0.25">
      <c r="AO291"/>
      <c r="AS291"/>
      <c r="BC291" s="225"/>
      <c r="BD291" s="225"/>
      <c r="BE291" s="225"/>
      <c r="BF291" s="225"/>
      <c r="BG291" s="225"/>
      <c r="BH291" s="225"/>
      <c r="BI291" s="225"/>
      <c r="BJ291" s="225"/>
      <c r="BK291" s="225"/>
      <c r="BL291" s="225"/>
      <c r="BM291" s="225"/>
      <c r="BN291" s="225"/>
      <c r="BO291" s="225"/>
      <c r="BP291" s="225"/>
      <c r="BQ291" s="225"/>
    </row>
    <row r="292" spans="41:69" x14ac:dyDescent="0.25">
      <c r="AO292"/>
      <c r="AS292"/>
      <c r="BC292" s="225"/>
      <c r="BD292" s="225"/>
      <c r="BE292" s="225"/>
      <c r="BF292" s="225"/>
      <c r="BG292" s="225"/>
      <c r="BH292" s="225"/>
      <c r="BI292" s="225"/>
      <c r="BJ292" s="225"/>
      <c r="BK292" s="225"/>
      <c r="BL292" s="225"/>
      <c r="BM292" s="225"/>
      <c r="BN292" s="225"/>
      <c r="BO292" s="225"/>
      <c r="BP292" s="225"/>
      <c r="BQ292" s="225"/>
    </row>
    <row r="293" spans="41:69" x14ac:dyDescent="0.25">
      <c r="AO293"/>
      <c r="AS293"/>
      <c r="BC293" s="225"/>
      <c r="BD293" s="225"/>
      <c r="BE293" s="225"/>
      <c r="BF293" s="225"/>
      <c r="BG293" s="225"/>
      <c r="BH293" s="225"/>
      <c r="BI293" s="225"/>
      <c r="BJ293" s="225"/>
      <c r="BK293" s="225"/>
      <c r="BL293" s="225"/>
      <c r="BM293" s="225"/>
      <c r="BN293" s="225"/>
      <c r="BO293" s="225"/>
      <c r="BP293" s="225"/>
      <c r="BQ293" s="225"/>
    </row>
    <row r="294" spans="41:69" x14ac:dyDescent="0.25">
      <c r="AO294"/>
      <c r="AS294"/>
      <c r="BC294" s="225"/>
      <c r="BD294" s="225"/>
      <c r="BE294" s="225"/>
      <c r="BF294" s="225"/>
      <c r="BG294" s="225"/>
      <c r="BH294" s="225"/>
      <c r="BI294" s="225"/>
      <c r="BJ294" s="225"/>
      <c r="BK294" s="225"/>
      <c r="BL294" s="225"/>
      <c r="BM294" s="225"/>
      <c r="BN294" s="225"/>
      <c r="BO294" s="225"/>
      <c r="BP294" s="225"/>
      <c r="BQ294" s="225"/>
    </row>
    <row r="295" spans="41:69" x14ac:dyDescent="0.25">
      <c r="AO295"/>
      <c r="AS295"/>
      <c r="BC295" s="225"/>
      <c r="BD295" s="225"/>
      <c r="BE295" s="225"/>
      <c r="BF295" s="225"/>
      <c r="BG295" s="225"/>
      <c r="BH295" s="225"/>
      <c r="BI295" s="225"/>
      <c r="BJ295" s="225"/>
      <c r="BK295" s="225"/>
      <c r="BL295" s="225"/>
      <c r="BM295" s="225"/>
      <c r="BN295" s="225"/>
      <c r="BO295" s="225"/>
      <c r="BP295" s="225"/>
      <c r="BQ295" s="225"/>
    </row>
    <row r="296" spans="41:69" x14ac:dyDescent="0.25">
      <c r="AO296"/>
      <c r="AS296"/>
      <c r="BC296" s="225"/>
      <c r="BD296" s="225"/>
      <c r="BE296" s="225"/>
      <c r="BF296" s="225"/>
      <c r="BG296" s="225"/>
      <c r="BH296" s="225"/>
      <c r="BI296" s="225"/>
      <c r="BJ296" s="225"/>
      <c r="BK296" s="225"/>
      <c r="BL296" s="225"/>
      <c r="BM296" s="225"/>
      <c r="BN296" s="225"/>
      <c r="BO296" s="225"/>
      <c r="BP296" s="225"/>
      <c r="BQ296" s="225"/>
    </row>
    <row r="297" spans="41:69" x14ac:dyDescent="0.25">
      <c r="AO297"/>
      <c r="AS297"/>
      <c r="BC297" s="225"/>
      <c r="BD297" s="225"/>
      <c r="BE297" s="225"/>
      <c r="BF297" s="225"/>
      <c r="BG297" s="225"/>
      <c r="BH297" s="225"/>
      <c r="BI297" s="225"/>
      <c r="BJ297" s="225"/>
      <c r="BK297" s="225"/>
      <c r="BL297" s="225"/>
      <c r="BM297" s="225"/>
      <c r="BN297" s="225"/>
      <c r="BO297" s="225"/>
      <c r="BP297" s="225"/>
      <c r="BQ297" s="225"/>
    </row>
    <row r="298" spans="41:69" x14ac:dyDescent="0.25">
      <c r="AO298"/>
      <c r="AS298"/>
      <c r="BC298" s="225"/>
      <c r="BD298" s="225"/>
      <c r="BE298" s="225"/>
      <c r="BF298" s="225"/>
      <c r="BG298" s="225"/>
      <c r="BH298" s="225"/>
      <c r="BI298" s="225"/>
      <c r="BJ298" s="225"/>
      <c r="BK298" s="225"/>
      <c r="BL298" s="225"/>
      <c r="BM298" s="225"/>
      <c r="BN298" s="225"/>
      <c r="BO298" s="225"/>
      <c r="BP298" s="225"/>
      <c r="BQ298" s="225"/>
    </row>
    <row r="299" spans="41:69" x14ac:dyDescent="0.25">
      <c r="AO299"/>
      <c r="AS299"/>
      <c r="BC299" s="225"/>
      <c r="BD299" s="225"/>
      <c r="BE299" s="225"/>
      <c r="BF299" s="225"/>
      <c r="BG299" s="225"/>
      <c r="BH299" s="225"/>
      <c r="BI299" s="225"/>
      <c r="BJ299" s="225"/>
      <c r="BK299" s="225"/>
      <c r="BL299" s="225"/>
      <c r="BM299" s="225"/>
      <c r="BN299" s="225"/>
      <c r="BO299" s="225"/>
      <c r="BP299" s="225"/>
      <c r="BQ299" s="225"/>
    </row>
    <row r="300" spans="41:69" x14ac:dyDescent="0.25">
      <c r="AO300"/>
      <c r="AS300"/>
      <c r="BC300" s="225"/>
      <c r="BD300" s="225"/>
      <c r="BE300" s="225"/>
      <c r="BF300" s="225"/>
      <c r="BG300" s="225"/>
      <c r="BH300" s="225"/>
      <c r="BI300" s="225"/>
      <c r="BJ300" s="225"/>
      <c r="BK300" s="225"/>
      <c r="BL300" s="225"/>
      <c r="BM300" s="225"/>
      <c r="BN300" s="225"/>
      <c r="BO300" s="225"/>
      <c r="BP300" s="225"/>
      <c r="BQ300" s="225"/>
    </row>
    <row r="301" spans="41:69" x14ac:dyDescent="0.25">
      <c r="AO301"/>
      <c r="AS301"/>
      <c r="BC301" s="225"/>
      <c r="BD301" s="225"/>
      <c r="BE301" s="225"/>
      <c r="BF301" s="225"/>
      <c r="BG301" s="225"/>
      <c r="BH301" s="225"/>
      <c r="BI301" s="225"/>
      <c r="BJ301" s="225"/>
      <c r="BK301" s="225"/>
      <c r="BL301" s="225"/>
      <c r="BM301" s="225"/>
      <c r="BN301" s="225"/>
      <c r="BO301" s="225"/>
      <c r="BP301" s="225"/>
      <c r="BQ301" s="225"/>
    </row>
    <row r="302" spans="41:69" x14ac:dyDescent="0.25">
      <c r="AO302"/>
      <c r="AS302"/>
      <c r="BC302" s="225"/>
      <c r="BD302" s="225"/>
      <c r="BE302" s="225"/>
      <c r="BF302" s="225"/>
      <c r="BG302" s="225"/>
      <c r="BH302" s="225"/>
      <c r="BI302" s="225"/>
      <c r="BJ302" s="225"/>
      <c r="BK302" s="225"/>
      <c r="BL302" s="225"/>
      <c r="BM302" s="225"/>
      <c r="BN302" s="225"/>
      <c r="BO302" s="225"/>
      <c r="BP302" s="225"/>
      <c r="BQ302" s="225"/>
    </row>
    <row r="303" spans="41:69" x14ac:dyDescent="0.25">
      <c r="AO303"/>
      <c r="AS303"/>
      <c r="BC303" s="225"/>
      <c r="BD303" s="225"/>
      <c r="BE303" s="225"/>
      <c r="BF303" s="225"/>
      <c r="BG303" s="225"/>
      <c r="BH303" s="225"/>
      <c r="BI303" s="225"/>
      <c r="BJ303" s="225"/>
      <c r="BK303" s="225"/>
      <c r="BL303" s="225"/>
      <c r="BM303" s="225"/>
      <c r="BN303" s="225"/>
      <c r="BO303" s="225"/>
      <c r="BP303" s="225"/>
      <c r="BQ303" s="225"/>
    </row>
    <row r="304" spans="41:69" x14ac:dyDescent="0.25">
      <c r="AO304"/>
      <c r="AS304"/>
      <c r="BC304" s="225"/>
      <c r="BD304" s="225"/>
      <c r="BE304" s="225"/>
      <c r="BF304" s="225"/>
      <c r="BG304" s="225"/>
      <c r="BH304" s="225"/>
      <c r="BI304" s="225"/>
      <c r="BJ304" s="225"/>
      <c r="BK304" s="225"/>
      <c r="BL304" s="225"/>
      <c r="BM304" s="225"/>
      <c r="BN304" s="225"/>
      <c r="BO304" s="225"/>
      <c r="BP304" s="225"/>
      <c r="BQ304" s="225"/>
    </row>
    <row r="305" spans="41:69" x14ac:dyDescent="0.25">
      <c r="AO305"/>
      <c r="AS305"/>
      <c r="BC305" s="225"/>
      <c r="BD305" s="225"/>
      <c r="BE305" s="225"/>
      <c r="BF305" s="225"/>
      <c r="BG305" s="225"/>
      <c r="BH305" s="225"/>
      <c r="BI305" s="225"/>
      <c r="BJ305" s="225"/>
      <c r="BK305" s="225"/>
      <c r="BL305" s="225"/>
      <c r="BM305" s="225"/>
      <c r="BN305" s="225"/>
      <c r="BO305" s="225"/>
      <c r="BP305" s="225"/>
      <c r="BQ305" s="225"/>
    </row>
    <row r="306" spans="41:69" x14ac:dyDescent="0.25">
      <c r="AO306"/>
      <c r="AS306"/>
      <c r="BC306" s="225"/>
      <c r="BD306" s="225"/>
      <c r="BE306" s="225"/>
      <c r="BF306" s="225"/>
      <c r="BG306" s="225"/>
      <c r="BH306" s="225"/>
      <c r="BI306" s="225"/>
      <c r="BJ306" s="225"/>
      <c r="BK306" s="225"/>
      <c r="BL306" s="225"/>
      <c r="BM306" s="225"/>
      <c r="BN306" s="225"/>
      <c r="BO306" s="225"/>
      <c r="BP306" s="225"/>
      <c r="BQ306" s="225"/>
    </row>
    <row r="307" spans="41:69" x14ac:dyDescent="0.25">
      <c r="AO307"/>
      <c r="AS307"/>
      <c r="BC307" s="225"/>
      <c r="BD307" s="225"/>
      <c r="BE307" s="225"/>
      <c r="BF307" s="225"/>
      <c r="BG307" s="225"/>
      <c r="BH307" s="225"/>
      <c r="BI307" s="225"/>
      <c r="BJ307" s="225"/>
      <c r="BK307" s="225"/>
      <c r="BL307" s="225"/>
      <c r="BM307" s="225"/>
      <c r="BN307" s="225"/>
      <c r="BO307" s="225"/>
      <c r="BP307" s="225"/>
      <c r="BQ307" s="225"/>
    </row>
    <row r="308" spans="41:69" x14ac:dyDescent="0.25">
      <c r="AO308"/>
      <c r="AS308"/>
      <c r="BC308" s="225"/>
      <c r="BD308" s="225"/>
      <c r="BE308" s="225"/>
      <c r="BF308" s="225"/>
      <c r="BG308" s="225"/>
      <c r="BH308" s="225"/>
      <c r="BI308" s="225"/>
      <c r="BJ308" s="225"/>
      <c r="BK308" s="225"/>
      <c r="BL308" s="225"/>
      <c r="BM308" s="225"/>
      <c r="BN308" s="225"/>
      <c r="BO308" s="225"/>
      <c r="BP308" s="225"/>
      <c r="BQ308" s="225"/>
    </row>
    <row r="309" spans="41:69" x14ac:dyDescent="0.25">
      <c r="AO309"/>
      <c r="AS309"/>
      <c r="BC309" s="225"/>
      <c r="BD309" s="225"/>
      <c r="BE309" s="225"/>
      <c r="BF309" s="225"/>
      <c r="BG309" s="225"/>
      <c r="BH309" s="225"/>
      <c r="BI309" s="225"/>
      <c r="BJ309" s="225"/>
      <c r="BK309" s="225"/>
      <c r="BL309" s="225"/>
      <c r="BM309" s="225"/>
      <c r="BN309" s="225"/>
      <c r="BO309" s="225"/>
      <c r="BP309" s="225"/>
      <c r="BQ309" s="225"/>
    </row>
    <row r="310" spans="41:69" x14ac:dyDescent="0.25">
      <c r="AO310"/>
      <c r="AS310"/>
      <c r="BC310" s="225"/>
      <c r="BD310" s="225"/>
      <c r="BE310" s="225"/>
      <c r="BF310" s="225"/>
      <c r="BG310" s="225"/>
      <c r="BH310" s="225"/>
      <c r="BI310" s="225"/>
      <c r="BJ310" s="225"/>
      <c r="BK310" s="225"/>
      <c r="BL310" s="225"/>
      <c r="BM310" s="225"/>
      <c r="BN310" s="225"/>
      <c r="BO310" s="225"/>
      <c r="BP310" s="225"/>
      <c r="BQ310" s="225"/>
    </row>
    <row r="311" spans="41:69" x14ac:dyDescent="0.25">
      <c r="AO311"/>
      <c r="AS311"/>
      <c r="BC311" s="225"/>
      <c r="BD311" s="225"/>
      <c r="BE311" s="225"/>
      <c r="BF311" s="225"/>
      <c r="BG311" s="225"/>
      <c r="BH311" s="225"/>
      <c r="BI311" s="225"/>
      <c r="BJ311" s="225"/>
      <c r="BK311" s="225"/>
      <c r="BL311" s="225"/>
      <c r="BM311" s="225"/>
      <c r="BN311" s="225"/>
      <c r="BO311" s="225"/>
      <c r="BP311" s="225"/>
      <c r="BQ311" s="225"/>
    </row>
    <row r="312" spans="41:69" x14ac:dyDescent="0.25">
      <c r="AO312"/>
      <c r="AS312"/>
      <c r="BC312" s="225"/>
      <c r="BD312" s="225"/>
      <c r="BE312" s="225"/>
      <c r="BF312" s="225"/>
      <c r="BG312" s="225"/>
      <c r="BH312" s="225"/>
      <c r="BI312" s="225"/>
      <c r="BJ312" s="225"/>
      <c r="BK312" s="225"/>
      <c r="BL312" s="225"/>
      <c r="BM312" s="225"/>
      <c r="BN312" s="225"/>
      <c r="BO312" s="225"/>
      <c r="BP312" s="225"/>
      <c r="BQ312" s="225"/>
    </row>
    <row r="313" spans="41:69" x14ac:dyDescent="0.25">
      <c r="AO313"/>
      <c r="AS313"/>
      <c r="BC313" s="225"/>
      <c r="BD313" s="225"/>
      <c r="BE313" s="225"/>
      <c r="BF313" s="225"/>
      <c r="BG313" s="225"/>
      <c r="BH313" s="225"/>
      <c r="BI313" s="225"/>
      <c r="BJ313" s="225"/>
      <c r="BK313" s="225"/>
      <c r="BL313" s="225"/>
      <c r="BM313" s="225"/>
      <c r="BN313" s="225"/>
      <c r="BO313" s="225"/>
      <c r="BP313" s="225"/>
      <c r="BQ313" s="225"/>
    </row>
    <row r="314" spans="41:69" x14ac:dyDescent="0.25">
      <c r="AO314"/>
      <c r="AS314"/>
      <c r="BC314" s="225"/>
      <c r="BD314" s="225"/>
      <c r="BE314" s="225"/>
      <c r="BF314" s="225"/>
      <c r="BG314" s="225"/>
      <c r="BH314" s="225"/>
      <c r="BI314" s="225"/>
      <c r="BJ314" s="225"/>
      <c r="BK314" s="225"/>
      <c r="BL314" s="225"/>
      <c r="BM314" s="225"/>
      <c r="BN314" s="225"/>
      <c r="BO314" s="225"/>
      <c r="BP314" s="225"/>
      <c r="BQ314" s="225"/>
    </row>
    <row r="315" spans="41:69" x14ac:dyDescent="0.25">
      <c r="AO315"/>
      <c r="AS315"/>
      <c r="BC315" s="225"/>
      <c r="BD315" s="225"/>
      <c r="BE315" s="225"/>
      <c r="BF315" s="225"/>
      <c r="BG315" s="225"/>
      <c r="BH315" s="225"/>
      <c r="BI315" s="225"/>
      <c r="BJ315" s="225"/>
      <c r="BK315" s="225"/>
      <c r="BL315" s="225"/>
      <c r="BM315" s="225"/>
      <c r="BN315" s="225"/>
      <c r="BO315" s="225"/>
      <c r="BP315" s="225"/>
      <c r="BQ315" s="225"/>
    </row>
    <row r="316" spans="41:69" x14ac:dyDescent="0.25">
      <c r="AO316"/>
      <c r="AS316"/>
      <c r="BC316" s="225"/>
      <c r="BD316" s="225"/>
      <c r="BE316" s="225"/>
      <c r="BF316" s="225"/>
      <c r="BG316" s="225"/>
      <c r="BH316" s="225"/>
      <c r="BI316" s="225"/>
      <c r="BJ316" s="225"/>
      <c r="BK316" s="225"/>
      <c r="BL316" s="225"/>
      <c r="BM316" s="225"/>
      <c r="BN316" s="225"/>
      <c r="BO316" s="225"/>
      <c r="BP316" s="225"/>
      <c r="BQ316" s="225"/>
    </row>
    <row r="317" spans="41:69" x14ac:dyDescent="0.25">
      <c r="AO317"/>
      <c r="AS317"/>
      <c r="BC317" s="225"/>
      <c r="BD317" s="225"/>
      <c r="BE317" s="225"/>
      <c r="BF317" s="225"/>
      <c r="BG317" s="225"/>
      <c r="BH317" s="225"/>
      <c r="BI317" s="225"/>
      <c r="BJ317" s="225"/>
      <c r="BK317" s="225"/>
      <c r="BL317" s="225"/>
      <c r="BM317" s="225"/>
      <c r="BN317" s="225"/>
      <c r="BO317" s="225"/>
      <c r="BP317" s="225"/>
      <c r="BQ317" s="225"/>
    </row>
    <row r="318" spans="41:69" x14ac:dyDescent="0.25">
      <c r="AO318"/>
      <c r="AS318"/>
      <c r="BC318" s="225"/>
      <c r="BD318" s="225"/>
      <c r="BE318" s="225"/>
      <c r="BF318" s="225"/>
      <c r="BG318" s="225"/>
      <c r="BH318" s="225"/>
      <c r="BI318" s="225"/>
      <c r="BJ318" s="225"/>
      <c r="BK318" s="225"/>
      <c r="BL318" s="225"/>
      <c r="BM318" s="225"/>
      <c r="BN318" s="225"/>
      <c r="BO318" s="225"/>
      <c r="BP318" s="225"/>
      <c r="BQ318" s="225"/>
    </row>
    <row r="319" spans="41:69" x14ac:dyDescent="0.25">
      <c r="AO319"/>
      <c r="AS319"/>
      <c r="BC319" s="225"/>
      <c r="BD319" s="225"/>
      <c r="BE319" s="225"/>
      <c r="BF319" s="225"/>
      <c r="BG319" s="225"/>
      <c r="BH319" s="225"/>
      <c r="BI319" s="225"/>
      <c r="BJ319" s="225"/>
      <c r="BK319" s="225"/>
      <c r="BL319" s="225"/>
      <c r="BM319" s="225"/>
      <c r="BN319" s="225"/>
      <c r="BO319" s="225"/>
      <c r="BP319" s="225"/>
      <c r="BQ319" s="225"/>
    </row>
    <row r="320" spans="41:69" x14ac:dyDescent="0.25">
      <c r="AO320"/>
      <c r="AS320"/>
      <c r="BC320" s="225"/>
      <c r="BD320" s="225"/>
      <c r="BE320" s="225"/>
      <c r="BF320" s="225"/>
      <c r="BG320" s="225"/>
      <c r="BH320" s="225"/>
      <c r="BI320" s="225"/>
      <c r="BJ320" s="225"/>
      <c r="BK320" s="225"/>
      <c r="BL320" s="225"/>
      <c r="BM320" s="225"/>
      <c r="BN320" s="225"/>
      <c r="BO320" s="225"/>
      <c r="BP320" s="225"/>
      <c r="BQ320" s="225"/>
    </row>
    <row r="321" spans="41:69" x14ac:dyDescent="0.25">
      <c r="AO321"/>
      <c r="AS321"/>
      <c r="BC321" s="225"/>
      <c r="BD321" s="225"/>
      <c r="BE321" s="225"/>
      <c r="BF321" s="225"/>
      <c r="BG321" s="225"/>
      <c r="BH321" s="225"/>
      <c r="BI321" s="225"/>
      <c r="BJ321" s="225"/>
      <c r="BK321" s="225"/>
      <c r="BL321" s="225"/>
      <c r="BM321" s="225"/>
      <c r="BN321" s="225"/>
      <c r="BO321" s="225"/>
      <c r="BP321" s="225"/>
      <c r="BQ321" s="225"/>
    </row>
    <row r="322" spans="41:69" x14ac:dyDescent="0.25">
      <c r="AO322"/>
      <c r="AS322"/>
      <c r="BC322" s="225"/>
      <c r="BD322" s="225"/>
      <c r="BE322" s="225"/>
      <c r="BF322" s="225"/>
      <c r="BG322" s="225"/>
      <c r="BH322" s="225"/>
      <c r="BI322" s="225"/>
      <c r="BJ322" s="225"/>
      <c r="BK322" s="225"/>
      <c r="BL322" s="225"/>
      <c r="BM322" s="225"/>
      <c r="BN322" s="225"/>
      <c r="BO322" s="225"/>
      <c r="BP322" s="225"/>
      <c r="BQ322" s="225"/>
    </row>
    <row r="323" spans="41:69" x14ac:dyDescent="0.25">
      <c r="AO323"/>
      <c r="AS323"/>
      <c r="BC323" s="225"/>
      <c r="BD323" s="225"/>
      <c r="BE323" s="225"/>
      <c r="BF323" s="225"/>
      <c r="BG323" s="225"/>
      <c r="BH323" s="225"/>
      <c r="BI323" s="225"/>
      <c r="BJ323" s="225"/>
      <c r="BK323" s="225"/>
      <c r="BL323" s="225"/>
      <c r="BM323" s="225"/>
      <c r="BN323" s="225"/>
      <c r="BO323" s="225"/>
      <c r="BP323" s="225"/>
      <c r="BQ323" s="225"/>
    </row>
    <row r="324" spans="41:69" x14ac:dyDescent="0.25">
      <c r="AO324"/>
      <c r="AS324"/>
      <c r="BC324" s="225"/>
      <c r="BD324" s="225"/>
      <c r="BE324" s="225"/>
      <c r="BF324" s="225"/>
      <c r="BG324" s="225"/>
      <c r="BH324" s="225"/>
      <c r="BI324" s="225"/>
      <c r="BJ324" s="225"/>
      <c r="BK324" s="225"/>
      <c r="BL324" s="225"/>
      <c r="BM324" s="225"/>
      <c r="BN324" s="225"/>
      <c r="BO324" s="225"/>
      <c r="BP324" s="225"/>
      <c r="BQ324" s="225"/>
    </row>
    <row r="325" spans="41:69" x14ac:dyDescent="0.25">
      <c r="AO325"/>
      <c r="AS325"/>
      <c r="BC325" s="225"/>
      <c r="BD325" s="225"/>
      <c r="BE325" s="225"/>
      <c r="BF325" s="225"/>
      <c r="BG325" s="225"/>
      <c r="BH325" s="225"/>
      <c r="BI325" s="225"/>
      <c r="BJ325" s="225"/>
      <c r="BK325" s="225"/>
      <c r="BL325" s="225"/>
      <c r="BM325" s="225"/>
      <c r="BN325" s="225"/>
      <c r="BO325" s="225"/>
      <c r="BP325" s="225"/>
      <c r="BQ325" s="225"/>
    </row>
    <row r="326" spans="41:69" x14ac:dyDescent="0.25">
      <c r="AO326"/>
      <c r="AS326"/>
      <c r="BC326" s="225"/>
      <c r="BD326" s="225"/>
      <c r="BE326" s="225"/>
      <c r="BF326" s="225"/>
      <c r="BG326" s="225"/>
      <c r="BH326" s="225"/>
      <c r="BI326" s="225"/>
      <c r="BJ326" s="225"/>
      <c r="BK326" s="225"/>
      <c r="BL326" s="225"/>
      <c r="BM326" s="225"/>
      <c r="BN326" s="225"/>
      <c r="BO326" s="225"/>
      <c r="BP326" s="225"/>
      <c r="BQ326" s="225"/>
    </row>
    <row r="327" spans="41:69" x14ac:dyDescent="0.25">
      <c r="AO327"/>
      <c r="AS327"/>
      <c r="BC327" s="225"/>
      <c r="BD327" s="225"/>
      <c r="BE327" s="225"/>
      <c r="BF327" s="225"/>
      <c r="BG327" s="225"/>
      <c r="BH327" s="225"/>
      <c r="BI327" s="225"/>
      <c r="BJ327" s="225"/>
      <c r="BK327" s="225"/>
      <c r="BL327" s="225"/>
      <c r="BM327" s="225"/>
      <c r="BN327" s="225"/>
      <c r="BO327" s="225"/>
      <c r="BP327" s="225"/>
      <c r="BQ327" s="225"/>
    </row>
    <row r="328" spans="41:69" x14ac:dyDescent="0.25">
      <c r="AO328"/>
      <c r="AS328"/>
      <c r="BC328" s="225"/>
      <c r="BD328" s="225"/>
      <c r="BE328" s="225"/>
      <c r="BF328" s="225"/>
      <c r="BG328" s="225"/>
      <c r="BH328" s="225"/>
      <c r="BI328" s="225"/>
      <c r="BJ328" s="225"/>
      <c r="BK328" s="225"/>
      <c r="BL328" s="225"/>
      <c r="BM328" s="225"/>
      <c r="BN328" s="225"/>
      <c r="BO328" s="225"/>
      <c r="BP328" s="225"/>
      <c r="BQ328" s="225"/>
    </row>
    <row r="329" spans="41:69" x14ac:dyDescent="0.25">
      <c r="AO329"/>
      <c r="AS329"/>
      <c r="BC329" s="225"/>
      <c r="BD329" s="225"/>
      <c r="BE329" s="225"/>
      <c r="BF329" s="225"/>
      <c r="BG329" s="225"/>
      <c r="BH329" s="225"/>
      <c r="BI329" s="225"/>
      <c r="BJ329" s="225"/>
      <c r="BK329" s="225"/>
      <c r="BL329" s="225"/>
      <c r="BM329" s="225"/>
      <c r="BN329" s="225"/>
      <c r="BO329" s="225"/>
      <c r="BP329" s="225"/>
      <c r="BQ329" s="225"/>
    </row>
    <row r="330" spans="41:69" x14ac:dyDescent="0.25">
      <c r="AO330"/>
      <c r="AS330"/>
      <c r="BC330" s="225"/>
      <c r="BD330" s="225"/>
      <c r="BE330" s="225"/>
      <c r="BF330" s="225"/>
      <c r="BG330" s="225"/>
      <c r="BH330" s="225"/>
      <c r="BI330" s="225"/>
      <c r="BJ330" s="225"/>
      <c r="BK330" s="225"/>
      <c r="BL330" s="225"/>
      <c r="BM330" s="225"/>
      <c r="BN330" s="225"/>
      <c r="BO330" s="225"/>
      <c r="BP330" s="225"/>
      <c r="BQ330" s="225"/>
    </row>
    <row r="331" spans="41:69" x14ac:dyDescent="0.25">
      <c r="AO331"/>
      <c r="AS331"/>
      <c r="BC331" s="225"/>
      <c r="BD331" s="225"/>
      <c r="BE331" s="225"/>
      <c r="BF331" s="225"/>
      <c r="BG331" s="225"/>
      <c r="BH331" s="225"/>
      <c r="BI331" s="225"/>
      <c r="BJ331" s="225"/>
      <c r="BK331" s="225"/>
      <c r="BL331" s="225"/>
      <c r="BM331" s="225"/>
      <c r="BN331" s="225"/>
      <c r="BO331" s="225"/>
      <c r="BP331" s="225"/>
      <c r="BQ331" s="225"/>
    </row>
    <row r="332" spans="41:69" x14ac:dyDescent="0.25">
      <c r="AO332"/>
      <c r="AS332"/>
      <c r="BC332" s="225"/>
      <c r="BD332" s="225"/>
      <c r="BE332" s="225"/>
      <c r="BF332" s="225"/>
      <c r="BG332" s="225"/>
      <c r="BH332" s="225"/>
      <c r="BI332" s="225"/>
      <c r="BJ332" s="225"/>
      <c r="BK332" s="225"/>
      <c r="BL332" s="225"/>
      <c r="BM332" s="225"/>
      <c r="BN332" s="225"/>
      <c r="BO332" s="225"/>
      <c r="BP332" s="225"/>
      <c r="BQ332" s="225"/>
    </row>
    <row r="333" spans="41:69" x14ac:dyDescent="0.25">
      <c r="AO333"/>
      <c r="AS333"/>
      <c r="BC333" s="225"/>
      <c r="BD333" s="225"/>
      <c r="BE333" s="225"/>
      <c r="BF333" s="225"/>
      <c r="BG333" s="225"/>
      <c r="BH333" s="225"/>
      <c r="BI333" s="225"/>
      <c r="BJ333" s="225"/>
      <c r="BK333" s="225"/>
      <c r="BL333" s="225"/>
      <c r="BM333" s="225"/>
      <c r="BN333" s="225"/>
      <c r="BO333" s="225"/>
      <c r="BP333" s="225"/>
      <c r="BQ333" s="225"/>
    </row>
    <row r="334" spans="41:69" x14ac:dyDescent="0.25">
      <c r="AO334"/>
      <c r="AS334"/>
      <c r="BC334" s="225"/>
      <c r="BD334" s="225"/>
      <c r="BE334" s="225"/>
      <c r="BF334" s="225"/>
      <c r="BG334" s="225"/>
      <c r="BH334" s="225"/>
      <c r="BI334" s="225"/>
      <c r="BJ334" s="225"/>
      <c r="BK334" s="225"/>
      <c r="BL334" s="225"/>
      <c r="BM334" s="225"/>
      <c r="BN334" s="225"/>
      <c r="BO334" s="225"/>
      <c r="BP334" s="225"/>
      <c r="BQ334" s="225"/>
    </row>
    <row r="335" spans="41:69" x14ac:dyDescent="0.25">
      <c r="AO335"/>
      <c r="AS335"/>
      <c r="BC335" s="225"/>
      <c r="BD335" s="225"/>
      <c r="BE335" s="225"/>
      <c r="BF335" s="225"/>
      <c r="BG335" s="225"/>
      <c r="BH335" s="225"/>
      <c r="BI335" s="225"/>
      <c r="BJ335" s="225"/>
      <c r="BK335" s="225"/>
      <c r="BL335" s="225"/>
      <c r="BM335" s="225"/>
      <c r="BN335" s="225"/>
      <c r="BO335" s="225"/>
      <c r="BP335" s="225"/>
      <c r="BQ335" s="225"/>
    </row>
    <row r="336" spans="41:69" x14ac:dyDescent="0.25">
      <c r="AO336"/>
      <c r="AS336"/>
      <c r="BC336" s="225"/>
      <c r="BD336" s="225"/>
      <c r="BE336" s="225"/>
      <c r="BF336" s="225"/>
      <c r="BG336" s="225"/>
      <c r="BH336" s="225"/>
      <c r="BI336" s="225"/>
      <c r="BJ336" s="225"/>
      <c r="BK336" s="225"/>
      <c r="BL336" s="225"/>
      <c r="BM336" s="225"/>
      <c r="BN336" s="225"/>
      <c r="BO336" s="225"/>
      <c r="BP336" s="225"/>
      <c r="BQ336" s="225"/>
    </row>
    <row r="337" spans="41:69" x14ac:dyDescent="0.25">
      <c r="AO337"/>
      <c r="AS337"/>
      <c r="BC337" s="225"/>
      <c r="BD337" s="225"/>
      <c r="BE337" s="225"/>
      <c r="BF337" s="225"/>
      <c r="BG337" s="225"/>
      <c r="BH337" s="225"/>
      <c r="BI337" s="225"/>
      <c r="BJ337" s="225"/>
      <c r="BK337" s="225"/>
      <c r="BL337" s="225"/>
      <c r="BM337" s="225"/>
      <c r="BN337" s="225"/>
      <c r="BO337" s="225"/>
      <c r="BP337" s="225"/>
      <c r="BQ337" s="225"/>
    </row>
    <row r="338" spans="41:69" x14ac:dyDescent="0.25">
      <c r="AO338"/>
      <c r="AS338"/>
      <c r="BC338" s="225"/>
      <c r="BD338" s="225"/>
      <c r="BE338" s="225"/>
      <c r="BF338" s="225"/>
      <c r="BG338" s="225"/>
      <c r="BH338" s="225"/>
      <c r="BI338" s="225"/>
      <c r="BJ338" s="225"/>
      <c r="BK338" s="225"/>
      <c r="BL338" s="225"/>
      <c r="BM338" s="225"/>
      <c r="BN338" s="225"/>
      <c r="BO338" s="225"/>
      <c r="BP338" s="225"/>
      <c r="BQ338" s="225"/>
    </row>
    <row r="339" spans="41:69" x14ac:dyDescent="0.25">
      <c r="AO339"/>
      <c r="AS339"/>
      <c r="BC339" s="225"/>
      <c r="BD339" s="225"/>
      <c r="BE339" s="225"/>
      <c r="BF339" s="225"/>
      <c r="BG339" s="225"/>
      <c r="BH339" s="225"/>
      <c r="BI339" s="225"/>
      <c r="BJ339" s="225"/>
      <c r="BK339" s="225"/>
      <c r="BL339" s="225"/>
      <c r="BM339" s="225"/>
      <c r="BN339" s="225"/>
      <c r="BO339" s="225"/>
      <c r="BP339" s="225"/>
      <c r="BQ339" s="225"/>
    </row>
    <row r="340" spans="41:69" x14ac:dyDescent="0.25">
      <c r="AO340"/>
      <c r="AS340"/>
      <c r="BC340" s="225"/>
      <c r="BD340" s="225"/>
      <c r="BE340" s="225"/>
      <c r="BF340" s="225"/>
      <c r="BG340" s="225"/>
      <c r="BH340" s="225"/>
      <c r="BI340" s="225"/>
      <c r="BJ340" s="225"/>
      <c r="BK340" s="225"/>
      <c r="BL340" s="225"/>
      <c r="BM340" s="225"/>
      <c r="BN340" s="225"/>
      <c r="BO340" s="225"/>
      <c r="BP340" s="225"/>
      <c r="BQ340" s="225"/>
    </row>
    <row r="341" spans="41:69" x14ac:dyDescent="0.25">
      <c r="AO341"/>
      <c r="AS341"/>
      <c r="BC341" s="225"/>
      <c r="BD341" s="225"/>
      <c r="BE341" s="225"/>
      <c r="BF341" s="225"/>
      <c r="BG341" s="225"/>
      <c r="BH341" s="225"/>
      <c r="BI341" s="225"/>
      <c r="BJ341" s="225"/>
      <c r="BK341" s="225"/>
      <c r="BL341" s="225"/>
      <c r="BM341" s="225"/>
      <c r="BN341" s="225"/>
      <c r="BO341" s="225"/>
      <c r="BP341" s="225"/>
      <c r="BQ341" s="225"/>
    </row>
    <row r="342" spans="41:69" x14ac:dyDescent="0.25">
      <c r="AO342"/>
      <c r="AS342"/>
      <c r="BC342" s="225"/>
      <c r="BD342" s="225"/>
      <c r="BE342" s="225"/>
      <c r="BF342" s="225"/>
      <c r="BG342" s="225"/>
      <c r="BH342" s="225"/>
      <c r="BI342" s="225"/>
      <c r="BJ342" s="225"/>
      <c r="BK342" s="225"/>
      <c r="BL342" s="225"/>
      <c r="BM342" s="225"/>
      <c r="BN342" s="225"/>
      <c r="BO342" s="225"/>
      <c r="BP342" s="225"/>
      <c r="BQ342" s="225"/>
    </row>
    <row r="343" spans="41:69" x14ac:dyDescent="0.25">
      <c r="AO343"/>
      <c r="AS343"/>
      <c r="BC343" s="225"/>
      <c r="BD343" s="225"/>
      <c r="BE343" s="225"/>
      <c r="BF343" s="225"/>
      <c r="BG343" s="225"/>
      <c r="BH343" s="225"/>
      <c r="BI343" s="225"/>
      <c r="BJ343" s="225"/>
      <c r="BK343" s="225"/>
      <c r="BL343" s="225"/>
      <c r="BM343" s="225"/>
      <c r="BN343" s="225"/>
      <c r="BO343" s="225"/>
      <c r="BP343" s="225"/>
      <c r="BQ343" s="225"/>
    </row>
    <row r="344" spans="41:69" x14ac:dyDescent="0.25">
      <c r="AO344"/>
      <c r="AS344"/>
      <c r="BC344" s="225"/>
      <c r="BD344" s="225"/>
      <c r="BE344" s="225"/>
      <c r="BF344" s="225"/>
      <c r="BG344" s="225"/>
      <c r="BH344" s="225"/>
      <c r="BI344" s="225"/>
      <c r="BJ344" s="225"/>
      <c r="BK344" s="225"/>
      <c r="BL344" s="225"/>
      <c r="BM344" s="225"/>
      <c r="BN344" s="225"/>
      <c r="BO344" s="225"/>
      <c r="BP344" s="225"/>
      <c r="BQ344" s="225"/>
    </row>
    <row r="345" spans="41:69" x14ac:dyDescent="0.25">
      <c r="AO345"/>
      <c r="AS345"/>
      <c r="BC345" s="225"/>
      <c r="BD345" s="225"/>
      <c r="BE345" s="225"/>
      <c r="BF345" s="225"/>
      <c r="BG345" s="225"/>
      <c r="BH345" s="225"/>
      <c r="BI345" s="225"/>
      <c r="BJ345" s="225"/>
      <c r="BK345" s="225"/>
      <c r="BL345" s="225"/>
      <c r="BM345" s="225"/>
      <c r="BN345" s="225"/>
      <c r="BO345" s="225"/>
      <c r="BP345" s="225"/>
      <c r="BQ345" s="225"/>
    </row>
    <row r="346" spans="41:69" x14ac:dyDescent="0.25">
      <c r="AO346"/>
      <c r="AS346"/>
      <c r="BC346" s="225"/>
      <c r="BD346" s="225"/>
      <c r="BE346" s="225"/>
      <c r="BF346" s="225"/>
      <c r="BG346" s="225"/>
      <c r="BH346" s="225"/>
      <c r="BI346" s="225"/>
      <c r="BJ346" s="225"/>
      <c r="BK346" s="225"/>
      <c r="BL346" s="225"/>
      <c r="BM346" s="225"/>
      <c r="BN346" s="225"/>
      <c r="BO346" s="225"/>
      <c r="BP346" s="225"/>
      <c r="BQ346" s="225"/>
    </row>
    <row r="347" spans="41:69" x14ac:dyDescent="0.25">
      <c r="AO347"/>
      <c r="AS347"/>
      <c r="BC347" s="225"/>
      <c r="BD347" s="225"/>
      <c r="BE347" s="225"/>
      <c r="BF347" s="225"/>
      <c r="BG347" s="225"/>
      <c r="BH347" s="225"/>
      <c r="BI347" s="225"/>
      <c r="BJ347" s="225"/>
      <c r="BK347" s="225"/>
      <c r="BL347" s="225"/>
      <c r="BM347" s="225"/>
      <c r="BN347" s="225"/>
      <c r="BO347" s="225"/>
      <c r="BP347" s="225"/>
      <c r="BQ347" s="225"/>
    </row>
    <row r="348" spans="41:69" x14ac:dyDescent="0.25">
      <c r="AO348"/>
      <c r="AS348"/>
      <c r="BC348" s="225"/>
      <c r="BD348" s="225"/>
      <c r="BE348" s="225"/>
      <c r="BF348" s="225"/>
      <c r="BG348" s="225"/>
      <c r="BH348" s="225"/>
      <c r="BI348" s="225"/>
      <c r="BJ348" s="225"/>
      <c r="BK348" s="225"/>
      <c r="BL348" s="225"/>
      <c r="BM348" s="225"/>
      <c r="BN348" s="225"/>
      <c r="BO348" s="225"/>
      <c r="BP348" s="225"/>
      <c r="BQ348" s="225"/>
    </row>
    <row r="349" spans="41:69" x14ac:dyDescent="0.25">
      <c r="AO349"/>
      <c r="AS349"/>
      <c r="BC349" s="225"/>
      <c r="BD349" s="225"/>
      <c r="BE349" s="225"/>
      <c r="BF349" s="225"/>
      <c r="BG349" s="225"/>
      <c r="BH349" s="225"/>
      <c r="BI349" s="225"/>
      <c r="BJ349" s="225"/>
      <c r="BK349" s="225"/>
      <c r="BL349" s="225"/>
      <c r="BM349" s="225"/>
      <c r="BN349" s="225"/>
      <c r="BO349" s="225"/>
      <c r="BP349" s="225"/>
      <c r="BQ349" s="225"/>
    </row>
    <row r="350" spans="41:69" x14ac:dyDescent="0.25">
      <c r="AO350"/>
      <c r="AS350"/>
      <c r="BC350" s="225"/>
      <c r="BD350" s="225"/>
      <c r="BE350" s="225"/>
      <c r="BF350" s="225"/>
      <c r="BG350" s="225"/>
      <c r="BH350" s="225"/>
      <c r="BI350" s="225"/>
      <c r="BJ350" s="225"/>
      <c r="BK350" s="225"/>
      <c r="BL350" s="225"/>
      <c r="BM350" s="225"/>
      <c r="BN350" s="225"/>
      <c r="BO350" s="225"/>
      <c r="BP350" s="225"/>
      <c r="BQ350" s="225"/>
    </row>
    <row r="351" spans="41:69" x14ac:dyDescent="0.25">
      <c r="AO351"/>
      <c r="AS351"/>
      <c r="BC351" s="225"/>
      <c r="BD351" s="225"/>
      <c r="BE351" s="225"/>
      <c r="BF351" s="225"/>
      <c r="BG351" s="225"/>
      <c r="BH351" s="225"/>
      <c r="BI351" s="225"/>
      <c r="BJ351" s="225"/>
      <c r="BK351" s="225"/>
      <c r="BL351" s="225"/>
      <c r="BM351" s="225"/>
      <c r="BN351" s="225"/>
      <c r="BO351" s="225"/>
      <c r="BP351" s="225"/>
      <c r="BQ351" s="225"/>
    </row>
    <row r="352" spans="41:69" x14ac:dyDescent="0.25">
      <c r="AO352"/>
      <c r="AS352"/>
      <c r="BC352" s="225"/>
      <c r="BD352" s="225"/>
      <c r="BE352" s="225"/>
      <c r="BF352" s="225"/>
      <c r="BG352" s="225"/>
      <c r="BH352" s="225"/>
      <c r="BI352" s="225"/>
      <c r="BJ352" s="225"/>
      <c r="BK352" s="225"/>
      <c r="BL352" s="225"/>
      <c r="BM352" s="225"/>
      <c r="BN352" s="225"/>
      <c r="BO352" s="225"/>
      <c r="BP352" s="225"/>
      <c r="BQ352" s="225"/>
    </row>
    <row r="353" spans="41:69" x14ac:dyDescent="0.25">
      <c r="AO353"/>
      <c r="AS353"/>
      <c r="BC353" s="225"/>
      <c r="BD353" s="225"/>
      <c r="BE353" s="225"/>
      <c r="BF353" s="225"/>
      <c r="BG353" s="225"/>
      <c r="BH353" s="225"/>
      <c r="BI353" s="225"/>
      <c r="BJ353" s="225"/>
      <c r="BK353" s="225"/>
      <c r="BL353" s="225"/>
      <c r="BM353" s="225"/>
      <c r="BN353" s="225"/>
      <c r="BO353" s="225"/>
      <c r="BP353" s="225"/>
      <c r="BQ353" s="225"/>
    </row>
    <row r="354" spans="41:69" x14ac:dyDescent="0.25">
      <c r="AO354"/>
      <c r="AS354"/>
      <c r="BC354" s="225"/>
      <c r="BD354" s="225"/>
      <c r="BE354" s="225"/>
      <c r="BF354" s="225"/>
      <c r="BG354" s="225"/>
      <c r="BH354" s="225"/>
      <c r="BI354" s="225"/>
      <c r="BJ354" s="225"/>
      <c r="BK354" s="225"/>
      <c r="BL354" s="225"/>
      <c r="BM354" s="225"/>
      <c r="BN354" s="225"/>
      <c r="BO354" s="225"/>
      <c r="BP354" s="225"/>
      <c r="BQ354" s="225"/>
    </row>
    <row r="355" spans="41:69" x14ac:dyDescent="0.25">
      <c r="AO355"/>
      <c r="AS355"/>
      <c r="BC355" s="225"/>
      <c r="BD355" s="225"/>
      <c r="BE355" s="225"/>
      <c r="BF355" s="225"/>
      <c r="BG355" s="225"/>
      <c r="BH355" s="225"/>
      <c r="BI355" s="225"/>
      <c r="BJ355" s="225"/>
      <c r="BK355" s="225"/>
      <c r="BL355" s="225"/>
      <c r="BM355" s="225"/>
      <c r="BN355" s="225"/>
      <c r="BO355" s="225"/>
      <c r="BP355" s="225"/>
      <c r="BQ355" s="225"/>
    </row>
    <row r="356" spans="41:69" x14ac:dyDescent="0.25">
      <c r="AO356"/>
      <c r="AS356"/>
      <c r="BC356" s="225"/>
      <c r="BD356" s="225"/>
      <c r="BE356" s="225"/>
      <c r="BF356" s="225"/>
      <c r="BG356" s="225"/>
      <c r="BH356" s="225"/>
      <c r="BI356" s="225"/>
      <c r="BJ356" s="225"/>
      <c r="BK356" s="225"/>
      <c r="BL356" s="225"/>
      <c r="BM356" s="225"/>
      <c r="BN356" s="225"/>
      <c r="BO356" s="225"/>
      <c r="BP356" s="225"/>
      <c r="BQ356" s="225"/>
    </row>
    <row r="357" spans="41:69" x14ac:dyDescent="0.25">
      <c r="AO357"/>
      <c r="AS357"/>
      <c r="BC357" s="225"/>
      <c r="BD357" s="225"/>
      <c r="BE357" s="225"/>
      <c r="BF357" s="225"/>
      <c r="BG357" s="225"/>
      <c r="BH357" s="225"/>
      <c r="BI357" s="225"/>
      <c r="BJ357" s="225"/>
      <c r="BK357" s="225"/>
      <c r="BL357" s="225"/>
      <c r="BM357" s="225"/>
      <c r="BN357" s="225"/>
      <c r="BO357" s="225"/>
      <c r="BP357" s="225"/>
      <c r="BQ357" s="225"/>
    </row>
    <row r="358" spans="41:69" x14ac:dyDescent="0.25">
      <c r="AO358"/>
      <c r="AS358"/>
      <c r="BC358" s="225"/>
      <c r="BD358" s="225"/>
      <c r="BE358" s="225"/>
      <c r="BF358" s="225"/>
      <c r="BG358" s="225"/>
      <c r="BH358" s="225"/>
      <c r="BI358" s="225"/>
      <c r="BJ358" s="225"/>
      <c r="BK358" s="225"/>
      <c r="BL358" s="225"/>
      <c r="BM358" s="225"/>
      <c r="BN358" s="225"/>
      <c r="BO358" s="225"/>
      <c r="BP358" s="225"/>
      <c r="BQ358" s="225"/>
    </row>
    <row r="359" spans="41:69" x14ac:dyDescent="0.25">
      <c r="AO359"/>
      <c r="AS359"/>
      <c r="BC359" s="225"/>
      <c r="BD359" s="225"/>
      <c r="BE359" s="225"/>
      <c r="BF359" s="225"/>
      <c r="BG359" s="225"/>
      <c r="BH359" s="225"/>
      <c r="BI359" s="225"/>
      <c r="BJ359" s="225"/>
      <c r="BK359" s="225"/>
      <c r="BL359" s="225"/>
      <c r="BM359" s="225"/>
      <c r="BN359" s="225"/>
      <c r="BO359" s="225"/>
      <c r="BP359" s="225"/>
      <c r="BQ359" s="225"/>
    </row>
    <row r="360" spans="41:69" x14ac:dyDescent="0.25">
      <c r="AO360"/>
      <c r="AS360"/>
      <c r="BC360" s="225"/>
      <c r="BD360" s="225"/>
      <c r="BE360" s="225"/>
      <c r="BF360" s="225"/>
      <c r="BG360" s="225"/>
      <c r="BH360" s="225"/>
      <c r="BI360" s="225"/>
      <c r="BJ360" s="225"/>
      <c r="BK360" s="225"/>
      <c r="BL360" s="225"/>
      <c r="BM360" s="225"/>
      <c r="BN360" s="225"/>
      <c r="BO360" s="225"/>
      <c r="BP360" s="225"/>
      <c r="BQ360" s="225"/>
    </row>
    <row r="361" spans="41:69" x14ac:dyDescent="0.25">
      <c r="AO361"/>
      <c r="AS361"/>
      <c r="BC361" s="225"/>
      <c r="BD361" s="225"/>
      <c r="BE361" s="225"/>
      <c r="BF361" s="225"/>
      <c r="BG361" s="225"/>
      <c r="BH361" s="225"/>
      <c r="BI361" s="225"/>
      <c r="BJ361" s="225"/>
      <c r="BK361" s="225"/>
      <c r="BL361" s="225"/>
      <c r="BM361" s="225"/>
      <c r="BN361" s="225"/>
      <c r="BO361" s="225"/>
      <c r="BP361" s="225"/>
      <c r="BQ361" s="225"/>
    </row>
    <row r="362" spans="41:69" x14ac:dyDescent="0.25">
      <c r="AO362"/>
      <c r="AS362"/>
      <c r="BC362" s="225"/>
      <c r="BD362" s="225"/>
      <c r="BE362" s="225"/>
      <c r="BF362" s="225"/>
      <c r="BG362" s="225"/>
      <c r="BH362" s="225"/>
      <c r="BI362" s="225"/>
      <c r="BJ362" s="225"/>
      <c r="BK362" s="225"/>
      <c r="BL362" s="225"/>
      <c r="BM362" s="225"/>
      <c r="BN362" s="225"/>
      <c r="BO362" s="225"/>
      <c r="BP362" s="225"/>
      <c r="BQ362" s="225"/>
    </row>
    <row r="363" spans="41:69" x14ac:dyDescent="0.25">
      <c r="AO363"/>
      <c r="AS363"/>
      <c r="BC363" s="225"/>
      <c r="BD363" s="225"/>
      <c r="BE363" s="225"/>
      <c r="BF363" s="225"/>
      <c r="BG363" s="225"/>
      <c r="BH363" s="225"/>
      <c r="BI363" s="225"/>
      <c r="BJ363" s="225"/>
      <c r="BK363" s="225"/>
      <c r="BL363" s="225"/>
      <c r="BM363" s="225"/>
      <c r="BN363" s="225"/>
      <c r="BO363" s="225"/>
      <c r="BP363" s="225"/>
      <c r="BQ363" s="225"/>
    </row>
    <row r="364" spans="41:69" x14ac:dyDescent="0.25">
      <c r="AO364"/>
      <c r="AS364"/>
      <c r="BC364" s="225"/>
      <c r="BD364" s="225"/>
      <c r="BE364" s="225"/>
      <c r="BF364" s="225"/>
      <c r="BG364" s="225"/>
      <c r="BH364" s="225"/>
      <c r="BI364" s="225"/>
      <c r="BJ364" s="225"/>
      <c r="BK364" s="225"/>
      <c r="BL364" s="225"/>
      <c r="BM364" s="225"/>
      <c r="BN364" s="225"/>
      <c r="BO364" s="225"/>
      <c r="BP364" s="225"/>
      <c r="BQ364" s="225"/>
    </row>
    <row r="365" spans="41:69" x14ac:dyDescent="0.25">
      <c r="AO365"/>
      <c r="AS365"/>
      <c r="BC365" s="225"/>
      <c r="BD365" s="225"/>
      <c r="BE365" s="225"/>
      <c r="BF365" s="225"/>
      <c r="BG365" s="225"/>
      <c r="BH365" s="225"/>
      <c r="BI365" s="225"/>
      <c r="BJ365" s="225"/>
      <c r="BK365" s="225"/>
      <c r="BL365" s="225"/>
      <c r="BM365" s="225"/>
      <c r="BN365" s="225"/>
      <c r="BO365" s="225"/>
      <c r="BP365" s="225"/>
      <c r="BQ365" s="225"/>
    </row>
    <row r="366" spans="41:69" x14ac:dyDescent="0.25">
      <c r="AO366"/>
      <c r="AS366"/>
      <c r="BC366" s="225"/>
      <c r="BD366" s="225"/>
      <c r="BE366" s="225"/>
      <c r="BF366" s="225"/>
      <c r="BG366" s="225"/>
      <c r="BH366" s="225"/>
      <c r="BI366" s="225"/>
      <c r="BJ366" s="225"/>
      <c r="BK366" s="225"/>
      <c r="BL366" s="225"/>
      <c r="BM366" s="225"/>
      <c r="BN366" s="225"/>
      <c r="BO366" s="225"/>
      <c r="BP366" s="225"/>
      <c r="BQ366" s="225"/>
    </row>
    <row r="367" spans="41:69" x14ac:dyDescent="0.25">
      <c r="AO367"/>
      <c r="AS367"/>
      <c r="BC367" s="225"/>
      <c r="BD367" s="225"/>
      <c r="BE367" s="225"/>
      <c r="BF367" s="225"/>
      <c r="BG367" s="225"/>
      <c r="BH367" s="225"/>
      <c r="BI367" s="225"/>
      <c r="BJ367" s="225"/>
      <c r="BK367" s="225"/>
      <c r="BL367" s="225"/>
      <c r="BM367" s="225"/>
      <c r="BN367" s="225"/>
      <c r="BO367" s="225"/>
      <c r="BP367" s="225"/>
      <c r="BQ367" s="225"/>
    </row>
    <row r="368" spans="41:69" x14ac:dyDescent="0.25">
      <c r="AO368"/>
      <c r="AS368"/>
      <c r="BC368" s="225"/>
      <c r="BD368" s="225"/>
      <c r="BE368" s="225"/>
      <c r="BF368" s="225"/>
      <c r="BG368" s="225"/>
      <c r="BH368" s="225"/>
      <c r="BI368" s="225"/>
      <c r="BJ368" s="225"/>
      <c r="BK368" s="225"/>
      <c r="BL368" s="225"/>
      <c r="BM368" s="225"/>
      <c r="BN368" s="225"/>
      <c r="BO368" s="225"/>
      <c r="BP368" s="225"/>
      <c r="BQ368" s="225"/>
    </row>
    <row r="369" spans="41:69" x14ac:dyDescent="0.25">
      <c r="AO369"/>
      <c r="AS369"/>
      <c r="BC369" s="225"/>
      <c r="BD369" s="225"/>
      <c r="BE369" s="225"/>
      <c r="BF369" s="225"/>
      <c r="BG369" s="225"/>
      <c r="BH369" s="225"/>
      <c r="BI369" s="225"/>
      <c r="BJ369" s="225"/>
      <c r="BK369" s="225"/>
      <c r="BL369" s="225"/>
      <c r="BM369" s="225"/>
      <c r="BN369" s="225"/>
      <c r="BO369" s="225"/>
      <c r="BP369" s="225"/>
      <c r="BQ369" s="225"/>
    </row>
    <row r="370" spans="41:69" x14ac:dyDescent="0.25">
      <c r="AO370"/>
      <c r="AS370"/>
      <c r="BC370" s="225"/>
      <c r="BD370" s="225"/>
      <c r="BE370" s="225"/>
      <c r="BF370" s="225"/>
      <c r="BG370" s="225"/>
      <c r="BH370" s="225"/>
      <c r="BI370" s="225"/>
      <c r="BJ370" s="225"/>
      <c r="BK370" s="225"/>
      <c r="BL370" s="225"/>
      <c r="BM370" s="225"/>
      <c r="BN370" s="225"/>
      <c r="BO370" s="225"/>
      <c r="BP370" s="225"/>
      <c r="BQ370" s="225"/>
    </row>
    <row r="371" spans="41:69" x14ac:dyDescent="0.25">
      <c r="AO371"/>
      <c r="AS371"/>
      <c r="BC371" s="225"/>
      <c r="BD371" s="225"/>
      <c r="BE371" s="225"/>
      <c r="BF371" s="225"/>
      <c r="BG371" s="225"/>
      <c r="BH371" s="225"/>
      <c r="BI371" s="225"/>
      <c r="BJ371" s="225"/>
      <c r="BK371" s="225"/>
      <c r="BL371" s="225"/>
      <c r="BM371" s="225"/>
      <c r="BN371" s="225"/>
      <c r="BO371" s="225"/>
      <c r="BP371" s="225"/>
      <c r="BQ371" s="225"/>
    </row>
    <row r="372" spans="41:69" x14ac:dyDescent="0.25">
      <c r="AO372"/>
      <c r="AS372"/>
      <c r="BC372" s="225"/>
      <c r="BD372" s="225"/>
      <c r="BE372" s="225"/>
      <c r="BF372" s="225"/>
      <c r="BG372" s="225"/>
      <c r="BH372" s="225"/>
      <c r="BI372" s="225"/>
      <c r="BJ372" s="225"/>
      <c r="BK372" s="225"/>
      <c r="BL372" s="225"/>
      <c r="BM372" s="225"/>
      <c r="BN372" s="225"/>
      <c r="BO372" s="225"/>
      <c r="BP372" s="225"/>
      <c r="BQ372" s="225"/>
    </row>
    <row r="373" spans="41:69" x14ac:dyDescent="0.25">
      <c r="AO373"/>
      <c r="AS373"/>
      <c r="BC373" s="225"/>
      <c r="BD373" s="225"/>
      <c r="BE373" s="225"/>
      <c r="BF373" s="225"/>
      <c r="BG373" s="225"/>
      <c r="BH373" s="225"/>
      <c r="BI373" s="225"/>
      <c r="BJ373" s="225"/>
      <c r="BK373" s="225"/>
      <c r="BL373" s="225"/>
      <c r="BM373" s="225"/>
      <c r="BN373" s="225"/>
      <c r="BO373" s="225"/>
      <c r="BP373" s="225"/>
      <c r="BQ373" s="225"/>
    </row>
    <row r="374" spans="41:69" x14ac:dyDescent="0.25">
      <c r="AO374"/>
      <c r="AS374"/>
      <c r="BC374" s="225"/>
      <c r="BD374" s="225"/>
      <c r="BE374" s="225"/>
      <c r="BF374" s="225"/>
      <c r="BG374" s="225"/>
      <c r="BH374" s="225"/>
      <c r="BI374" s="225"/>
      <c r="BJ374" s="225"/>
      <c r="BK374" s="225"/>
      <c r="BL374" s="225"/>
      <c r="BM374" s="225"/>
      <c r="BN374" s="225"/>
      <c r="BO374" s="225"/>
      <c r="BP374" s="225"/>
      <c r="BQ374" s="225"/>
    </row>
    <row r="375" spans="41:69" x14ac:dyDescent="0.25">
      <c r="AO375"/>
      <c r="AS375"/>
      <c r="BC375" s="225"/>
      <c r="BD375" s="225"/>
      <c r="BE375" s="225"/>
      <c r="BF375" s="225"/>
      <c r="BG375" s="225"/>
      <c r="BH375" s="225"/>
      <c r="BI375" s="225"/>
      <c r="BJ375" s="225"/>
      <c r="BK375" s="225"/>
      <c r="BL375" s="225"/>
      <c r="BM375" s="225"/>
      <c r="BN375" s="225"/>
      <c r="BO375" s="225"/>
      <c r="BP375" s="225"/>
      <c r="BQ375" s="225"/>
    </row>
    <row r="376" spans="41:69" x14ac:dyDescent="0.25">
      <c r="AO376"/>
      <c r="AS376"/>
      <c r="BC376" s="225"/>
      <c r="BD376" s="225"/>
      <c r="BE376" s="225"/>
      <c r="BF376" s="225"/>
      <c r="BG376" s="225"/>
      <c r="BH376" s="225"/>
      <c r="BI376" s="225"/>
      <c r="BJ376" s="225"/>
      <c r="BK376" s="225"/>
      <c r="BL376" s="225"/>
      <c r="BM376" s="225"/>
      <c r="BN376" s="225"/>
      <c r="BO376" s="225"/>
      <c r="BP376" s="225"/>
      <c r="BQ376" s="225"/>
    </row>
    <row r="377" spans="41:69" x14ac:dyDescent="0.25">
      <c r="AO377"/>
      <c r="AS377"/>
      <c r="BC377" s="225"/>
      <c r="BD377" s="225"/>
      <c r="BE377" s="225"/>
      <c r="BF377" s="225"/>
      <c r="BG377" s="225"/>
      <c r="BH377" s="225"/>
      <c r="BI377" s="225"/>
      <c r="BJ377" s="225"/>
      <c r="BK377" s="225"/>
      <c r="BL377" s="225"/>
      <c r="BM377" s="225"/>
      <c r="BN377" s="225"/>
      <c r="BO377" s="225"/>
      <c r="BP377" s="225"/>
      <c r="BQ377" s="225"/>
    </row>
    <row r="378" spans="41:69" x14ac:dyDescent="0.25">
      <c r="AO378"/>
      <c r="AS378"/>
      <c r="BC378" s="225"/>
      <c r="BD378" s="225"/>
      <c r="BE378" s="225"/>
      <c r="BF378" s="225"/>
      <c r="BG378" s="225"/>
      <c r="BH378" s="225"/>
      <c r="BI378" s="225"/>
      <c r="BJ378" s="225"/>
      <c r="BK378" s="225"/>
      <c r="BL378" s="225"/>
      <c r="BM378" s="225"/>
      <c r="BN378" s="225"/>
      <c r="BO378" s="225"/>
      <c r="BP378" s="225"/>
      <c r="BQ378" s="225"/>
    </row>
    <row r="379" spans="41:69" x14ac:dyDescent="0.25">
      <c r="AO379"/>
      <c r="AS379"/>
      <c r="BC379" s="225"/>
      <c r="BD379" s="225"/>
      <c r="BE379" s="225"/>
      <c r="BF379" s="225"/>
      <c r="BG379" s="225"/>
      <c r="BH379" s="225"/>
      <c r="BI379" s="225"/>
      <c r="BJ379" s="225"/>
      <c r="BK379" s="225"/>
      <c r="BL379" s="225"/>
      <c r="BM379" s="225"/>
      <c r="BN379" s="225"/>
      <c r="BO379" s="225"/>
      <c r="BP379" s="225"/>
      <c r="BQ379" s="225"/>
    </row>
    <row r="380" spans="41:69" x14ac:dyDescent="0.25">
      <c r="AO380"/>
      <c r="AS380"/>
      <c r="BC380" s="225"/>
      <c r="BD380" s="225"/>
      <c r="BE380" s="225"/>
      <c r="BF380" s="225"/>
      <c r="BG380" s="225"/>
      <c r="BH380" s="225"/>
      <c r="BI380" s="225"/>
      <c r="BJ380" s="225"/>
      <c r="BK380" s="225"/>
      <c r="BL380" s="225"/>
      <c r="BM380" s="225"/>
      <c r="BN380" s="225"/>
      <c r="BO380" s="225"/>
      <c r="BP380" s="225"/>
      <c r="BQ380" s="225"/>
    </row>
    <row r="381" spans="41:69" x14ac:dyDescent="0.25">
      <c r="AO381"/>
      <c r="AS381"/>
      <c r="BC381" s="225"/>
      <c r="BD381" s="225"/>
      <c r="BE381" s="225"/>
      <c r="BF381" s="225"/>
      <c r="BG381" s="225"/>
      <c r="BH381" s="225"/>
      <c r="BI381" s="225"/>
      <c r="BJ381" s="225"/>
      <c r="BK381" s="225"/>
      <c r="BL381" s="225"/>
      <c r="BM381" s="225"/>
      <c r="BN381" s="225"/>
      <c r="BO381" s="225"/>
      <c r="BP381" s="225"/>
      <c r="BQ381" s="225"/>
    </row>
    <row r="382" spans="41:69" x14ac:dyDescent="0.25">
      <c r="AO382"/>
      <c r="AS382"/>
      <c r="BC382" s="225"/>
      <c r="BD382" s="225"/>
      <c r="BE382" s="225"/>
      <c r="BF382" s="225"/>
      <c r="BG382" s="225"/>
      <c r="BH382" s="225"/>
      <c r="BI382" s="225"/>
      <c r="BJ382" s="225"/>
      <c r="BK382" s="225"/>
      <c r="BL382" s="225"/>
      <c r="BM382" s="225"/>
      <c r="BN382" s="225"/>
      <c r="BO382" s="225"/>
      <c r="BP382" s="225"/>
      <c r="BQ382" s="225"/>
    </row>
    <row r="383" spans="41:69" x14ac:dyDescent="0.25">
      <c r="AO383"/>
      <c r="AS383"/>
      <c r="BC383" s="225"/>
      <c r="BD383" s="225"/>
      <c r="BE383" s="225"/>
      <c r="BF383" s="225"/>
      <c r="BG383" s="225"/>
      <c r="BH383" s="225"/>
      <c r="BI383" s="225"/>
      <c r="BJ383" s="225"/>
      <c r="BK383" s="225"/>
      <c r="BL383" s="225"/>
      <c r="BM383" s="225"/>
      <c r="BN383" s="225"/>
      <c r="BO383" s="225"/>
      <c r="BP383" s="225"/>
      <c r="BQ383" s="225"/>
    </row>
    <row r="384" spans="41:69" x14ac:dyDescent="0.25">
      <c r="AO384"/>
      <c r="AS384"/>
      <c r="BC384" s="225"/>
      <c r="BD384" s="225"/>
      <c r="BE384" s="225"/>
      <c r="BF384" s="225"/>
      <c r="BG384" s="225"/>
      <c r="BH384" s="225"/>
      <c r="BI384" s="225"/>
      <c r="BJ384" s="225"/>
      <c r="BK384" s="225"/>
      <c r="BL384" s="225"/>
      <c r="BM384" s="225"/>
      <c r="BN384" s="225"/>
      <c r="BO384" s="225"/>
      <c r="BP384" s="225"/>
      <c r="BQ384" s="225"/>
    </row>
    <row r="385" spans="41:69" x14ac:dyDescent="0.25">
      <c r="AO385"/>
      <c r="AS385"/>
      <c r="BC385" s="225"/>
      <c r="BD385" s="225"/>
      <c r="BE385" s="225"/>
      <c r="BF385" s="225"/>
      <c r="BG385" s="225"/>
      <c r="BH385" s="225"/>
      <c r="BI385" s="225"/>
      <c r="BJ385" s="225"/>
      <c r="BK385" s="225"/>
      <c r="BL385" s="225"/>
      <c r="BM385" s="225"/>
      <c r="BN385" s="225"/>
      <c r="BO385" s="225"/>
      <c r="BP385" s="225"/>
      <c r="BQ385" s="225"/>
    </row>
    <row r="386" spans="41:69" x14ac:dyDescent="0.25">
      <c r="AO386"/>
      <c r="AS386"/>
      <c r="BC386" s="225"/>
      <c r="BD386" s="225"/>
      <c r="BE386" s="225"/>
      <c r="BF386" s="225"/>
      <c r="BG386" s="225"/>
      <c r="BH386" s="225"/>
      <c r="BI386" s="225"/>
      <c r="BJ386" s="225"/>
      <c r="BK386" s="225"/>
      <c r="BL386" s="225"/>
      <c r="BM386" s="225"/>
      <c r="BN386" s="225"/>
      <c r="BO386" s="225"/>
      <c r="BP386" s="225"/>
      <c r="BQ386" s="225"/>
    </row>
    <row r="387" spans="41:69" x14ac:dyDescent="0.25">
      <c r="AO387"/>
      <c r="AS387"/>
      <c r="BC387" s="225"/>
      <c r="BD387" s="225"/>
      <c r="BE387" s="225"/>
      <c r="BF387" s="225"/>
      <c r="BG387" s="225"/>
      <c r="BH387" s="225"/>
      <c r="BI387" s="225"/>
      <c r="BJ387" s="225"/>
      <c r="BK387" s="225"/>
      <c r="BL387" s="225"/>
      <c r="BM387" s="225"/>
      <c r="BN387" s="225"/>
      <c r="BO387" s="225"/>
      <c r="BP387" s="225"/>
      <c r="BQ387" s="225"/>
    </row>
    <row r="388" spans="41:69" x14ac:dyDescent="0.25">
      <c r="AO388"/>
      <c r="AS388"/>
      <c r="BC388" s="225"/>
      <c r="BD388" s="225"/>
      <c r="BE388" s="225"/>
      <c r="BF388" s="225"/>
      <c r="BG388" s="225"/>
      <c r="BH388" s="225"/>
      <c r="BI388" s="225"/>
      <c r="BJ388" s="225"/>
      <c r="BK388" s="225"/>
      <c r="BL388" s="225"/>
      <c r="BM388" s="225"/>
      <c r="BN388" s="225"/>
      <c r="BO388" s="225"/>
      <c r="BP388" s="225"/>
      <c r="BQ388" s="225"/>
    </row>
    <row r="389" spans="41:69" x14ac:dyDescent="0.25">
      <c r="AO389"/>
      <c r="AS389"/>
      <c r="BC389" s="225"/>
      <c r="BD389" s="225"/>
      <c r="BE389" s="225"/>
      <c r="BF389" s="225"/>
      <c r="BG389" s="225"/>
      <c r="BH389" s="225"/>
      <c r="BI389" s="225"/>
      <c r="BJ389" s="225"/>
      <c r="BK389" s="225"/>
      <c r="BL389" s="225"/>
      <c r="BM389" s="225"/>
      <c r="BN389" s="225"/>
      <c r="BO389" s="225"/>
      <c r="BP389" s="225"/>
      <c r="BQ389" s="225"/>
    </row>
    <row r="390" spans="41:69" x14ac:dyDescent="0.25">
      <c r="AO390"/>
      <c r="AS390"/>
      <c r="BC390" s="225"/>
      <c r="BD390" s="225"/>
      <c r="BE390" s="225"/>
      <c r="BF390" s="225"/>
      <c r="BG390" s="225"/>
      <c r="BH390" s="225"/>
      <c r="BI390" s="225"/>
      <c r="BJ390" s="225"/>
      <c r="BK390" s="225"/>
      <c r="BL390" s="225"/>
      <c r="BM390" s="225"/>
      <c r="BN390" s="225"/>
      <c r="BO390" s="225"/>
      <c r="BP390" s="225"/>
      <c r="BQ390" s="225"/>
    </row>
    <row r="391" spans="41:69" x14ac:dyDescent="0.25">
      <c r="AO391"/>
      <c r="AS391"/>
      <c r="BC391" s="225"/>
      <c r="BD391" s="225"/>
      <c r="BE391" s="225"/>
      <c r="BF391" s="225"/>
      <c r="BG391" s="225"/>
      <c r="BH391" s="225"/>
      <c r="BI391" s="225"/>
      <c r="BJ391" s="225"/>
      <c r="BK391" s="225"/>
      <c r="BL391" s="225"/>
      <c r="BM391" s="225"/>
      <c r="BN391" s="225"/>
      <c r="BO391" s="225"/>
      <c r="BP391" s="225"/>
      <c r="BQ391" s="225"/>
    </row>
    <row r="392" spans="41:69" x14ac:dyDescent="0.25">
      <c r="AO392"/>
      <c r="AS392"/>
      <c r="BC392" s="225"/>
      <c r="BD392" s="225"/>
      <c r="BE392" s="225"/>
      <c r="BF392" s="225"/>
      <c r="BG392" s="225"/>
      <c r="BH392" s="225"/>
      <c r="BI392" s="225"/>
      <c r="BJ392" s="225"/>
      <c r="BK392" s="225"/>
      <c r="BL392" s="225"/>
      <c r="BM392" s="225"/>
      <c r="BN392" s="225"/>
      <c r="BO392" s="225"/>
      <c r="BP392" s="225"/>
      <c r="BQ392" s="225"/>
    </row>
    <row r="393" spans="41:69" x14ac:dyDescent="0.25">
      <c r="AO393"/>
      <c r="AS393"/>
      <c r="BC393" s="225"/>
      <c r="BD393" s="225"/>
      <c r="BE393" s="225"/>
      <c r="BF393" s="225"/>
      <c r="BG393" s="225"/>
      <c r="BH393" s="225"/>
      <c r="BI393" s="225"/>
      <c r="BJ393" s="225"/>
      <c r="BK393" s="225"/>
      <c r="BL393" s="225"/>
      <c r="BM393" s="225"/>
      <c r="BN393" s="225"/>
      <c r="BO393" s="225"/>
      <c r="BP393" s="225"/>
      <c r="BQ393" s="225"/>
    </row>
    <row r="394" spans="41:69" x14ac:dyDescent="0.25">
      <c r="AO394"/>
      <c r="AS394"/>
      <c r="BC394" s="225"/>
      <c r="BD394" s="225"/>
      <c r="BE394" s="225"/>
      <c r="BF394" s="225"/>
      <c r="BG394" s="225"/>
      <c r="BH394" s="225"/>
      <c r="BI394" s="225"/>
      <c r="BJ394" s="225"/>
      <c r="BK394" s="225"/>
      <c r="BL394" s="225"/>
      <c r="BM394" s="225"/>
      <c r="BN394" s="225"/>
      <c r="BO394" s="225"/>
      <c r="BP394" s="225"/>
      <c r="BQ394" s="225"/>
    </row>
    <row r="395" spans="41:69" x14ac:dyDescent="0.25">
      <c r="AO395"/>
      <c r="AS395"/>
      <c r="BC395" s="225"/>
      <c r="BD395" s="225"/>
      <c r="BE395" s="225"/>
      <c r="BF395" s="225"/>
      <c r="BG395" s="225"/>
      <c r="BH395" s="225"/>
      <c r="BI395" s="225"/>
      <c r="BJ395" s="225"/>
      <c r="BK395" s="225"/>
      <c r="BL395" s="225"/>
      <c r="BM395" s="225"/>
      <c r="BN395" s="225"/>
      <c r="BO395" s="225"/>
      <c r="BP395" s="225"/>
      <c r="BQ395" s="225"/>
    </row>
    <row r="396" spans="41:69" x14ac:dyDescent="0.25">
      <c r="AO396"/>
      <c r="AS396"/>
      <c r="BC396" s="225"/>
      <c r="BD396" s="225"/>
      <c r="BE396" s="225"/>
      <c r="BF396" s="225"/>
      <c r="BG396" s="225"/>
      <c r="BH396" s="225"/>
      <c r="BI396" s="225"/>
      <c r="BJ396" s="225"/>
      <c r="BK396" s="225"/>
      <c r="BL396" s="225"/>
      <c r="BM396" s="225"/>
      <c r="BN396" s="225"/>
      <c r="BO396" s="225"/>
      <c r="BP396" s="225"/>
      <c r="BQ396" s="225"/>
    </row>
    <row r="397" spans="41:69" x14ac:dyDescent="0.25">
      <c r="AO397"/>
      <c r="AS397"/>
      <c r="BC397" s="225"/>
      <c r="BD397" s="225"/>
      <c r="BE397" s="225"/>
      <c r="BF397" s="225"/>
      <c r="BG397" s="225"/>
      <c r="BH397" s="225"/>
      <c r="BI397" s="225"/>
      <c r="BJ397" s="225"/>
      <c r="BK397" s="225"/>
      <c r="BL397" s="225"/>
      <c r="BM397" s="225"/>
      <c r="BN397" s="225"/>
      <c r="BO397" s="225"/>
      <c r="BP397" s="225"/>
      <c r="BQ397" s="225"/>
    </row>
    <row r="398" spans="41:69" x14ac:dyDescent="0.25">
      <c r="AO398"/>
      <c r="AS398"/>
      <c r="BC398" s="225"/>
      <c r="BD398" s="225"/>
      <c r="BE398" s="225"/>
      <c r="BF398" s="225"/>
      <c r="BG398" s="225"/>
      <c r="BH398" s="225"/>
      <c r="BI398" s="225"/>
      <c r="BJ398" s="225"/>
      <c r="BK398" s="225"/>
      <c r="BL398" s="225"/>
      <c r="BM398" s="225"/>
      <c r="BN398" s="225"/>
      <c r="BO398" s="225"/>
      <c r="BP398" s="225"/>
      <c r="BQ398" s="225"/>
    </row>
    <row r="399" spans="41:69" x14ac:dyDescent="0.25">
      <c r="AO399"/>
      <c r="AS399"/>
      <c r="BC399" s="225"/>
      <c r="BD399" s="225"/>
      <c r="BE399" s="225"/>
      <c r="BF399" s="225"/>
      <c r="BG399" s="225"/>
      <c r="BH399" s="225"/>
      <c r="BI399" s="225"/>
      <c r="BJ399" s="225"/>
      <c r="BK399" s="225"/>
      <c r="BL399" s="225"/>
      <c r="BM399" s="225"/>
      <c r="BN399" s="225"/>
      <c r="BO399" s="225"/>
      <c r="BP399" s="225"/>
      <c r="BQ399" s="225"/>
    </row>
    <row r="400" spans="41:69" x14ac:dyDescent="0.25">
      <c r="AO400"/>
      <c r="AS400"/>
      <c r="BC400" s="225"/>
      <c r="BD400" s="225"/>
      <c r="BE400" s="225"/>
      <c r="BF400" s="225"/>
      <c r="BG400" s="225"/>
      <c r="BH400" s="225"/>
      <c r="BI400" s="225"/>
      <c r="BJ400" s="225"/>
      <c r="BK400" s="225"/>
      <c r="BL400" s="225"/>
      <c r="BM400" s="225"/>
      <c r="BN400" s="225"/>
      <c r="BO400" s="225"/>
      <c r="BP400" s="225"/>
      <c r="BQ400" s="225"/>
    </row>
    <row r="401" spans="41:69" x14ac:dyDescent="0.25">
      <c r="AO401"/>
      <c r="AS401"/>
      <c r="BC401" s="225"/>
      <c r="BD401" s="225"/>
      <c r="BE401" s="225"/>
      <c r="BF401" s="225"/>
      <c r="BG401" s="225"/>
      <c r="BH401" s="225"/>
      <c r="BI401" s="225"/>
      <c r="BJ401" s="225"/>
      <c r="BK401" s="225"/>
      <c r="BL401" s="225"/>
      <c r="BM401" s="225"/>
      <c r="BN401" s="225"/>
      <c r="BO401" s="225"/>
      <c r="BP401" s="225"/>
      <c r="BQ401" s="225"/>
    </row>
    <row r="402" spans="41:69" x14ac:dyDescent="0.25">
      <c r="AO402"/>
      <c r="AS402"/>
      <c r="BC402" s="225"/>
      <c r="BD402" s="225"/>
      <c r="BE402" s="225"/>
      <c r="BF402" s="225"/>
      <c r="BG402" s="225"/>
      <c r="BH402" s="225"/>
      <c r="BI402" s="225"/>
      <c r="BJ402" s="225"/>
      <c r="BK402" s="225"/>
      <c r="BL402" s="225"/>
      <c r="BM402" s="225"/>
      <c r="BN402" s="225"/>
      <c r="BO402" s="225"/>
      <c r="BP402" s="225"/>
      <c r="BQ402" s="225"/>
    </row>
    <row r="403" spans="41:69" x14ac:dyDescent="0.25">
      <c r="AO403"/>
      <c r="AS403"/>
      <c r="BC403" s="225"/>
      <c r="BD403" s="225"/>
      <c r="BE403" s="225"/>
      <c r="BF403" s="225"/>
      <c r="BG403" s="225"/>
      <c r="BH403" s="225"/>
      <c r="BI403" s="225"/>
      <c r="BJ403" s="225"/>
      <c r="BK403" s="225"/>
      <c r="BL403" s="225"/>
      <c r="BM403" s="225"/>
      <c r="BN403" s="225"/>
      <c r="BO403" s="225"/>
      <c r="BP403" s="225"/>
      <c r="BQ403" s="225"/>
    </row>
    <row r="404" spans="41:69" x14ac:dyDescent="0.25">
      <c r="AO404"/>
      <c r="AS404"/>
      <c r="BC404" s="225"/>
      <c r="BD404" s="225"/>
      <c r="BE404" s="225"/>
      <c r="BF404" s="225"/>
      <c r="BG404" s="225"/>
      <c r="BH404" s="225"/>
      <c r="BI404" s="225"/>
      <c r="BJ404" s="225"/>
      <c r="BK404" s="225"/>
      <c r="BL404" s="225"/>
      <c r="BM404" s="225"/>
      <c r="BN404" s="225"/>
      <c r="BO404" s="225"/>
      <c r="BP404" s="225"/>
      <c r="BQ404" s="225"/>
    </row>
    <row r="405" spans="41:69" x14ac:dyDescent="0.25">
      <c r="AO405"/>
      <c r="AS405"/>
      <c r="BC405" s="225"/>
      <c r="BD405" s="225"/>
      <c r="BE405" s="225"/>
      <c r="BF405" s="225"/>
      <c r="BG405" s="225"/>
      <c r="BH405" s="225"/>
      <c r="BI405" s="225"/>
      <c r="BJ405" s="225"/>
      <c r="BK405" s="225"/>
      <c r="BL405" s="225"/>
      <c r="BM405" s="225"/>
      <c r="BN405" s="225"/>
      <c r="BO405" s="225"/>
      <c r="BP405" s="225"/>
      <c r="BQ405" s="225"/>
    </row>
    <row r="406" spans="41:69" x14ac:dyDescent="0.25">
      <c r="AO406"/>
      <c r="AS406"/>
      <c r="BC406" s="225"/>
      <c r="BD406" s="225"/>
      <c r="BE406" s="225"/>
      <c r="BF406" s="225"/>
      <c r="BG406" s="225"/>
      <c r="BH406" s="225"/>
      <c r="BI406" s="225"/>
      <c r="BJ406" s="225"/>
      <c r="BK406" s="225"/>
      <c r="BL406" s="225"/>
      <c r="BM406" s="225"/>
      <c r="BN406" s="225"/>
      <c r="BO406" s="225"/>
      <c r="BP406" s="225"/>
      <c r="BQ406" s="225"/>
    </row>
    <row r="407" spans="41:69" x14ac:dyDescent="0.25">
      <c r="AO407"/>
      <c r="AS407"/>
      <c r="BC407" s="225"/>
      <c r="BD407" s="225"/>
      <c r="BE407" s="225"/>
      <c r="BF407" s="225"/>
      <c r="BG407" s="225"/>
      <c r="BH407" s="225"/>
      <c r="BI407" s="225"/>
      <c r="BJ407" s="225"/>
      <c r="BK407" s="225"/>
      <c r="BL407" s="225"/>
      <c r="BM407" s="225"/>
      <c r="BN407" s="225"/>
      <c r="BO407" s="225"/>
      <c r="BP407" s="225"/>
      <c r="BQ407" s="225"/>
    </row>
    <row r="408" spans="41:69" x14ac:dyDescent="0.25">
      <c r="AO408"/>
      <c r="AS408"/>
      <c r="BC408" s="225"/>
      <c r="BD408" s="225"/>
      <c r="BE408" s="225"/>
      <c r="BF408" s="225"/>
      <c r="BG408" s="225"/>
      <c r="BH408" s="225"/>
      <c r="BI408" s="225"/>
      <c r="BJ408" s="225"/>
      <c r="BK408" s="225"/>
      <c r="BL408" s="225"/>
      <c r="BM408" s="225"/>
      <c r="BN408" s="225"/>
      <c r="BO408" s="225"/>
      <c r="BP408" s="225"/>
      <c r="BQ408" s="225"/>
    </row>
    <row r="409" spans="41:69" x14ac:dyDescent="0.25">
      <c r="AO409"/>
      <c r="AS409"/>
      <c r="BC409" s="225"/>
      <c r="BD409" s="225"/>
      <c r="BE409" s="225"/>
      <c r="BF409" s="225"/>
      <c r="BG409" s="225"/>
      <c r="BH409" s="225"/>
      <c r="BI409" s="225"/>
      <c r="BJ409" s="225"/>
      <c r="BK409" s="225"/>
      <c r="BL409" s="225"/>
      <c r="BM409" s="225"/>
      <c r="BN409" s="225"/>
      <c r="BO409" s="225"/>
      <c r="BP409" s="225"/>
      <c r="BQ409" s="225"/>
    </row>
    <row r="410" spans="41:69" x14ac:dyDescent="0.25">
      <c r="AO410"/>
      <c r="AS410"/>
      <c r="BC410" s="225"/>
      <c r="BD410" s="225"/>
      <c r="BE410" s="225"/>
      <c r="BF410" s="225"/>
      <c r="BG410" s="225"/>
      <c r="BH410" s="225"/>
      <c r="BI410" s="225"/>
      <c r="BJ410" s="225"/>
      <c r="BK410" s="225"/>
      <c r="BL410" s="225"/>
      <c r="BM410" s="225"/>
      <c r="BN410" s="225"/>
      <c r="BO410" s="225"/>
      <c r="BP410" s="225"/>
      <c r="BQ410" s="225"/>
    </row>
    <row r="411" spans="41:69" x14ac:dyDescent="0.25">
      <c r="AO411"/>
      <c r="AS411"/>
      <c r="BC411" s="225"/>
      <c r="BD411" s="225"/>
      <c r="BE411" s="225"/>
      <c r="BF411" s="225"/>
      <c r="BG411" s="225"/>
      <c r="BH411" s="225"/>
      <c r="BI411" s="225"/>
      <c r="BJ411" s="225"/>
      <c r="BK411" s="225"/>
      <c r="BL411" s="225"/>
      <c r="BM411" s="225"/>
      <c r="BN411" s="225"/>
      <c r="BO411" s="225"/>
      <c r="BP411" s="225"/>
      <c r="BQ411" s="225"/>
    </row>
    <row r="412" spans="41:69" x14ac:dyDescent="0.25">
      <c r="AO412"/>
      <c r="AS412"/>
      <c r="BC412" s="225"/>
      <c r="BD412" s="225"/>
      <c r="BE412" s="225"/>
      <c r="BF412" s="225"/>
      <c r="BG412" s="225"/>
      <c r="BH412" s="225"/>
      <c r="BI412" s="225"/>
      <c r="BJ412" s="225"/>
      <c r="BK412" s="225"/>
      <c r="BL412" s="225"/>
      <c r="BM412" s="225"/>
      <c r="BN412" s="225"/>
      <c r="BO412" s="225"/>
      <c r="BP412" s="225"/>
      <c r="BQ412" s="225"/>
    </row>
    <row r="413" spans="41:69" x14ac:dyDescent="0.25">
      <c r="AO413"/>
      <c r="AS413"/>
      <c r="BC413" s="225"/>
      <c r="BD413" s="225"/>
      <c r="BE413" s="225"/>
      <c r="BF413" s="225"/>
      <c r="BG413" s="225"/>
      <c r="BH413" s="225"/>
      <c r="BI413" s="225"/>
      <c r="BJ413" s="225"/>
      <c r="BK413" s="225"/>
      <c r="BL413" s="225"/>
      <c r="BM413" s="225"/>
      <c r="BN413" s="225"/>
      <c r="BO413" s="225"/>
      <c r="BP413" s="225"/>
      <c r="BQ413" s="225"/>
    </row>
    <row r="414" spans="41:69" x14ac:dyDescent="0.25">
      <c r="AO414"/>
      <c r="AS414"/>
      <c r="BC414" s="225"/>
      <c r="BD414" s="225"/>
      <c r="BE414" s="225"/>
      <c r="BF414" s="225"/>
      <c r="BG414" s="225"/>
      <c r="BH414" s="225"/>
      <c r="BI414" s="225"/>
      <c r="BJ414" s="225"/>
      <c r="BK414" s="225"/>
      <c r="BL414" s="225"/>
      <c r="BM414" s="225"/>
      <c r="BN414" s="225"/>
      <c r="BO414" s="225"/>
      <c r="BP414" s="225"/>
      <c r="BQ414" s="225"/>
    </row>
    <row r="415" spans="41:69" x14ac:dyDescent="0.25">
      <c r="AO415"/>
      <c r="AS415"/>
      <c r="BC415" s="225"/>
      <c r="BD415" s="225"/>
      <c r="BE415" s="225"/>
      <c r="BF415" s="225"/>
      <c r="BG415" s="225"/>
      <c r="BH415" s="225"/>
      <c r="BI415" s="225"/>
      <c r="BJ415" s="225"/>
      <c r="BK415" s="225"/>
      <c r="BL415" s="225"/>
      <c r="BM415" s="225"/>
      <c r="BN415" s="225"/>
      <c r="BO415" s="225"/>
      <c r="BP415" s="225"/>
      <c r="BQ415" s="225"/>
    </row>
    <row r="416" spans="41:69" x14ac:dyDescent="0.25">
      <c r="AO416"/>
      <c r="AS416"/>
      <c r="BC416" s="225"/>
      <c r="BD416" s="225"/>
      <c r="BE416" s="225"/>
      <c r="BF416" s="225"/>
      <c r="BG416" s="225"/>
      <c r="BH416" s="225"/>
      <c r="BI416" s="225"/>
      <c r="BJ416" s="225"/>
      <c r="BK416" s="225"/>
      <c r="BL416" s="225"/>
      <c r="BM416" s="225"/>
      <c r="BN416" s="225"/>
      <c r="BO416" s="225"/>
      <c r="BP416" s="225"/>
      <c r="BQ416" s="225"/>
    </row>
    <row r="417" spans="41:69" x14ac:dyDescent="0.25">
      <c r="AO417"/>
      <c r="AS417"/>
      <c r="BC417" s="225"/>
      <c r="BD417" s="225"/>
      <c r="BE417" s="225"/>
      <c r="BF417" s="225"/>
      <c r="BG417" s="225"/>
      <c r="BH417" s="225"/>
      <c r="BI417" s="225"/>
      <c r="BJ417" s="225"/>
      <c r="BK417" s="225"/>
      <c r="BL417" s="225"/>
      <c r="BM417" s="225"/>
      <c r="BN417" s="225"/>
      <c r="BO417" s="225"/>
      <c r="BP417" s="225"/>
      <c r="BQ417" s="225"/>
    </row>
    <row r="418" spans="41:69" x14ac:dyDescent="0.25">
      <c r="AO418"/>
      <c r="AS418"/>
      <c r="BC418" s="225"/>
      <c r="BD418" s="225"/>
      <c r="BE418" s="225"/>
      <c r="BF418" s="225"/>
      <c r="BG418" s="225"/>
      <c r="BH418" s="225"/>
      <c r="BI418" s="225"/>
      <c r="BJ418" s="225"/>
      <c r="BK418" s="225"/>
      <c r="BL418" s="225"/>
      <c r="BM418" s="225"/>
      <c r="BN418" s="225"/>
      <c r="BO418" s="225"/>
      <c r="BP418" s="225"/>
      <c r="BQ418" s="225"/>
    </row>
    <row r="419" spans="41:69" x14ac:dyDescent="0.25">
      <c r="AO419"/>
      <c r="AS419"/>
      <c r="BC419" s="225"/>
      <c r="BD419" s="225"/>
      <c r="BE419" s="225"/>
      <c r="BF419" s="225"/>
      <c r="BG419" s="225"/>
      <c r="BH419" s="225"/>
      <c r="BI419" s="225"/>
      <c r="BJ419" s="225"/>
      <c r="BK419" s="225"/>
      <c r="BL419" s="225"/>
      <c r="BM419" s="225"/>
      <c r="BN419" s="225"/>
      <c r="BO419" s="225"/>
      <c r="BP419" s="225"/>
      <c r="BQ419" s="225"/>
    </row>
    <row r="420" spans="41:69" x14ac:dyDescent="0.25">
      <c r="AO420"/>
      <c r="AS420"/>
      <c r="BC420" s="225"/>
      <c r="BD420" s="225"/>
      <c r="BE420" s="225"/>
      <c r="BF420" s="225"/>
      <c r="BG420" s="225"/>
      <c r="BH420" s="225"/>
      <c r="BI420" s="225"/>
      <c r="BJ420" s="225"/>
      <c r="BK420" s="225"/>
      <c r="BL420" s="225"/>
      <c r="BM420" s="225"/>
      <c r="BN420" s="225"/>
      <c r="BO420" s="225"/>
      <c r="BP420" s="225"/>
      <c r="BQ420" s="225"/>
    </row>
    <row r="421" spans="41:69" x14ac:dyDescent="0.25">
      <c r="AO421"/>
      <c r="AS421"/>
      <c r="BC421" s="225"/>
      <c r="BD421" s="225"/>
      <c r="BE421" s="225"/>
      <c r="BF421" s="225"/>
      <c r="BG421" s="225"/>
      <c r="BH421" s="225"/>
      <c r="BI421" s="225"/>
      <c r="BJ421" s="225"/>
      <c r="BK421" s="225"/>
      <c r="BL421" s="225"/>
      <c r="BM421" s="225"/>
      <c r="BN421" s="225"/>
      <c r="BO421" s="225"/>
      <c r="BP421" s="225"/>
      <c r="BQ421" s="225"/>
    </row>
    <row r="422" spans="41:69" x14ac:dyDescent="0.25">
      <c r="AO422"/>
      <c r="AS422"/>
      <c r="BC422" s="225"/>
      <c r="BD422" s="225"/>
      <c r="BE422" s="225"/>
      <c r="BF422" s="225"/>
      <c r="BG422" s="225"/>
      <c r="BH422" s="225"/>
      <c r="BI422" s="225"/>
      <c r="BJ422" s="225"/>
      <c r="BK422" s="225"/>
      <c r="BL422" s="225"/>
      <c r="BM422" s="225"/>
      <c r="BN422" s="225"/>
      <c r="BO422" s="225"/>
      <c r="BP422" s="225"/>
      <c r="BQ422" s="225"/>
    </row>
    <row r="423" spans="41:69" x14ac:dyDescent="0.25">
      <c r="AO423"/>
      <c r="AS423"/>
      <c r="BC423" s="225"/>
      <c r="BD423" s="225"/>
      <c r="BE423" s="225"/>
      <c r="BF423" s="225"/>
      <c r="BG423" s="225"/>
      <c r="BH423" s="225"/>
      <c r="BI423" s="225"/>
      <c r="BJ423" s="225"/>
      <c r="BK423" s="225"/>
      <c r="BL423" s="225"/>
      <c r="BM423" s="225"/>
      <c r="BN423" s="225"/>
      <c r="BO423" s="225"/>
      <c r="BP423" s="225"/>
      <c r="BQ423" s="225"/>
    </row>
    <row r="424" spans="41:69" x14ac:dyDescent="0.25">
      <c r="AO424"/>
      <c r="AS424"/>
      <c r="BC424" s="225"/>
      <c r="BD424" s="225"/>
      <c r="BE424" s="225"/>
      <c r="BF424" s="225"/>
      <c r="BG424" s="225"/>
      <c r="BH424" s="225"/>
      <c r="BI424" s="225"/>
      <c r="BJ424" s="225"/>
      <c r="BK424" s="225"/>
      <c r="BL424" s="225"/>
      <c r="BM424" s="225"/>
      <c r="BN424" s="225"/>
      <c r="BO424" s="225"/>
      <c r="BP424" s="225"/>
      <c r="BQ424" s="225"/>
    </row>
    <row r="425" spans="41:69" x14ac:dyDescent="0.25">
      <c r="AO425"/>
      <c r="AS425"/>
      <c r="BC425" s="225"/>
      <c r="BD425" s="225"/>
      <c r="BE425" s="225"/>
      <c r="BF425" s="225"/>
      <c r="BG425" s="225"/>
      <c r="BH425" s="225"/>
      <c r="BI425" s="225"/>
      <c r="BJ425" s="225"/>
      <c r="BK425" s="225"/>
      <c r="BL425" s="225"/>
      <c r="BM425" s="225"/>
      <c r="BN425" s="225"/>
      <c r="BO425" s="225"/>
      <c r="BP425" s="225"/>
      <c r="BQ425" s="225"/>
    </row>
    <row r="426" spans="41:69" x14ac:dyDescent="0.25">
      <c r="AO426"/>
      <c r="AS426"/>
      <c r="BC426" s="225"/>
      <c r="BD426" s="225"/>
      <c r="BE426" s="225"/>
      <c r="BF426" s="225"/>
      <c r="BG426" s="225"/>
      <c r="BH426" s="225"/>
      <c r="BI426" s="225"/>
      <c r="BJ426" s="225"/>
      <c r="BK426" s="225"/>
      <c r="BL426" s="225"/>
      <c r="BM426" s="225"/>
      <c r="BN426" s="225"/>
      <c r="BO426" s="225"/>
      <c r="BP426" s="225"/>
      <c r="BQ426" s="225"/>
    </row>
  </sheetData>
  <mergeCells count="178">
    <mergeCell ref="A1:BV1"/>
    <mergeCell ref="A2:A4"/>
    <mergeCell ref="B2:B4"/>
    <mergeCell ref="C2:C4"/>
    <mergeCell ref="D2:F2"/>
    <mergeCell ref="G2:J2"/>
    <mergeCell ref="K2:N2"/>
    <mergeCell ref="O2:R2"/>
    <mergeCell ref="CJ2:CL2"/>
    <mergeCell ref="D3:D4"/>
    <mergeCell ref="E3:E4"/>
    <mergeCell ref="F3:F4"/>
    <mergeCell ref="G3:G4"/>
    <mergeCell ref="H3:H4"/>
    <mergeCell ref="S2:V2"/>
    <mergeCell ref="W2:Z2"/>
    <mergeCell ref="AA2:AD2"/>
    <mergeCell ref="AE2:AH2"/>
    <mergeCell ref="AI2:AL2"/>
    <mergeCell ref="AM2:AP2"/>
    <mergeCell ref="BC2:BF2"/>
    <mergeCell ref="BC3:BC4"/>
    <mergeCell ref="I3:I4"/>
    <mergeCell ref="J3:J4"/>
    <mergeCell ref="K3:K4"/>
    <mergeCell ref="L3:L4"/>
    <mergeCell ref="M3:M4"/>
    <mergeCell ref="N3:N4"/>
    <mergeCell ref="AQ2:AT2"/>
    <mergeCell ref="AU2:AX2"/>
    <mergeCell ref="AY2:BB2"/>
    <mergeCell ref="U3:U4"/>
    <mergeCell ref="V3:V4"/>
    <mergeCell ref="W3:W4"/>
    <mergeCell ref="X3:X4"/>
    <mergeCell ref="Y3:Y4"/>
    <mergeCell ref="Z3:Z4"/>
    <mergeCell ref="O3:O4"/>
    <mergeCell ref="P3:P4"/>
    <mergeCell ref="Q3:Q4"/>
    <mergeCell ref="R3:R4"/>
    <mergeCell ref="S3:S4"/>
    <mergeCell ref="T3:T4"/>
    <mergeCell ref="AG3:AG4"/>
    <mergeCell ref="AH3:AH4"/>
    <mergeCell ref="AI3:AI4"/>
    <mergeCell ref="AJ3:AJ4"/>
    <mergeCell ref="AK3:AK4"/>
    <mergeCell ref="AL3:AL4"/>
    <mergeCell ref="AA3:AA4"/>
    <mergeCell ref="AB3:AB4"/>
    <mergeCell ref="AC3:AC4"/>
    <mergeCell ref="AD3:AD4"/>
    <mergeCell ref="AE3:AE4"/>
    <mergeCell ref="AF3:AF4"/>
    <mergeCell ref="AV3:AV4"/>
    <mergeCell ref="AW3:AW4"/>
    <mergeCell ref="AX3:AX4"/>
    <mergeCell ref="AM3:AM4"/>
    <mergeCell ref="AN3:AN4"/>
    <mergeCell ref="AO3:AO4"/>
    <mergeCell ref="AP3:AP4"/>
    <mergeCell ref="AQ3:AQ4"/>
    <mergeCell ref="AR3:AR4"/>
    <mergeCell ref="CJ3:CJ4"/>
    <mergeCell ref="CK3:CK4"/>
    <mergeCell ref="BN3:BN4"/>
    <mergeCell ref="AS3:AS4"/>
    <mergeCell ref="AT3:AT4"/>
    <mergeCell ref="AU3:AU4"/>
    <mergeCell ref="CL3:CL4"/>
    <mergeCell ref="A5:A13"/>
    <mergeCell ref="A46:A47"/>
    <mergeCell ref="A48:A58"/>
    <mergeCell ref="BI3:BI4"/>
    <mergeCell ref="CB3:CB4"/>
    <mergeCell ref="CC3:CC4"/>
    <mergeCell ref="CD3:CD4"/>
    <mergeCell ref="CE3:CE4"/>
    <mergeCell ref="CF3:CF4"/>
    <mergeCell ref="CH3:CH4"/>
    <mergeCell ref="BV3:BV4"/>
    <mergeCell ref="BW3:BW4"/>
    <mergeCell ref="BX3:BX4"/>
    <mergeCell ref="BY3:BY4"/>
    <mergeCell ref="BZ3:BZ4"/>
    <mergeCell ref="CA3:CA4"/>
    <mergeCell ref="BL3:BL4"/>
    <mergeCell ref="BM3:BM4"/>
    <mergeCell ref="BR3:BR4"/>
    <mergeCell ref="BS3:BS4"/>
    <mergeCell ref="BT3:BT4"/>
    <mergeCell ref="CI3:CI4"/>
    <mergeCell ref="BG3:BG4"/>
    <mergeCell ref="O60:R60"/>
    <mergeCell ref="S60:V60"/>
    <mergeCell ref="W60:Z60"/>
    <mergeCell ref="AA60:AD60"/>
    <mergeCell ref="AE60:AH60"/>
    <mergeCell ref="AM60:AP60"/>
    <mergeCell ref="AI60:AL60"/>
    <mergeCell ref="AU60:AX60"/>
    <mergeCell ref="A60:A63"/>
    <mergeCell ref="B60:C60"/>
    <mergeCell ref="D60:F60"/>
    <mergeCell ref="G60:J60"/>
    <mergeCell ref="K60:N60"/>
    <mergeCell ref="AQ60:AT60"/>
    <mergeCell ref="D61:F61"/>
    <mergeCell ref="G61:J61"/>
    <mergeCell ref="K61:N61"/>
    <mergeCell ref="O61:R61"/>
    <mergeCell ref="B63:C63"/>
    <mergeCell ref="D63:F63"/>
    <mergeCell ref="G63:J63"/>
    <mergeCell ref="K63:N63"/>
    <mergeCell ref="O63:R63"/>
    <mergeCell ref="B61:C61"/>
    <mergeCell ref="AE61:AH61"/>
    <mergeCell ref="AI61:AL61"/>
    <mergeCell ref="AM61:AP61"/>
    <mergeCell ref="AQ61:AT61"/>
    <mergeCell ref="S61:V61"/>
    <mergeCell ref="B62:C62"/>
    <mergeCell ref="D62:F62"/>
    <mergeCell ref="G62:J62"/>
    <mergeCell ref="K62:N62"/>
    <mergeCell ref="O62:R62"/>
    <mergeCell ref="S62:V62"/>
    <mergeCell ref="AA62:AD62"/>
    <mergeCell ref="AE62:AH62"/>
    <mergeCell ref="AI62:AL62"/>
    <mergeCell ref="S63:V63"/>
    <mergeCell ref="BC62:BF62"/>
    <mergeCell ref="BJ62:BM62"/>
    <mergeCell ref="BC61:BF61"/>
    <mergeCell ref="W63:Z63"/>
    <mergeCell ref="AA63:AD63"/>
    <mergeCell ref="AE63:AH63"/>
    <mergeCell ref="AI63:AL63"/>
    <mergeCell ref="AM63:AP63"/>
    <mergeCell ref="AQ63:AT63"/>
    <mergeCell ref="AM62:AP62"/>
    <mergeCell ref="AQ62:AT62"/>
    <mergeCell ref="W61:Z61"/>
    <mergeCell ref="AA61:AD61"/>
    <mergeCell ref="BJ61:BM61"/>
    <mergeCell ref="W62:Z62"/>
    <mergeCell ref="AU63:AX63"/>
    <mergeCell ref="AY63:BB63"/>
    <mergeCell ref="BC63:BF63"/>
    <mergeCell ref="BJ63:BM63"/>
    <mergeCell ref="AU62:AX62"/>
    <mergeCell ref="AY62:BB62"/>
    <mergeCell ref="AU61:AX61"/>
    <mergeCell ref="AY61:BB61"/>
    <mergeCell ref="AY60:BB60"/>
    <mergeCell ref="BC60:BF60"/>
    <mergeCell ref="BJ60:BM60"/>
    <mergeCell ref="BU3:BU4"/>
    <mergeCell ref="BO3:BO4"/>
    <mergeCell ref="AY3:AY4"/>
    <mergeCell ref="AZ3:AZ4"/>
    <mergeCell ref="BA3:BA4"/>
    <mergeCell ref="BB3:BB4"/>
    <mergeCell ref="BJ3:BJ4"/>
    <mergeCell ref="BK3:BK4"/>
    <mergeCell ref="BG2:BI2"/>
    <mergeCell ref="BH3:BH4"/>
    <mergeCell ref="CG3:CG4"/>
    <mergeCell ref="BN61:BQ61"/>
    <mergeCell ref="BN62:BQ62"/>
    <mergeCell ref="BN63:BQ63"/>
    <mergeCell ref="BN2:BQ2"/>
    <mergeCell ref="BP3:BP4"/>
    <mergeCell ref="BQ3:BQ4"/>
    <mergeCell ref="BN60:BQ60"/>
    <mergeCell ref="BJ2:BM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F9C9D-52D5-4E50-9681-6D6AA8CEE85E}">
  <dimension ref="A1:CT426"/>
  <sheetViews>
    <sheetView workbookViewId="0">
      <pane xSplit="3" ySplit="4" topLeftCell="BP5" activePane="bottomRight" state="frozen"/>
      <selection pane="topRight" activeCell="D1" sqref="D1"/>
      <selection pane="bottomLeft" activeCell="A5" sqref="A5"/>
      <selection pane="bottomRight" activeCell="BR5" sqref="BR5"/>
    </sheetView>
  </sheetViews>
  <sheetFormatPr baseColWidth="10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2.81640625" customWidth="1"/>
    <col min="5" max="5" width="11" customWidth="1"/>
    <col min="6" max="6" width="12" customWidth="1"/>
    <col min="7" max="7" width="11.453125" customWidth="1"/>
    <col min="8" max="38" width="10.81640625" customWidth="1"/>
    <col min="39" max="39" width="12.54296875" customWidth="1"/>
    <col min="40" max="40" width="10.81640625" customWidth="1"/>
    <col min="41" max="41" width="10.81640625" style="57" customWidth="1"/>
    <col min="42" max="42" width="10.81640625" customWidth="1"/>
    <col min="43" max="43" width="17.1796875" bestFit="1" customWidth="1"/>
    <col min="44" max="44" width="10.81640625" customWidth="1"/>
    <col min="45" max="45" width="17.81640625" style="57" bestFit="1" customWidth="1"/>
    <col min="46" max="46" width="22.81640625" bestFit="1" customWidth="1"/>
    <col min="47" max="47" width="17.1796875" bestFit="1" customWidth="1"/>
    <col min="48" max="48" width="10.81640625" customWidth="1"/>
    <col min="49" max="49" width="17.81640625" bestFit="1" customWidth="1"/>
    <col min="50" max="50" width="22.81640625" bestFit="1" customWidth="1"/>
    <col min="51" max="51" width="21.1796875" customWidth="1"/>
    <col min="52" max="52" width="10.81640625" customWidth="1"/>
    <col min="53" max="53" width="17.81640625" bestFit="1" customWidth="1"/>
    <col min="54" max="54" width="22.81640625" bestFit="1" customWidth="1"/>
    <col min="55" max="55" width="24.1796875" style="191" bestFit="1" customWidth="1"/>
    <col min="56" max="56" width="10.81640625" style="191" customWidth="1"/>
    <col min="57" max="57" width="12.1796875" style="191" customWidth="1"/>
    <col min="58" max="58" width="10.81640625" style="191" customWidth="1"/>
    <col min="59" max="59" width="13.54296875" style="191" customWidth="1"/>
    <col min="60" max="60" width="13.1796875" style="191" customWidth="1"/>
    <col min="61" max="65" width="13.453125" style="191" customWidth="1"/>
    <col min="66" max="66" width="16.453125" style="191" customWidth="1"/>
    <col min="67" max="69" width="10.81640625" style="191" customWidth="1"/>
    <col min="70" max="70" width="15.1796875" style="191" customWidth="1"/>
    <col min="71" max="71" width="14" style="191" customWidth="1"/>
    <col min="72" max="72" width="12.81640625" style="191" customWidth="1"/>
    <col min="73" max="73" width="10.81640625" style="191" customWidth="1"/>
    <col min="74" max="92" width="11.1796875" customWidth="1"/>
    <col min="93" max="93" width="25.81640625" bestFit="1" customWidth="1"/>
    <col min="94" max="94" width="13" customWidth="1"/>
    <col min="95" max="95" width="15.453125" customWidth="1"/>
  </cols>
  <sheetData>
    <row r="1" spans="1:95" x14ac:dyDescent="0.25">
      <c r="A1" s="520" t="s">
        <v>55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  <c r="AP1" s="521"/>
      <c r="AQ1" s="521"/>
      <c r="AR1" s="521"/>
      <c r="AS1" s="521"/>
      <c r="AT1" s="521"/>
      <c r="AU1" s="521"/>
      <c r="AV1" s="521"/>
      <c r="AW1" s="521"/>
      <c r="AX1" s="521"/>
      <c r="AY1" s="521"/>
      <c r="AZ1" s="521"/>
      <c r="BA1" s="521"/>
      <c r="BB1" s="521"/>
      <c r="BC1" s="521"/>
      <c r="BD1" s="521"/>
      <c r="BE1" s="521"/>
      <c r="BF1" s="521"/>
      <c r="BG1" s="521"/>
      <c r="BH1" s="521"/>
      <c r="BI1" s="521"/>
      <c r="BJ1" s="521"/>
      <c r="BK1" s="521"/>
      <c r="BL1" s="521"/>
      <c r="BM1" s="521"/>
      <c r="BN1" s="521"/>
      <c r="BO1" s="521"/>
      <c r="BP1" s="521"/>
      <c r="BQ1" s="521"/>
      <c r="BR1" s="521"/>
      <c r="BS1" s="521"/>
      <c r="BT1" s="521"/>
      <c r="BU1" s="521"/>
      <c r="BV1" s="521"/>
      <c r="BW1" s="521"/>
      <c r="BX1" s="521"/>
      <c r="BY1" s="521"/>
      <c r="BZ1" s="521"/>
    </row>
    <row r="2" spans="1:95" ht="12.75" customHeight="1" x14ac:dyDescent="0.25">
      <c r="A2" s="522" t="s">
        <v>0</v>
      </c>
      <c r="B2" s="522" t="s">
        <v>1</v>
      </c>
      <c r="C2" s="523" t="s">
        <v>2</v>
      </c>
      <c r="D2" s="524" t="s">
        <v>68</v>
      </c>
      <c r="E2" s="525"/>
      <c r="F2" s="526"/>
      <c r="G2" s="530">
        <v>2002</v>
      </c>
      <c r="H2" s="531"/>
      <c r="I2" s="531"/>
      <c r="J2" s="532"/>
      <c r="K2" s="503">
        <v>2003</v>
      </c>
      <c r="L2" s="504"/>
      <c r="M2" s="504"/>
      <c r="N2" s="505"/>
      <c r="O2" s="533">
        <v>2004</v>
      </c>
      <c r="P2" s="534"/>
      <c r="Q2" s="534"/>
      <c r="R2" s="535"/>
      <c r="S2" s="506">
        <v>2005</v>
      </c>
      <c r="T2" s="507"/>
      <c r="U2" s="507"/>
      <c r="V2" s="508"/>
      <c r="W2" s="530">
        <v>2006</v>
      </c>
      <c r="X2" s="531"/>
      <c r="Y2" s="531"/>
      <c r="Z2" s="532"/>
      <c r="AA2" s="503">
        <v>2007</v>
      </c>
      <c r="AB2" s="504"/>
      <c r="AC2" s="504"/>
      <c r="AD2" s="505"/>
      <c r="AE2" s="533">
        <v>2008</v>
      </c>
      <c r="AF2" s="534"/>
      <c r="AG2" s="534"/>
      <c r="AH2" s="535"/>
      <c r="AI2" s="506">
        <v>2009</v>
      </c>
      <c r="AJ2" s="507"/>
      <c r="AK2" s="507"/>
      <c r="AL2" s="508"/>
      <c r="AM2" s="509">
        <v>2010</v>
      </c>
      <c r="AN2" s="510"/>
      <c r="AO2" s="510"/>
      <c r="AP2" s="511"/>
      <c r="AQ2" s="512">
        <v>2011</v>
      </c>
      <c r="AR2" s="513"/>
      <c r="AS2" s="513"/>
      <c r="AT2" s="514"/>
      <c r="AU2" s="515">
        <v>2012</v>
      </c>
      <c r="AV2" s="516"/>
      <c r="AW2" s="516"/>
      <c r="AX2" s="517"/>
      <c r="AY2" s="527">
        <v>2013</v>
      </c>
      <c r="AZ2" s="528"/>
      <c r="BA2" s="528"/>
      <c r="BB2" s="529"/>
      <c r="BC2" s="435">
        <v>2014</v>
      </c>
      <c r="BD2" s="436"/>
      <c r="BE2" s="436"/>
      <c r="BF2" s="437"/>
      <c r="BG2" s="536">
        <v>2014.5</v>
      </c>
      <c r="BH2" s="537"/>
      <c r="BI2" s="538"/>
      <c r="BJ2" s="541">
        <v>2015</v>
      </c>
      <c r="BK2" s="542"/>
      <c r="BL2" s="542"/>
      <c r="BM2" s="543"/>
      <c r="BN2" s="552">
        <v>2016</v>
      </c>
      <c r="BO2" s="553"/>
      <c r="BP2" s="553"/>
      <c r="BQ2" s="553"/>
      <c r="BR2" s="556">
        <v>2017</v>
      </c>
      <c r="BS2" s="557"/>
      <c r="BT2" s="557"/>
      <c r="BU2" s="557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498">
        <v>2017</v>
      </c>
      <c r="CP2" s="499"/>
      <c r="CQ2" s="500"/>
    </row>
    <row r="3" spans="1:95" s="1" customFormat="1" ht="12.75" customHeight="1" x14ac:dyDescent="0.3">
      <c r="A3" s="522"/>
      <c r="B3" s="522"/>
      <c r="C3" s="523"/>
      <c r="D3" s="501" t="s">
        <v>69</v>
      </c>
      <c r="E3" s="501" t="s">
        <v>3</v>
      </c>
      <c r="F3" s="501" t="s">
        <v>70</v>
      </c>
      <c r="G3" s="492" t="s">
        <v>5</v>
      </c>
      <c r="H3" s="492" t="s">
        <v>4</v>
      </c>
      <c r="I3" s="492" t="s">
        <v>3</v>
      </c>
      <c r="J3" s="492" t="s">
        <v>45</v>
      </c>
      <c r="K3" s="494" t="s">
        <v>5</v>
      </c>
      <c r="L3" s="494" t="s">
        <v>4</v>
      </c>
      <c r="M3" s="494" t="s">
        <v>3</v>
      </c>
      <c r="N3" s="494" t="s">
        <v>45</v>
      </c>
      <c r="O3" s="518" t="s">
        <v>5</v>
      </c>
      <c r="P3" s="518" t="s">
        <v>4</v>
      </c>
      <c r="Q3" s="518" t="s">
        <v>3</v>
      </c>
      <c r="R3" s="518" t="s">
        <v>45</v>
      </c>
      <c r="S3" s="486" t="s">
        <v>5</v>
      </c>
      <c r="T3" s="486" t="s">
        <v>4</v>
      </c>
      <c r="U3" s="486" t="s">
        <v>3</v>
      </c>
      <c r="V3" s="486" t="s">
        <v>45</v>
      </c>
      <c r="W3" s="492" t="s">
        <v>5</v>
      </c>
      <c r="X3" s="492" t="s">
        <v>4</v>
      </c>
      <c r="Y3" s="492" t="s">
        <v>3</v>
      </c>
      <c r="Z3" s="492" t="s">
        <v>45</v>
      </c>
      <c r="AA3" s="494" t="s">
        <v>5</v>
      </c>
      <c r="AB3" s="494" t="s">
        <v>4</v>
      </c>
      <c r="AC3" s="494" t="s">
        <v>3</v>
      </c>
      <c r="AD3" s="494" t="s">
        <v>45</v>
      </c>
      <c r="AE3" s="518" t="s">
        <v>5</v>
      </c>
      <c r="AF3" s="518" t="s">
        <v>4</v>
      </c>
      <c r="AG3" s="518" t="s">
        <v>3</v>
      </c>
      <c r="AH3" s="518" t="s">
        <v>45</v>
      </c>
      <c r="AI3" s="486" t="s">
        <v>5</v>
      </c>
      <c r="AJ3" s="486" t="s">
        <v>4</v>
      </c>
      <c r="AK3" s="486" t="s">
        <v>3</v>
      </c>
      <c r="AL3" s="486" t="s">
        <v>45</v>
      </c>
      <c r="AM3" s="488" t="s">
        <v>5</v>
      </c>
      <c r="AN3" s="488" t="s">
        <v>4</v>
      </c>
      <c r="AO3" s="488" t="s">
        <v>3</v>
      </c>
      <c r="AP3" s="488" t="s">
        <v>93</v>
      </c>
      <c r="AQ3" s="496" t="s">
        <v>5</v>
      </c>
      <c r="AR3" s="484" t="s">
        <v>4</v>
      </c>
      <c r="AS3" s="484" t="s">
        <v>3</v>
      </c>
      <c r="AT3" s="484" t="s">
        <v>93</v>
      </c>
      <c r="AU3" s="449" t="s">
        <v>5</v>
      </c>
      <c r="AV3" s="449" t="s">
        <v>4</v>
      </c>
      <c r="AW3" s="449" t="s">
        <v>3</v>
      </c>
      <c r="AX3" s="449" t="s">
        <v>93</v>
      </c>
      <c r="AY3" s="451" t="s">
        <v>5</v>
      </c>
      <c r="AZ3" s="447" t="s">
        <v>4</v>
      </c>
      <c r="BA3" s="447" t="s">
        <v>3</v>
      </c>
      <c r="BB3" s="447" t="s">
        <v>93</v>
      </c>
      <c r="BC3" s="453" t="s">
        <v>5</v>
      </c>
      <c r="BD3" s="192" t="s">
        <v>4</v>
      </c>
      <c r="BE3" s="192" t="s">
        <v>3</v>
      </c>
      <c r="BF3" s="192" t="s">
        <v>93</v>
      </c>
      <c r="BG3" s="539" t="s">
        <v>105</v>
      </c>
      <c r="BH3" s="539" t="s">
        <v>107</v>
      </c>
      <c r="BI3" s="539" t="s">
        <v>106</v>
      </c>
      <c r="BJ3" s="544" t="s">
        <v>5</v>
      </c>
      <c r="BK3" s="544" t="s">
        <v>4</v>
      </c>
      <c r="BL3" s="544" t="s">
        <v>3</v>
      </c>
      <c r="BM3" s="544" t="s">
        <v>93</v>
      </c>
      <c r="BN3" s="554" t="s">
        <v>5</v>
      </c>
      <c r="BO3" s="554" t="s">
        <v>4</v>
      </c>
      <c r="BP3" s="554" t="s">
        <v>3</v>
      </c>
      <c r="BQ3" s="554" t="s">
        <v>93</v>
      </c>
      <c r="BR3" s="544" t="s">
        <v>5</v>
      </c>
      <c r="BS3" s="544" t="s">
        <v>4</v>
      </c>
      <c r="BT3" s="544" t="s">
        <v>3</v>
      </c>
      <c r="BU3" s="544" t="s">
        <v>93</v>
      </c>
      <c r="BV3" s="476" t="s">
        <v>63</v>
      </c>
      <c r="BW3" s="476" t="s">
        <v>71</v>
      </c>
      <c r="BX3" s="476" t="s">
        <v>72</v>
      </c>
      <c r="BY3" s="476" t="s">
        <v>73</v>
      </c>
      <c r="BZ3" s="476" t="s">
        <v>74</v>
      </c>
      <c r="CA3" s="476" t="s">
        <v>75</v>
      </c>
      <c r="CB3" s="476" t="s">
        <v>62</v>
      </c>
      <c r="CC3" s="476" t="s">
        <v>64</v>
      </c>
      <c r="CD3" s="476" t="s">
        <v>65</v>
      </c>
      <c r="CE3" s="476" t="s">
        <v>66</v>
      </c>
      <c r="CF3" s="476" t="s">
        <v>67</v>
      </c>
      <c r="CG3" s="476" t="s">
        <v>76</v>
      </c>
      <c r="CH3" s="476" t="s">
        <v>77</v>
      </c>
      <c r="CI3" s="476" t="s">
        <v>78</v>
      </c>
      <c r="CJ3" s="476" t="s">
        <v>79</v>
      </c>
      <c r="CK3" s="476" t="s">
        <v>108</v>
      </c>
      <c r="CL3" s="476" t="s">
        <v>98</v>
      </c>
      <c r="CM3" s="476" t="s">
        <v>99</v>
      </c>
      <c r="CN3" s="476" t="s">
        <v>100</v>
      </c>
      <c r="CO3" s="490" t="s">
        <v>56</v>
      </c>
      <c r="CP3" s="490" t="s">
        <v>57</v>
      </c>
      <c r="CQ3" s="490" t="s">
        <v>58</v>
      </c>
    </row>
    <row r="4" spans="1:95" ht="26.25" customHeight="1" x14ac:dyDescent="0.25">
      <c r="A4" s="522"/>
      <c r="B4" s="522"/>
      <c r="C4" s="523"/>
      <c r="D4" s="502"/>
      <c r="E4" s="502"/>
      <c r="F4" s="502"/>
      <c r="G4" s="493"/>
      <c r="H4" s="493"/>
      <c r="I4" s="493"/>
      <c r="J4" s="493"/>
      <c r="K4" s="495"/>
      <c r="L4" s="495"/>
      <c r="M4" s="495"/>
      <c r="N4" s="495"/>
      <c r="O4" s="519"/>
      <c r="P4" s="519"/>
      <c r="Q4" s="519"/>
      <c r="R4" s="519"/>
      <c r="S4" s="487"/>
      <c r="T4" s="487"/>
      <c r="U4" s="487"/>
      <c r="V4" s="487"/>
      <c r="W4" s="493"/>
      <c r="X4" s="493"/>
      <c r="Y4" s="493"/>
      <c r="Z4" s="493"/>
      <c r="AA4" s="495"/>
      <c r="AB4" s="495"/>
      <c r="AC4" s="495"/>
      <c r="AD4" s="495"/>
      <c r="AE4" s="519"/>
      <c r="AF4" s="519"/>
      <c r="AG4" s="519"/>
      <c r="AH4" s="519"/>
      <c r="AI4" s="487"/>
      <c r="AJ4" s="487"/>
      <c r="AK4" s="487"/>
      <c r="AL4" s="487"/>
      <c r="AM4" s="489"/>
      <c r="AN4" s="489"/>
      <c r="AO4" s="489"/>
      <c r="AP4" s="489"/>
      <c r="AQ4" s="497"/>
      <c r="AR4" s="485"/>
      <c r="AS4" s="485"/>
      <c r="AT4" s="485"/>
      <c r="AU4" s="450"/>
      <c r="AV4" s="450"/>
      <c r="AW4" s="450"/>
      <c r="AX4" s="450"/>
      <c r="AY4" s="452"/>
      <c r="AZ4" s="448"/>
      <c r="BA4" s="448"/>
      <c r="BB4" s="448"/>
      <c r="BC4" s="454"/>
      <c r="BD4" s="193"/>
      <c r="BE4" s="193"/>
      <c r="BF4" s="193"/>
      <c r="BG4" s="540"/>
      <c r="BH4" s="540"/>
      <c r="BI4" s="540"/>
      <c r="BJ4" s="545"/>
      <c r="BK4" s="545"/>
      <c r="BL4" s="545"/>
      <c r="BM4" s="545"/>
      <c r="BN4" s="555"/>
      <c r="BO4" s="555"/>
      <c r="BP4" s="555"/>
      <c r="BQ4" s="555"/>
      <c r="BR4" s="545"/>
      <c r="BS4" s="545"/>
      <c r="BT4" s="545"/>
      <c r="BU4" s="545"/>
      <c r="BV4" s="477"/>
      <c r="BW4" s="477"/>
      <c r="BX4" s="477"/>
      <c r="BY4" s="477"/>
      <c r="BZ4" s="477"/>
      <c r="CA4" s="477"/>
      <c r="CB4" s="477"/>
      <c r="CC4" s="477"/>
      <c r="CD4" s="477"/>
      <c r="CE4" s="477"/>
      <c r="CF4" s="477"/>
      <c r="CG4" s="477"/>
      <c r="CH4" s="477"/>
      <c r="CI4" s="477"/>
      <c r="CJ4" s="477"/>
      <c r="CK4" s="477"/>
      <c r="CL4" s="477"/>
      <c r="CM4" s="477"/>
      <c r="CN4" s="477"/>
      <c r="CO4" s="491"/>
      <c r="CP4" s="491"/>
      <c r="CQ4" s="491"/>
    </row>
    <row r="5" spans="1:95" ht="12.75" customHeight="1" x14ac:dyDescent="0.25">
      <c r="A5" s="478" t="s">
        <v>6</v>
      </c>
      <c r="B5" s="3" t="s">
        <v>7</v>
      </c>
      <c r="C5" s="7">
        <v>4</v>
      </c>
      <c r="D5" s="37">
        <v>2192460.6575303557</v>
      </c>
      <c r="E5" s="151"/>
      <c r="F5" s="152">
        <v>1449825.5495615059</v>
      </c>
      <c r="G5" s="87">
        <v>167256.03900000002</v>
      </c>
      <c r="H5" s="88"/>
      <c r="I5" s="127"/>
      <c r="J5" s="88"/>
      <c r="K5" s="89">
        <v>48031.15</v>
      </c>
      <c r="L5" s="90"/>
      <c r="M5" s="153"/>
      <c r="N5" s="91"/>
      <c r="O5" s="92">
        <v>65709.412000000011</v>
      </c>
      <c r="P5" s="93"/>
      <c r="Q5" s="94"/>
      <c r="R5" s="93"/>
      <c r="S5" s="154">
        <v>62165.65</v>
      </c>
      <c r="T5" s="114"/>
      <c r="U5" s="154"/>
      <c r="V5" s="155"/>
      <c r="W5" s="58">
        <v>90684.24</v>
      </c>
      <c r="X5" s="58">
        <v>0</v>
      </c>
      <c r="Y5" s="58"/>
      <c r="Z5" s="59"/>
      <c r="AA5" s="60">
        <v>32408.87</v>
      </c>
      <c r="AB5" s="156">
        <v>0</v>
      </c>
      <c r="AC5" s="157"/>
      <c r="AD5" s="61"/>
      <c r="AE5" s="63">
        <v>97632.98</v>
      </c>
      <c r="AF5" s="63">
        <v>0</v>
      </c>
      <c r="AG5" s="158"/>
      <c r="AH5" s="62"/>
      <c r="AI5" s="154">
        <v>249294.06387699995</v>
      </c>
      <c r="AJ5" s="154">
        <v>0</v>
      </c>
      <c r="AK5" s="154"/>
      <c r="AL5" s="155"/>
      <c r="AM5" s="49">
        <v>61005.71</v>
      </c>
      <c r="AN5" s="49">
        <v>0</v>
      </c>
      <c r="AO5" s="49"/>
      <c r="AP5" s="50"/>
      <c r="AQ5" s="159">
        <v>121471.92000000001</v>
      </c>
      <c r="AR5" s="198">
        <v>0</v>
      </c>
      <c r="AS5" s="198"/>
      <c r="AT5" s="198"/>
      <c r="AU5" s="210">
        <v>0</v>
      </c>
      <c r="AV5" s="210">
        <v>0</v>
      </c>
      <c r="AW5" s="210"/>
      <c r="AX5" s="210"/>
      <c r="AY5" s="129">
        <v>12228.079999999998</v>
      </c>
      <c r="AZ5" s="129">
        <v>0</v>
      </c>
      <c r="BA5" s="129"/>
      <c r="BB5" s="129"/>
      <c r="BC5" s="144">
        <v>78776.69</v>
      </c>
      <c r="BD5" s="136"/>
      <c r="BE5" s="136"/>
      <c r="BF5" s="136"/>
      <c r="BG5" s="252"/>
      <c r="BH5" s="252"/>
      <c r="BI5" s="252"/>
      <c r="BJ5" s="226">
        <v>602994.75999999989</v>
      </c>
      <c r="BK5" s="226"/>
      <c r="BL5" s="226"/>
      <c r="BM5" s="226"/>
      <c r="BN5" s="233">
        <v>934571.95000000007</v>
      </c>
      <c r="BO5" s="233"/>
      <c r="BP5" s="233"/>
      <c r="BQ5" s="233"/>
      <c r="BR5" s="243">
        <v>677544.21999999974</v>
      </c>
      <c r="BS5" s="243"/>
      <c r="BT5" s="243"/>
      <c r="BU5" s="243"/>
      <c r="BV5" s="26">
        <f t="shared" ref="BV5:BV12" si="0">IF(D5=0,0,2001-(D5-F5)*C5/D5)</f>
        <v>1999.6451111805941</v>
      </c>
      <c r="BW5" s="43">
        <f t="shared" ref="BW5:BW12" si="1">IF((1-($CO$2-$BV5)/$C5)&gt;0,(1-($CO$2-$BV5)/$C5),0)</f>
        <v>0</v>
      </c>
      <c r="BX5" s="43">
        <f t="shared" ref="BX5:BX12" si="2">IF((1-($CO$2-G$2)/$C5)&gt;0,(1-($CO$2-G$2)/$C5),0)</f>
        <v>0</v>
      </c>
      <c r="BY5" s="43">
        <f t="shared" ref="BY5:BY12" si="3">IF((1-($CO$2-K$2)/$C5)&gt;0,(1-($CO$2-K$2)/$C5),0)</f>
        <v>0</v>
      </c>
      <c r="BZ5" s="43">
        <f t="shared" ref="BZ5:BZ12" si="4">IF((1-($CO$2-O$2)/$C5)&gt;0,(1-($CO$2-O$2)/$C5),0)</f>
        <v>0</v>
      </c>
      <c r="CA5" s="43">
        <f t="shared" ref="CA5:CA12" si="5">IF((1-($CO$2-S$2)/$C5)&gt;0,(1-($CO$2-S$2)/$C5),0)</f>
        <v>0</v>
      </c>
      <c r="CB5" s="43">
        <f t="shared" ref="CB5:CB12" si="6">IF((1-($CO$2-W$2)/$C5)&gt;0,(1-($CO$2-W$2)/$C5),0)</f>
        <v>0</v>
      </c>
      <c r="CC5" s="43">
        <f t="shared" ref="CC5:CC12" si="7">IF((1-($CO$2-AA$2)/$C5)&gt;0,(1-($CO$2-AA$2)/$C5),0)</f>
        <v>0</v>
      </c>
      <c r="CD5" s="43">
        <f t="shared" ref="CD5:CD12" si="8">IF((1-($CO$2-AE$2)/$C5)&gt;0,(1-($CO$2-AE$2)/$C5),0)</f>
        <v>0</v>
      </c>
      <c r="CE5" s="43">
        <f t="shared" ref="CE5:CE12" si="9">IF((1-($CO$2-AI$2)/$C5)&gt;0,(1-($CO$2-AI$2)/$C5),0)</f>
        <v>0</v>
      </c>
      <c r="CF5" s="43">
        <f t="shared" ref="CF5:CF12" si="10">IF((1-($CO$2-AM$2)/$C5)&gt;0,(1-($CO$2-AM$2)/$C5),0)</f>
        <v>0</v>
      </c>
      <c r="CG5" s="43">
        <f t="shared" ref="CG5:CG12" si="11">IF((1-($CO$2-AQ$2)/$C5)&gt;0,(1-($CO$2-AQ$2)/$C5),0)</f>
        <v>0</v>
      </c>
      <c r="CH5" s="43">
        <f t="shared" ref="CH5:CH12" si="12">IF((1-($CO$2-AU$2)/$C5)&gt;0,(1-($CO$2-AU$2)/$C5),0)</f>
        <v>0</v>
      </c>
      <c r="CI5" s="43">
        <f t="shared" ref="CI5:CI12" si="13">IF((1-($CO$2-AY$2)/$C5)&gt;0,(1-($CO$2-AY$2)/$C5),0)</f>
        <v>0</v>
      </c>
      <c r="CJ5" s="43">
        <f t="shared" ref="CJ5:CJ12" si="14">IF((1-($CO$2-BC$2)/$C5)&gt;0,(1-($CO$2-BC$2)/$C5),0)</f>
        <v>0.25</v>
      </c>
      <c r="CK5" s="43">
        <f>IF(BG5=0,0,1-($CO$2-(2014.5-(BG5-BI5)*C5/BG5))/C5)</f>
        <v>0</v>
      </c>
      <c r="CL5" s="43">
        <f t="shared" ref="CL5:CL12" si="15">IF((1-($CO$2-BJ$2)/$C5)&gt;0,(1-($CO$2-BJ$2)/$C5),0)</f>
        <v>0.5</v>
      </c>
      <c r="CM5" s="43">
        <f t="shared" ref="CM5:CM12" si="16">IF((1-($CO$2-BN$2)/$C5)&gt;0,(1-($CO$2-BN$2)/$C5),0)</f>
        <v>0.75</v>
      </c>
      <c r="CN5" s="43">
        <f t="shared" ref="CN5:CN12" si="17">IF((1-($CO$2-BR$2)/$C5)&gt;0,(1-($CO$2-BR$2)/$C5),0)</f>
        <v>1</v>
      </c>
      <c r="CO5" s="239">
        <f t="shared" ref="CO5:CO12" si="18">D5-E5+(G5-I5)*G$60+(K5-M5)*K$60+(O5-Q5)*O$60+(S5-U5)*S$60+(W5-Y5)*W$60+(AA5-AC5)*AA$60+(AE5-AG5)*AE$60+(AI5-AK5)*AI$60+(AM5-AO5)*AM$60+(AQ5-AS5)*$AQ$60+(AU5-AW5)*$AU$60+(AY5-BA5)*$AY$60+(BC5-BE5)*$BC$60+(BJ5-BL5)*$BJ$60+BG5+(BN5-BP5)*$BN$60+(BR5-BT5)*$BR$60</f>
        <v>5069975.6737265401</v>
      </c>
      <c r="CP5" s="239">
        <f t="shared" ref="CP5:CP12" si="19">CO5-(IF(BW5=0,0,D5-E5)+IF(BX5=0,0,(G5-I5)*G$60)+IF(BY5=0,0,(K5-M5)*K$60)+IF(BZ5=0,0,(O5-Q5)*O$60)+IF(CA5=0,0,(S5-U5)*S$60)+IF(CB5=0,0,(W5-Y5)*W$60)+IF(CC5=0,0,(AA5-AC5)*AA$60)+IF(CD5=0,0,(AE5-AG5)*AE$60)+IF(CE5=0,0,(AI5-AK5)*AI$60)+IF(CF5=0,0,(AM5-AO5)*AM$60)+IF(CG5=0,0,(AQ5-AS5)*$AQ$60)+IF(CH5=0,0,(AU5-AW5)*$AU$60)+IF(CI5=0,0,(AY5-BA5)*$AY$60)++IF(CJ5=0,0,(BC5-BE5)*$BC$60)+IF(CL5=0,0,(BJ5-BL5)*$BJ$60)+IF(CK5=0,0,BG5)+IF(CM5=0,0,(BN5-BP5)*$BN$60)+IF(CN5=0,0,(BR5-BT5)*$BR$60))</f>
        <v>3035892.919585756</v>
      </c>
      <c r="CQ5" s="239">
        <f t="shared" ref="CQ5:CQ12" si="20">(D5-E5)*BW5+((G5-H5-(I5-J5))*G$60)*BX5+((K5-L5-(M5-N5))*K$60)*BY5+((O5-P5-(Q5-R5))*O$60)*BZ5+((S5-T5-(U5-V5))*S$60)*CA5+((W5-X5-(Y5-Z5))*W$60)*CB5+((AA5-AB5-(AC5-AD5))*AA$60)*CC5+((AE5-AF5-(AG5-AH5))*AE$60)*CD5+((AI5-AJ5-(AK5-AL5))*AI$60)*CE5+((AM5-AN5-(AO5-AP5))*$AM$60)*CF5+((AQ5-AR5-(AS5-AT5))*$AQ$60)*CG5+((AU5-AV5-(AW5-AX5))*$AU$60)*CH5+((AY5-AZ5-(BA5-BB5))*$AY$60)*CI5+((BC5-BD5-(BF5-BV5))*$BC$60)*CJ5+((BJ5-BK5-(BL5-BM5))*$BJ$60)*CL5+(BG5-BH5)*CK5+((BN5-BO5-(BP5-BQ5))*$BN$60)*CM5+((BR5-BS5-(BT5-BU5))*$BR$60)*CN5</f>
        <v>1524504.8660358898</v>
      </c>
    </row>
    <row r="6" spans="1:95" ht="12.75" customHeight="1" x14ac:dyDescent="0.25">
      <c r="A6" s="479"/>
      <c r="B6" s="3" t="s">
        <v>8</v>
      </c>
      <c r="C6" s="17">
        <v>1000</v>
      </c>
      <c r="D6" s="37">
        <v>103551.78496860871</v>
      </c>
      <c r="E6" s="151"/>
      <c r="F6" s="160">
        <v>103551.78496860871</v>
      </c>
      <c r="G6" s="87">
        <v>3081.72</v>
      </c>
      <c r="H6" s="88"/>
      <c r="I6" s="127"/>
      <c r="J6" s="88"/>
      <c r="K6" s="89">
        <v>0</v>
      </c>
      <c r="L6" s="90"/>
      <c r="M6" s="153"/>
      <c r="N6" s="91"/>
      <c r="O6" s="95">
        <v>0</v>
      </c>
      <c r="P6" s="93"/>
      <c r="Q6" s="94"/>
      <c r="R6" s="93"/>
      <c r="S6" s="154">
        <v>0</v>
      </c>
      <c r="T6" s="114"/>
      <c r="U6" s="154"/>
      <c r="V6" s="155"/>
      <c r="W6" s="58">
        <v>0</v>
      </c>
      <c r="X6" s="58">
        <v>0</v>
      </c>
      <c r="Y6" s="58"/>
      <c r="Z6" s="59"/>
      <c r="AA6" s="76">
        <v>0</v>
      </c>
      <c r="AB6" s="156">
        <v>0</v>
      </c>
      <c r="AC6" s="157"/>
      <c r="AD6" s="61"/>
      <c r="AE6" s="63">
        <v>0</v>
      </c>
      <c r="AF6" s="63">
        <v>0</v>
      </c>
      <c r="AG6" s="158"/>
      <c r="AH6" s="62"/>
      <c r="AI6" s="154">
        <v>0</v>
      </c>
      <c r="AJ6" s="154">
        <v>0</v>
      </c>
      <c r="AK6" s="154"/>
      <c r="AL6" s="155"/>
      <c r="AM6" s="49">
        <v>0</v>
      </c>
      <c r="AN6" s="49">
        <v>0</v>
      </c>
      <c r="AO6" s="49"/>
      <c r="AP6" s="50"/>
      <c r="AQ6" s="159">
        <v>0</v>
      </c>
      <c r="AR6" s="198">
        <v>0</v>
      </c>
      <c r="AS6" s="198"/>
      <c r="AT6" s="198"/>
      <c r="AU6" s="210">
        <v>0</v>
      </c>
      <c r="AV6" s="210">
        <v>0</v>
      </c>
      <c r="AW6" s="210"/>
      <c r="AX6" s="210"/>
      <c r="AY6" s="129">
        <v>0</v>
      </c>
      <c r="AZ6" s="129">
        <v>0</v>
      </c>
      <c r="BA6" s="129"/>
      <c r="BB6" s="129"/>
      <c r="BC6" s="144">
        <v>215517.81</v>
      </c>
      <c r="BD6" s="136"/>
      <c r="BE6" s="136"/>
      <c r="BF6" s="136"/>
      <c r="BG6" s="252">
        <v>690000</v>
      </c>
      <c r="BH6" s="252"/>
      <c r="BI6" s="252">
        <v>690000</v>
      </c>
      <c r="BJ6" s="226">
        <v>0</v>
      </c>
      <c r="BK6" s="226"/>
      <c r="BL6" s="226"/>
      <c r="BM6" s="226"/>
      <c r="BN6" s="233">
        <v>0</v>
      </c>
      <c r="BO6" s="233"/>
      <c r="BP6" s="233"/>
      <c r="BQ6" s="233"/>
      <c r="BR6" s="243">
        <v>348000</v>
      </c>
      <c r="BS6" s="243"/>
      <c r="BT6" s="243"/>
      <c r="BU6" s="243"/>
      <c r="BV6" s="26">
        <f t="shared" si="0"/>
        <v>2001</v>
      </c>
      <c r="BW6" s="43">
        <f t="shared" si="1"/>
        <v>0.98399999999999999</v>
      </c>
      <c r="BX6" s="43">
        <f t="shared" si="2"/>
        <v>0.98499999999999999</v>
      </c>
      <c r="BY6" s="43">
        <f t="shared" si="3"/>
        <v>0.98599999999999999</v>
      </c>
      <c r="BZ6" s="43">
        <f t="shared" si="4"/>
        <v>0.98699999999999999</v>
      </c>
      <c r="CA6" s="43">
        <f t="shared" si="5"/>
        <v>0.98799999999999999</v>
      </c>
      <c r="CB6" s="43">
        <f t="shared" si="6"/>
        <v>0.98899999999999999</v>
      </c>
      <c r="CC6" s="43">
        <f t="shared" si="7"/>
        <v>0.99</v>
      </c>
      <c r="CD6" s="43">
        <f t="shared" si="8"/>
        <v>0.99099999999999999</v>
      </c>
      <c r="CE6" s="43">
        <f t="shared" si="9"/>
        <v>0.99199999999999999</v>
      </c>
      <c r="CF6" s="43">
        <f t="shared" si="10"/>
        <v>0.99299999999999999</v>
      </c>
      <c r="CG6" s="43">
        <f t="shared" si="11"/>
        <v>0.99399999999999999</v>
      </c>
      <c r="CH6" s="43">
        <f t="shared" si="12"/>
        <v>0.995</v>
      </c>
      <c r="CI6" s="43">
        <f t="shared" si="13"/>
        <v>0.996</v>
      </c>
      <c r="CJ6" s="43">
        <f t="shared" si="14"/>
        <v>0.997</v>
      </c>
      <c r="CK6" s="43">
        <f t="shared" ref="CK6:CK12" si="21">IF(BG6=0,0,1-($CO$2-(2014.5-(BG6-BI6)*C6/BG6))/C6)</f>
        <v>0.99750000000000005</v>
      </c>
      <c r="CL6" s="43">
        <f t="shared" si="15"/>
        <v>0.998</v>
      </c>
      <c r="CM6" s="43">
        <f t="shared" si="16"/>
        <v>0.999</v>
      </c>
      <c r="CN6" s="43">
        <f t="shared" si="17"/>
        <v>1</v>
      </c>
      <c r="CO6" s="239">
        <f t="shared" si="18"/>
        <v>1314125.0854951243</v>
      </c>
      <c r="CP6" s="239">
        <f t="shared" si="19"/>
        <v>0</v>
      </c>
      <c r="CQ6" s="239">
        <f t="shared" si="20"/>
        <v>1311923.9127531094</v>
      </c>
    </row>
    <row r="7" spans="1:95" ht="12.75" customHeight="1" x14ac:dyDescent="0.25">
      <c r="A7" s="479"/>
      <c r="B7" s="3" t="s">
        <v>9</v>
      </c>
      <c r="C7" s="7">
        <v>40</v>
      </c>
      <c r="D7" s="37">
        <v>1140916.4856518731</v>
      </c>
      <c r="E7" s="151"/>
      <c r="F7" s="152">
        <v>709242.31697422103</v>
      </c>
      <c r="G7" s="87">
        <v>4550.21</v>
      </c>
      <c r="H7" s="88"/>
      <c r="I7" s="127"/>
      <c r="J7" s="88"/>
      <c r="K7" s="89">
        <v>8402.57</v>
      </c>
      <c r="L7" s="90"/>
      <c r="M7" s="153"/>
      <c r="N7" s="91"/>
      <c r="O7" s="95">
        <v>0</v>
      </c>
      <c r="P7" s="93"/>
      <c r="Q7" s="94"/>
      <c r="R7" s="93"/>
      <c r="S7" s="154">
        <v>38527</v>
      </c>
      <c r="T7" s="114"/>
      <c r="U7" s="154"/>
      <c r="V7" s="155"/>
      <c r="W7" s="58">
        <v>34301.56</v>
      </c>
      <c r="X7" s="58">
        <v>0</v>
      </c>
      <c r="Y7" s="58"/>
      <c r="Z7" s="59"/>
      <c r="AA7" s="70">
        <v>58280.87</v>
      </c>
      <c r="AB7" s="156">
        <v>0</v>
      </c>
      <c r="AC7" s="157"/>
      <c r="AD7" s="61"/>
      <c r="AE7" s="63">
        <v>2487.96</v>
      </c>
      <c r="AF7" s="63">
        <v>0</v>
      </c>
      <c r="AG7" s="158"/>
      <c r="AH7" s="62"/>
      <c r="AI7" s="154">
        <v>0</v>
      </c>
      <c r="AJ7" s="154">
        <v>0</v>
      </c>
      <c r="AK7" s="154"/>
      <c r="AL7" s="155"/>
      <c r="AM7" s="49">
        <v>0</v>
      </c>
      <c r="AN7" s="49">
        <v>0</v>
      </c>
      <c r="AO7" s="49"/>
      <c r="AP7" s="50"/>
      <c r="AQ7" s="159">
        <v>7039.45</v>
      </c>
      <c r="AR7" s="198">
        <v>0</v>
      </c>
      <c r="AS7" s="198"/>
      <c r="AT7" s="198"/>
      <c r="AU7" s="210">
        <v>0</v>
      </c>
      <c r="AV7" s="210">
        <v>0</v>
      </c>
      <c r="AW7" s="210"/>
      <c r="AX7" s="210"/>
      <c r="AY7" s="129">
        <v>0</v>
      </c>
      <c r="AZ7" s="129">
        <v>0</v>
      </c>
      <c r="BA7" s="129"/>
      <c r="BB7" s="129"/>
      <c r="BC7" s="144">
        <v>8855.2000000000007</v>
      </c>
      <c r="BD7" s="136"/>
      <c r="BE7" s="136"/>
      <c r="BF7" s="136"/>
      <c r="BG7" s="252">
        <v>250000</v>
      </c>
      <c r="BH7" s="252"/>
      <c r="BI7" s="252">
        <v>250000</v>
      </c>
      <c r="BJ7" s="226">
        <v>132639.19</v>
      </c>
      <c r="BK7" s="226"/>
      <c r="BL7" s="226"/>
      <c r="BM7" s="226"/>
      <c r="BN7" s="233">
        <v>0</v>
      </c>
      <c r="BO7" s="233"/>
      <c r="BP7" s="233"/>
      <c r="BQ7" s="233"/>
      <c r="BR7" s="243">
        <v>0</v>
      </c>
      <c r="BS7" s="243"/>
      <c r="BT7" s="243"/>
      <c r="BU7" s="243"/>
      <c r="BV7" s="26">
        <f t="shared" si="0"/>
        <v>1985.8657049273502</v>
      </c>
      <c r="BW7" s="43">
        <f t="shared" si="1"/>
        <v>0.22164262318375449</v>
      </c>
      <c r="BX7" s="43">
        <f t="shared" si="2"/>
        <v>0.625</v>
      </c>
      <c r="BY7" s="43">
        <f t="shared" si="3"/>
        <v>0.65</v>
      </c>
      <c r="BZ7" s="43">
        <f t="shared" si="4"/>
        <v>0.67500000000000004</v>
      </c>
      <c r="CA7" s="43">
        <f t="shared" si="5"/>
        <v>0.7</v>
      </c>
      <c r="CB7" s="43">
        <f t="shared" si="6"/>
        <v>0.72499999999999998</v>
      </c>
      <c r="CC7" s="43">
        <f t="shared" si="7"/>
        <v>0.75</v>
      </c>
      <c r="CD7" s="43">
        <f t="shared" si="8"/>
        <v>0.77500000000000002</v>
      </c>
      <c r="CE7" s="43">
        <f t="shared" si="9"/>
        <v>0.8</v>
      </c>
      <c r="CF7" s="43">
        <f t="shared" si="10"/>
        <v>0.82499999999999996</v>
      </c>
      <c r="CG7" s="43">
        <f t="shared" si="11"/>
        <v>0.85</v>
      </c>
      <c r="CH7" s="43">
        <f t="shared" si="12"/>
        <v>0.875</v>
      </c>
      <c r="CI7" s="43">
        <f t="shared" si="13"/>
        <v>0.9</v>
      </c>
      <c r="CJ7" s="43">
        <f t="shared" si="14"/>
        <v>0.92500000000000004</v>
      </c>
      <c r="CK7" s="43">
        <f t="shared" si="21"/>
        <v>0.9375</v>
      </c>
      <c r="CL7" s="43">
        <f t="shared" si="15"/>
        <v>0.95</v>
      </c>
      <c r="CM7" s="43">
        <f t="shared" si="16"/>
        <v>0.97499999999999998</v>
      </c>
      <c r="CN7" s="43">
        <f t="shared" si="17"/>
        <v>1</v>
      </c>
      <c r="CO7" s="239">
        <f t="shared" si="18"/>
        <v>1628486.3546337117</v>
      </c>
      <c r="CP7" s="239">
        <f t="shared" si="19"/>
        <v>0</v>
      </c>
      <c r="CQ7" s="239">
        <f t="shared" si="20"/>
        <v>688059.99838391971</v>
      </c>
    </row>
    <row r="8" spans="1:95" ht="12.75" customHeight="1" x14ac:dyDescent="0.25">
      <c r="A8" s="479"/>
      <c r="B8" s="3" t="s">
        <v>10</v>
      </c>
      <c r="C8" s="7">
        <v>7</v>
      </c>
      <c r="D8" s="37">
        <v>945208.52892382524</v>
      </c>
      <c r="E8" s="151"/>
      <c r="F8" s="152">
        <v>67667.069379360895</v>
      </c>
      <c r="G8" s="87">
        <v>7357.58</v>
      </c>
      <c r="H8" s="88"/>
      <c r="I8" s="127"/>
      <c r="J8" s="88"/>
      <c r="K8" s="89">
        <v>6582.56</v>
      </c>
      <c r="L8" s="90"/>
      <c r="M8" s="153"/>
      <c r="N8" s="91"/>
      <c r="O8" s="95">
        <v>282.37</v>
      </c>
      <c r="P8" s="93"/>
      <c r="Q8" s="94"/>
      <c r="R8" s="93"/>
      <c r="S8" s="154">
        <v>0</v>
      </c>
      <c r="T8" s="114"/>
      <c r="U8" s="154"/>
      <c r="V8" s="155"/>
      <c r="W8" s="58">
        <v>17809.370000000003</v>
      </c>
      <c r="X8" s="58">
        <v>0</v>
      </c>
      <c r="Y8" s="58"/>
      <c r="Z8" s="59"/>
      <c r="AA8" s="76">
        <v>5325</v>
      </c>
      <c r="AB8" s="156">
        <v>0</v>
      </c>
      <c r="AC8" s="157"/>
      <c r="AD8" s="61"/>
      <c r="AE8" s="63">
        <v>5151</v>
      </c>
      <c r="AF8" s="63">
        <v>0</v>
      </c>
      <c r="AG8" s="158"/>
      <c r="AH8" s="62"/>
      <c r="AI8" s="154">
        <v>7295</v>
      </c>
      <c r="AJ8" s="154">
        <v>0</v>
      </c>
      <c r="AK8" s="154"/>
      <c r="AL8" s="155"/>
      <c r="AM8" s="49">
        <v>0</v>
      </c>
      <c r="AN8" s="49">
        <v>0</v>
      </c>
      <c r="AO8" s="49"/>
      <c r="AP8" s="53"/>
      <c r="AQ8" s="159">
        <v>8381.86</v>
      </c>
      <c r="AR8" s="198">
        <v>0</v>
      </c>
      <c r="AS8" s="198"/>
      <c r="AT8" s="198"/>
      <c r="AU8" s="210">
        <v>0</v>
      </c>
      <c r="AV8" s="210">
        <v>0</v>
      </c>
      <c r="AW8" s="210"/>
      <c r="AX8" s="210"/>
      <c r="AY8" s="129">
        <v>22739</v>
      </c>
      <c r="AZ8" s="129">
        <v>0</v>
      </c>
      <c r="BA8" s="129"/>
      <c r="BB8" s="129"/>
      <c r="BC8" s="144">
        <v>0</v>
      </c>
      <c r="BD8" s="136"/>
      <c r="BE8" s="136"/>
      <c r="BF8" s="136"/>
      <c r="BG8" s="252"/>
      <c r="BH8" s="252"/>
      <c r="BI8" s="252"/>
      <c r="BJ8" s="226">
        <v>0</v>
      </c>
      <c r="BK8" s="226"/>
      <c r="BL8" s="226"/>
      <c r="BM8" s="226"/>
      <c r="BN8" s="233">
        <v>18775.16</v>
      </c>
      <c r="BO8" s="233"/>
      <c r="BP8" s="233"/>
      <c r="BQ8" s="233"/>
      <c r="BR8" s="243">
        <v>10893.75</v>
      </c>
      <c r="BS8" s="243"/>
      <c r="BT8" s="243"/>
      <c r="BU8" s="243"/>
      <c r="BV8" s="26">
        <f t="shared" si="0"/>
        <v>1994.501126969511</v>
      </c>
      <c r="BW8" s="43">
        <f t="shared" si="1"/>
        <v>0</v>
      </c>
      <c r="BX8" s="43">
        <f t="shared" si="2"/>
        <v>0</v>
      </c>
      <c r="BY8" s="43">
        <f t="shared" si="3"/>
        <v>0</v>
      </c>
      <c r="BZ8" s="43">
        <f t="shared" si="4"/>
        <v>0</v>
      </c>
      <c r="CA8" s="43">
        <f t="shared" si="5"/>
        <v>0</v>
      </c>
      <c r="CB8" s="43">
        <f t="shared" si="6"/>
        <v>0</v>
      </c>
      <c r="CC8" s="43">
        <f t="shared" si="7"/>
        <v>0</v>
      </c>
      <c r="CD8" s="43">
        <f t="shared" si="8"/>
        <v>0</v>
      </c>
      <c r="CE8" s="43">
        <f t="shared" si="9"/>
        <v>0</v>
      </c>
      <c r="CF8" s="43">
        <f t="shared" si="10"/>
        <v>0</v>
      </c>
      <c r="CG8" s="43">
        <f t="shared" si="11"/>
        <v>0.1428571428571429</v>
      </c>
      <c r="CH8" s="43">
        <f t="shared" si="12"/>
        <v>0.2857142857142857</v>
      </c>
      <c r="CI8" s="43">
        <f t="shared" si="13"/>
        <v>0.4285714285714286</v>
      </c>
      <c r="CJ8" s="43">
        <f t="shared" si="14"/>
        <v>0.5714285714285714</v>
      </c>
      <c r="CK8" s="43">
        <f t="shared" si="21"/>
        <v>0</v>
      </c>
      <c r="CL8" s="43">
        <f t="shared" si="15"/>
        <v>0.7142857142857143</v>
      </c>
      <c r="CM8" s="43">
        <f t="shared" si="16"/>
        <v>0.85714285714285721</v>
      </c>
      <c r="CN8" s="43">
        <f t="shared" si="17"/>
        <v>1</v>
      </c>
      <c r="CO8" s="239">
        <f t="shared" si="18"/>
        <v>1044291.8698791814</v>
      </c>
      <c r="CP8" s="239">
        <f t="shared" si="19"/>
        <v>986512.18836450286</v>
      </c>
      <c r="CQ8" s="239">
        <f t="shared" si="20"/>
        <v>36481.94457902055</v>
      </c>
    </row>
    <row r="9" spans="1:95" ht="12.75" customHeight="1" x14ac:dyDescent="0.25">
      <c r="A9" s="479"/>
      <c r="B9" s="3" t="s">
        <v>11</v>
      </c>
      <c r="C9" s="7">
        <v>4</v>
      </c>
      <c r="D9" s="37">
        <v>626223.15650914935</v>
      </c>
      <c r="E9" s="151"/>
      <c r="F9" s="152">
        <v>147123.07508079166</v>
      </c>
      <c r="G9" s="87">
        <v>22741.82</v>
      </c>
      <c r="H9" s="88"/>
      <c r="I9" s="127"/>
      <c r="J9" s="88"/>
      <c r="K9" s="89">
        <v>15401.33</v>
      </c>
      <c r="L9" s="90"/>
      <c r="M9" s="153"/>
      <c r="N9" s="91"/>
      <c r="O9" s="95">
        <v>44549.32</v>
      </c>
      <c r="P9" s="93"/>
      <c r="Q9" s="94"/>
      <c r="R9" s="93"/>
      <c r="S9" s="154">
        <v>11154.82</v>
      </c>
      <c r="T9" s="114"/>
      <c r="U9" s="154"/>
      <c r="V9" s="155"/>
      <c r="W9" s="58">
        <v>87253.48000000001</v>
      </c>
      <c r="X9" s="58">
        <v>0</v>
      </c>
      <c r="Y9" s="58"/>
      <c r="Z9" s="59"/>
      <c r="AA9" s="76">
        <v>38353.979999999996</v>
      </c>
      <c r="AB9" s="156">
        <v>0</v>
      </c>
      <c r="AC9" s="157"/>
      <c r="AD9" s="61"/>
      <c r="AE9" s="63">
        <v>0</v>
      </c>
      <c r="AF9" s="63">
        <v>0</v>
      </c>
      <c r="AG9" s="158"/>
      <c r="AH9" s="62"/>
      <c r="AI9" s="154">
        <v>51587.420000000006</v>
      </c>
      <c r="AJ9" s="154">
        <v>0</v>
      </c>
      <c r="AK9" s="154"/>
      <c r="AL9" s="155"/>
      <c r="AM9" s="49">
        <v>20997.82</v>
      </c>
      <c r="AN9" s="49">
        <v>0</v>
      </c>
      <c r="AO9" s="49"/>
      <c r="AP9" s="50"/>
      <c r="AQ9" s="159">
        <v>2369.5</v>
      </c>
      <c r="AR9" s="198">
        <v>0</v>
      </c>
      <c r="AS9" s="198"/>
      <c r="AT9" s="198"/>
      <c r="AU9" s="210">
        <v>0</v>
      </c>
      <c r="AV9" s="210">
        <v>0</v>
      </c>
      <c r="AW9" s="210"/>
      <c r="AX9" s="210"/>
      <c r="AY9" s="129">
        <v>4786.7</v>
      </c>
      <c r="AZ9" s="129">
        <v>0</v>
      </c>
      <c r="BA9" s="129"/>
      <c r="BB9" s="129"/>
      <c r="BC9" s="144">
        <v>931198.84</v>
      </c>
      <c r="BD9" s="136"/>
      <c r="BE9" s="136"/>
      <c r="BF9" s="136"/>
      <c r="BG9" s="252"/>
      <c r="BH9" s="252"/>
      <c r="BI9" s="252"/>
      <c r="BJ9" s="226">
        <v>0</v>
      </c>
      <c r="BK9" s="226"/>
      <c r="BL9" s="226"/>
      <c r="BM9" s="226"/>
      <c r="BN9" s="233">
        <v>2422.0500000000002</v>
      </c>
      <c r="BO9" s="233"/>
      <c r="BP9" s="233"/>
      <c r="BQ9" s="233"/>
      <c r="BR9" s="243">
        <v>66017.899999999994</v>
      </c>
      <c r="BS9" s="243"/>
      <c r="BT9" s="243"/>
      <c r="BU9" s="243"/>
      <c r="BV9" s="26">
        <f t="shared" si="0"/>
        <v>1997.9397485452369</v>
      </c>
      <c r="BW9" s="43">
        <f t="shared" si="1"/>
        <v>0</v>
      </c>
      <c r="BX9" s="43">
        <f t="shared" si="2"/>
        <v>0</v>
      </c>
      <c r="BY9" s="43">
        <f t="shared" si="3"/>
        <v>0</v>
      </c>
      <c r="BZ9" s="43">
        <f t="shared" si="4"/>
        <v>0</v>
      </c>
      <c r="CA9" s="43">
        <f t="shared" si="5"/>
        <v>0</v>
      </c>
      <c r="CB9" s="43">
        <f t="shared" si="6"/>
        <v>0</v>
      </c>
      <c r="CC9" s="43">
        <f t="shared" si="7"/>
        <v>0</v>
      </c>
      <c r="CD9" s="43">
        <f t="shared" si="8"/>
        <v>0</v>
      </c>
      <c r="CE9" s="43">
        <f t="shared" si="9"/>
        <v>0</v>
      </c>
      <c r="CF9" s="43">
        <f t="shared" si="10"/>
        <v>0</v>
      </c>
      <c r="CG9" s="43">
        <f t="shared" si="11"/>
        <v>0</v>
      </c>
      <c r="CH9" s="43">
        <f t="shared" si="12"/>
        <v>0</v>
      </c>
      <c r="CI9" s="43">
        <f t="shared" si="13"/>
        <v>0</v>
      </c>
      <c r="CJ9" s="43">
        <f t="shared" si="14"/>
        <v>0.25</v>
      </c>
      <c r="CK9" s="43">
        <f t="shared" si="21"/>
        <v>0</v>
      </c>
      <c r="CL9" s="43">
        <f t="shared" si="15"/>
        <v>0.5</v>
      </c>
      <c r="CM9" s="43">
        <f t="shared" si="16"/>
        <v>0.75</v>
      </c>
      <c r="CN9" s="43">
        <f t="shared" si="17"/>
        <v>1</v>
      </c>
      <c r="CO9" s="239">
        <f t="shared" si="18"/>
        <v>1780893.2556091887</v>
      </c>
      <c r="CP9" s="239">
        <f t="shared" si="19"/>
        <v>878456.56602493394</v>
      </c>
      <c r="CQ9" s="239">
        <f t="shared" si="20"/>
        <v>273268.24120755779</v>
      </c>
    </row>
    <row r="10" spans="1:95" ht="12.75" customHeight="1" x14ac:dyDescent="0.25">
      <c r="A10" s="479"/>
      <c r="B10" s="3" t="s">
        <v>12</v>
      </c>
      <c r="C10" s="7">
        <v>5</v>
      </c>
      <c r="D10" s="37">
        <v>1564545.6307439422</v>
      </c>
      <c r="E10" s="151"/>
      <c r="F10" s="152">
        <v>275838.40370647283</v>
      </c>
      <c r="G10" s="87">
        <v>0</v>
      </c>
      <c r="H10" s="88"/>
      <c r="I10" s="127"/>
      <c r="J10" s="88"/>
      <c r="K10" s="89">
        <v>0</v>
      </c>
      <c r="L10" s="90"/>
      <c r="M10" s="153"/>
      <c r="N10" s="91"/>
      <c r="O10" s="95">
        <v>0</v>
      </c>
      <c r="P10" s="93"/>
      <c r="Q10" s="94"/>
      <c r="R10" s="93"/>
      <c r="S10" s="154">
        <v>0</v>
      </c>
      <c r="T10" s="114"/>
      <c r="U10" s="154"/>
      <c r="V10" s="155"/>
      <c r="W10" s="58">
        <v>74281.899999999994</v>
      </c>
      <c r="X10" s="58">
        <v>0</v>
      </c>
      <c r="Y10" s="58"/>
      <c r="Z10" s="59"/>
      <c r="AA10" s="76">
        <v>0</v>
      </c>
      <c r="AB10" s="156">
        <v>0</v>
      </c>
      <c r="AC10" s="157"/>
      <c r="AD10" s="61"/>
      <c r="AE10" s="63">
        <v>0</v>
      </c>
      <c r="AF10" s="63">
        <v>0</v>
      </c>
      <c r="AG10" s="158"/>
      <c r="AH10" s="62"/>
      <c r="AI10" s="154">
        <v>0</v>
      </c>
      <c r="AJ10" s="154">
        <v>0</v>
      </c>
      <c r="AK10" s="154"/>
      <c r="AL10" s="155"/>
      <c r="AM10" s="49">
        <v>0</v>
      </c>
      <c r="AN10" s="49">
        <v>0</v>
      </c>
      <c r="AO10" s="49"/>
      <c r="AP10" s="50"/>
      <c r="AQ10" s="159">
        <v>94920</v>
      </c>
      <c r="AR10" s="198">
        <v>0</v>
      </c>
      <c r="AS10" s="198"/>
      <c r="AT10" s="198"/>
      <c r="AU10" s="210">
        <v>0</v>
      </c>
      <c r="AV10" s="210">
        <v>0</v>
      </c>
      <c r="AW10" s="210"/>
      <c r="AX10" s="210"/>
      <c r="AY10" s="129">
        <v>16667</v>
      </c>
      <c r="AZ10" s="129">
        <v>0</v>
      </c>
      <c r="BA10" s="129"/>
      <c r="BB10" s="129"/>
      <c r="BC10" s="144">
        <v>0</v>
      </c>
      <c r="BD10" s="136"/>
      <c r="BE10" s="136"/>
      <c r="BF10" s="136"/>
      <c r="BG10" s="252"/>
      <c r="BH10" s="252"/>
      <c r="BI10" s="252"/>
      <c r="BJ10" s="226">
        <v>113500</v>
      </c>
      <c r="BK10" s="226"/>
      <c r="BL10" s="226"/>
      <c r="BM10" s="226"/>
      <c r="BN10" s="233">
        <v>149806.51</v>
      </c>
      <c r="BO10" s="233"/>
      <c r="BP10" s="233"/>
      <c r="BQ10" s="233"/>
      <c r="BR10" s="243">
        <v>0</v>
      </c>
      <c r="BS10" s="243"/>
      <c r="BT10" s="243"/>
      <c r="BU10" s="243"/>
      <c r="BV10" s="26">
        <f t="shared" si="0"/>
        <v>1996.8815287911268</v>
      </c>
      <c r="BW10" s="43">
        <f t="shared" si="1"/>
        <v>0</v>
      </c>
      <c r="BX10" s="43">
        <f t="shared" si="2"/>
        <v>0</v>
      </c>
      <c r="BY10" s="43">
        <f t="shared" si="3"/>
        <v>0</v>
      </c>
      <c r="BZ10" s="43">
        <f t="shared" si="4"/>
        <v>0</v>
      </c>
      <c r="CA10" s="43">
        <f t="shared" si="5"/>
        <v>0</v>
      </c>
      <c r="CB10" s="43">
        <f t="shared" si="6"/>
        <v>0</v>
      </c>
      <c r="CC10" s="43">
        <f t="shared" si="7"/>
        <v>0</v>
      </c>
      <c r="CD10" s="43">
        <f t="shared" si="8"/>
        <v>0</v>
      </c>
      <c r="CE10" s="43">
        <f t="shared" si="9"/>
        <v>0</v>
      </c>
      <c r="CF10" s="43">
        <f t="shared" si="10"/>
        <v>0</v>
      </c>
      <c r="CG10" s="43">
        <f t="shared" si="11"/>
        <v>0</v>
      </c>
      <c r="CH10" s="43">
        <f t="shared" si="12"/>
        <v>0</v>
      </c>
      <c r="CI10" s="43">
        <f t="shared" si="13"/>
        <v>0.19999999999999996</v>
      </c>
      <c r="CJ10" s="43">
        <f t="shared" si="14"/>
        <v>0.4</v>
      </c>
      <c r="CK10" s="43">
        <f t="shared" si="21"/>
        <v>0</v>
      </c>
      <c r="CL10" s="43">
        <f t="shared" si="15"/>
        <v>0.6</v>
      </c>
      <c r="CM10" s="43">
        <f t="shared" si="16"/>
        <v>0.8</v>
      </c>
      <c r="CN10" s="43">
        <f t="shared" si="17"/>
        <v>1</v>
      </c>
      <c r="CO10" s="239">
        <f t="shared" si="18"/>
        <v>1965930.6793448166</v>
      </c>
      <c r="CP10" s="239">
        <f t="shared" si="19"/>
        <v>1721925.0571161245</v>
      </c>
      <c r="CQ10" s="239">
        <f t="shared" si="20"/>
        <v>167278.27036249585</v>
      </c>
    </row>
    <row r="11" spans="1:95" ht="12.75" customHeight="1" x14ac:dyDescent="0.25">
      <c r="A11" s="479"/>
      <c r="B11" s="3" t="s">
        <v>13</v>
      </c>
      <c r="C11" s="7">
        <v>8</v>
      </c>
      <c r="D11" s="37">
        <v>0</v>
      </c>
      <c r="E11" s="151"/>
      <c r="F11" s="152">
        <v>0</v>
      </c>
      <c r="G11" s="87">
        <v>51708.179991999998</v>
      </c>
      <c r="H11" s="88"/>
      <c r="I11" s="127"/>
      <c r="J11" s="88"/>
      <c r="K11" s="89">
        <v>4151.08</v>
      </c>
      <c r="L11" s="90"/>
      <c r="M11" s="153"/>
      <c r="N11" s="91"/>
      <c r="O11" s="95">
        <v>30862.359060999996</v>
      </c>
      <c r="P11" s="93"/>
      <c r="Q11" s="94"/>
      <c r="R11" s="93"/>
      <c r="S11" s="154">
        <v>0</v>
      </c>
      <c r="T11" s="114"/>
      <c r="U11" s="154"/>
      <c r="V11" s="155"/>
      <c r="W11" s="58">
        <v>0</v>
      </c>
      <c r="X11" s="58">
        <v>0</v>
      </c>
      <c r="Y11" s="58"/>
      <c r="Z11" s="59"/>
      <c r="AA11" s="76">
        <v>0</v>
      </c>
      <c r="AB11" s="156">
        <v>0</v>
      </c>
      <c r="AC11" s="157"/>
      <c r="AD11" s="61"/>
      <c r="AE11" s="63">
        <v>0</v>
      </c>
      <c r="AF11" s="63">
        <v>0</v>
      </c>
      <c r="AG11" s="158"/>
      <c r="AH11" s="62"/>
      <c r="AI11" s="154">
        <v>14365.63</v>
      </c>
      <c r="AJ11" s="154">
        <v>0</v>
      </c>
      <c r="AK11" s="154"/>
      <c r="AL11" s="155"/>
      <c r="AM11" s="49">
        <v>9332.4</v>
      </c>
      <c r="AN11" s="49">
        <v>0</v>
      </c>
      <c r="AO11" s="49"/>
      <c r="AP11" s="50"/>
      <c r="AQ11" s="159">
        <v>9332</v>
      </c>
      <c r="AR11" s="198">
        <v>0</v>
      </c>
      <c r="AS11" s="198"/>
      <c r="AT11" s="198"/>
      <c r="AU11" s="210">
        <v>0</v>
      </c>
      <c r="AV11" s="210">
        <v>0</v>
      </c>
      <c r="AW11" s="210"/>
      <c r="AX11" s="210"/>
      <c r="AY11" s="129">
        <v>0</v>
      </c>
      <c r="AZ11" s="129">
        <v>0</v>
      </c>
      <c r="BA11" s="129"/>
      <c r="BB11" s="129"/>
      <c r="BC11" s="144">
        <v>41463</v>
      </c>
      <c r="BD11" s="136"/>
      <c r="BE11" s="136"/>
      <c r="BF11" s="136"/>
      <c r="BG11" s="252"/>
      <c r="BH11" s="252"/>
      <c r="BI11" s="252"/>
      <c r="BJ11" s="226">
        <v>31935.4</v>
      </c>
      <c r="BK11" s="226"/>
      <c r="BL11" s="226"/>
      <c r="BM11" s="226"/>
      <c r="BN11" s="233">
        <v>0</v>
      </c>
      <c r="BO11" s="233"/>
      <c r="BP11" s="233"/>
      <c r="BQ11" s="233"/>
      <c r="BR11" s="243">
        <v>0</v>
      </c>
      <c r="BS11" s="243"/>
      <c r="BT11" s="243"/>
      <c r="BU11" s="243"/>
      <c r="BV11" s="26">
        <f t="shared" si="0"/>
        <v>0</v>
      </c>
      <c r="BW11" s="43">
        <f t="shared" si="1"/>
        <v>0</v>
      </c>
      <c r="BX11" s="43">
        <f t="shared" si="2"/>
        <v>0</v>
      </c>
      <c r="BY11" s="43">
        <f t="shared" si="3"/>
        <v>0</v>
      </c>
      <c r="BZ11" s="43">
        <f t="shared" si="4"/>
        <v>0</v>
      </c>
      <c r="CA11" s="43">
        <f t="shared" si="5"/>
        <v>0</v>
      </c>
      <c r="CB11" s="43">
        <f t="shared" si="6"/>
        <v>0</v>
      </c>
      <c r="CC11" s="43">
        <f t="shared" si="7"/>
        <v>0</v>
      </c>
      <c r="CD11" s="43">
        <f t="shared" si="8"/>
        <v>0</v>
      </c>
      <c r="CE11" s="43">
        <f t="shared" si="9"/>
        <v>0</v>
      </c>
      <c r="CF11" s="43">
        <f t="shared" si="10"/>
        <v>0.125</v>
      </c>
      <c r="CG11" s="43">
        <f t="shared" si="11"/>
        <v>0.25</v>
      </c>
      <c r="CH11" s="43">
        <f t="shared" si="12"/>
        <v>0.375</v>
      </c>
      <c r="CI11" s="43">
        <f t="shared" si="13"/>
        <v>0.5</v>
      </c>
      <c r="CJ11" s="43">
        <f t="shared" si="14"/>
        <v>0.625</v>
      </c>
      <c r="CK11" s="43">
        <f t="shared" si="21"/>
        <v>0</v>
      </c>
      <c r="CL11" s="43">
        <f t="shared" si="15"/>
        <v>0.75</v>
      </c>
      <c r="CM11" s="43">
        <f t="shared" si="16"/>
        <v>0.875</v>
      </c>
      <c r="CN11" s="43">
        <f t="shared" si="17"/>
        <v>1</v>
      </c>
      <c r="CO11" s="239">
        <f t="shared" si="18"/>
        <v>160060.38764167234</v>
      </c>
      <c r="CP11" s="239">
        <f t="shared" si="19"/>
        <v>78148.468125411106</v>
      </c>
      <c r="CQ11" s="239">
        <f t="shared" si="20"/>
        <v>46432.373026383619</v>
      </c>
    </row>
    <row r="12" spans="1:95" ht="12.75" customHeight="1" thickBot="1" x14ac:dyDescent="0.3">
      <c r="A12" s="479"/>
      <c r="B12" s="10" t="s">
        <v>14</v>
      </c>
      <c r="C12" s="11">
        <v>17</v>
      </c>
      <c r="D12" s="161">
        <v>793536.7407842034</v>
      </c>
      <c r="E12" s="151"/>
      <c r="F12" s="162">
        <v>403574.94180041947</v>
      </c>
      <c r="G12" s="87">
        <v>9410.98</v>
      </c>
      <c r="H12" s="96"/>
      <c r="I12" s="127"/>
      <c r="J12" s="96"/>
      <c r="K12" s="89">
        <v>24691.65</v>
      </c>
      <c r="L12" s="97"/>
      <c r="M12" s="153"/>
      <c r="N12" s="98"/>
      <c r="O12" s="92">
        <v>28613.58</v>
      </c>
      <c r="P12" s="99"/>
      <c r="Q12" s="94"/>
      <c r="R12" s="99"/>
      <c r="S12" s="84">
        <v>29705.16</v>
      </c>
      <c r="T12" s="114"/>
      <c r="U12" s="154"/>
      <c r="V12" s="35"/>
      <c r="W12" s="58">
        <v>29915.59</v>
      </c>
      <c r="X12" s="58">
        <v>0</v>
      </c>
      <c r="Y12" s="58"/>
      <c r="Z12" s="64"/>
      <c r="AA12" s="70">
        <v>33499.410000000003</v>
      </c>
      <c r="AB12" s="156">
        <v>0</v>
      </c>
      <c r="AC12" s="157"/>
      <c r="AD12" s="65"/>
      <c r="AE12" s="63">
        <v>27239.34</v>
      </c>
      <c r="AF12" s="63">
        <v>0</v>
      </c>
      <c r="AG12" s="158"/>
      <c r="AH12" s="66"/>
      <c r="AI12" s="84">
        <v>771.99</v>
      </c>
      <c r="AJ12" s="154">
        <v>0</v>
      </c>
      <c r="AK12" s="154"/>
      <c r="AL12" s="35"/>
      <c r="AM12" s="49">
        <v>0</v>
      </c>
      <c r="AN12" s="49">
        <v>0</v>
      </c>
      <c r="AO12" s="49"/>
      <c r="AP12" s="51"/>
      <c r="AQ12" s="159">
        <v>0</v>
      </c>
      <c r="AR12" s="199">
        <v>0</v>
      </c>
      <c r="AS12" s="199"/>
      <c r="AT12" s="199"/>
      <c r="AU12" s="211">
        <v>0</v>
      </c>
      <c r="AV12" s="211">
        <v>0</v>
      </c>
      <c r="AW12" s="211"/>
      <c r="AX12" s="211"/>
      <c r="AY12" s="130">
        <v>0</v>
      </c>
      <c r="AZ12" s="130">
        <v>0</v>
      </c>
      <c r="BA12" s="130"/>
      <c r="BB12" s="130"/>
      <c r="BC12" s="144">
        <v>0</v>
      </c>
      <c r="BD12" s="144"/>
      <c r="BE12" s="137"/>
      <c r="BF12" s="137"/>
      <c r="BG12" s="253"/>
      <c r="BH12" s="253"/>
      <c r="BI12" s="253"/>
      <c r="BJ12" s="227">
        <v>36106.51</v>
      </c>
      <c r="BK12" s="227"/>
      <c r="BL12" s="227"/>
      <c r="BM12" s="227"/>
      <c r="BN12" s="234">
        <v>0</v>
      </c>
      <c r="BO12" s="234"/>
      <c r="BP12" s="234"/>
      <c r="BQ12" s="234"/>
      <c r="BR12" s="244">
        <v>0</v>
      </c>
      <c r="BS12" s="244"/>
      <c r="BT12" s="244"/>
      <c r="BU12" s="244"/>
      <c r="BV12" s="26">
        <f t="shared" si="0"/>
        <v>1992.645817714536</v>
      </c>
      <c r="BW12" s="43">
        <f t="shared" si="1"/>
        <v>0</v>
      </c>
      <c r="BX12" s="43">
        <f t="shared" si="2"/>
        <v>0.11764705882352944</v>
      </c>
      <c r="BY12" s="43">
        <f t="shared" si="3"/>
        <v>0.17647058823529416</v>
      </c>
      <c r="BZ12" s="43">
        <f t="shared" si="4"/>
        <v>0.23529411764705888</v>
      </c>
      <c r="CA12" s="43">
        <f t="shared" si="5"/>
        <v>0.29411764705882348</v>
      </c>
      <c r="CB12" s="44">
        <f t="shared" si="6"/>
        <v>0.3529411764705882</v>
      </c>
      <c r="CC12" s="43">
        <f t="shared" si="7"/>
        <v>0.41176470588235292</v>
      </c>
      <c r="CD12" s="43">
        <f t="shared" si="8"/>
        <v>0.47058823529411764</v>
      </c>
      <c r="CE12" s="43">
        <f t="shared" si="9"/>
        <v>0.52941176470588236</v>
      </c>
      <c r="CF12" s="43">
        <f t="shared" si="10"/>
        <v>0.58823529411764708</v>
      </c>
      <c r="CG12" s="43">
        <f t="shared" si="11"/>
        <v>0.64705882352941169</v>
      </c>
      <c r="CH12" s="43">
        <f t="shared" si="12"/>
        <v>0.70588235294117641</v>
      </c>
      <c r="CI12" s="43">
        <f t="shared" si="13"/>
        <v>0.76470588235294112</v>
      </c>
      <c r="CJ12" s="43">
        <f t="shared" si="14"/>
        <v>0.82352941176470584</v>
      </c>
      <c r="CK12" s="43">
        <f t="shared" si="21"/>
        <v>0</v>
      </c>
      <c r="CL12" s="43">
        <f t="shared" si="15"/>
        <v>0.88235294117647056</v>
      </c>
      <c r="CM12" s="43">
        <f t="shared" si="16"/>
        <v>0.94117647058823528</v>
      </c>
      <c r="CN12" s="43">
        <f t="shared" si="17"/>
        <v>1</v>
      </c>
      <c r="CO12" s="239">
        <f t="shared" si="18"/>
        <v>967295.55713017168</v>
      </c>
      <c r="CP12" s="239">
        <f t="shared" si="19"/>
        <v>793536.7407842034</v>
      </c>
      <c r="CQ12" s="239">
        <f t="shared" si="20"/>
        <v>74482.842764294692</v>
      </c>
    </row>
    <row r="13" spans="1:95" ht="12.75" customHeight="1" thickBot="1" x14ac:dyDescent="0.35">
      <c r="A13" s="480"/>
      <c r="B13" s="13" t="s">
        <v>15</v>
      </c>
      <c r="C13" s="14"/>
      <c r="D13" s="38">
        <v>7366442.9851119583</v>
      </c>
      <c r="E13" s="38"/>
      <c r="F13" s="38">
        <v>3156823.1414713804</v>
      </c>
      <c r="G13" s="67">
        <v>266106.52899199998</v>
      </c>
      <c r="H13" s="67">
        <v>0</v>
      </c>
      <c r="I13" s="67"/>
      <c r="J13" s="67"/>
      <c r="K13" s="116">
        <v>107260.34</v>
      </c>
      <c r="L13" s="116">
        <v>0</v>
      </c>
      <c r="M13" s="116"/>
      <c r="N13" s="116"/>
      <c r="O13" s="68">
        <v>170017.04106100003</v>
      </c>
      <c r="P13" s="68">
        <v>0</v>
      </c>
      <c r="Q13" s="68"/>
      <c r="R13" s="68"/>
      <c r="S13" s="163">
        <v>141552.63</v>
      </c>
      <c r="T13" s="164">
        <v>0</v>
      </c>
      <c r="U13" s="164"/>
      <c r="V13" s="165"/>
      <c r="W13" s="67">
        <v>334246.14000000007</v>
      </c>
      <c r="X13" s="67">
        <v>0</v>
      </c>
      <c r="Y13" s="67"/>
      <c r="Z13" s="67"/>
      <c r="AA13" s="116">
        <v>167868.13</v>
      </c>
      <c r="AB13" s="116">
        <v>0</v>
      </c>
      <c r="AC13" s="116"/>
      <c r="AD13" s="116"/>
      <c r="AE13" s="68">
        <v>132511.28</v>
      </c>
      <c r="AF13" s="68">
        <v>0</v>
      </c>
      <c r="AG13" s="68"/>
      <c r="AH13" s="117"/>
      <c r="AI13" s="163">
        <v>323314.10387699993</v>
      </c>
      <c r="AJ13" s="164">
        <v>0</v>
      </c>
      <c r="AK13" s="164"/>
      <c r="AL13" s="165"/>
      <c r="AM13" s="52">
        <v>91335.93</v>
      </c>
      <c r="AN13" s="189">
        <v>0</v>
      </c>
      <c r="AO13" s="118"/>
      <c r="AP13" s="119"/>
      <c r="AQ13" s="206">
        <v>243514.73</v>
      </c>
      <c r="AR13" s="200">
        <v>0</v>
      </c>
      <c r="AS13" s="200"/>
      <c r="AT13" s="200"/>
      <c r="AU13" s="212">
        <v>0</v>
      </c>
      <c r="AV13" s="212">
        <v>0</v>
      </c>
      <c r="AW13" s="212"/>
      <c r="AX13" s="212"/>
      <c r="AY13" s="131">
        <v>56420.78</v>
      </c>
      <c r="AZ13" s="131">
        <v>0</v>
      </c>
      <c r="BA13" s="131"/>
      <c r="BB13" s="131"/>
      <c r="BC13" s="145">
        <f>+SUM(BC5:BC12)</f>
        <v>1275811.54</v>
      </c>
      <c r="BD13" s="138"/>
      <c r="BE13" s="138"/>
      <c r="BF13" s="138"/>
      <c r="BG13" s="254">
        <f>+SUM(BG5:BG12)</f>
        <v>940000</v>
      </c>
      <c r="BH13" s="254">
        <f>+SUM(BH5:BH12)</f>
        <v>0</v>
      </c>
      <c r="BI13" s="254">
        <f>+SUM(BI5:BI12)</f>
        <v>940000</v>
      </c>
      <c r="BJ13" s="228">
        <f>+SUM(BJ5:BJ12)</f>
        <v>917175.86</v>
      </c>
      <c r="BK13" s="228">
        <f>+SUM(BK5:BK12)</f>
        <v>0</v>
      </c>
      <c r="BL13" s="228"/>
      <c r="BM13" s="228"/>
      <c r="BN13" s="235">
        <f t="shared" ref="BN13:BU13" si="22">+SUM(BN5:BN12)</f>
        <v>1105575.6700000002</v>
      </c>
      <c r="BO13" s="235">
        <f t="shared" si="22"/>
        <v>0</v>
      </c>
      <c r="BP13" s="235"/>
      <c r="BQ13" s="235"/>
      <c r="BR13" s="228">
        <f t="shared" si="22"/>
        <v>1102455.8699999996</v>
      </c>
      <c r="BS13" s="228">
        <f t="shared" si="22"/>
        <v>0</v>
      </c>
      <c r="BT13" s="228"/>
      <c r="BU13" s="228">
        <f t="shared" si="22"/>
        <v>0</v>
      </c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240">
        <f>SUM(CO5:CO12)</f>
        <v>13931058.863460405</v>
      </c>
      <c r="CP13" s="240">
        <f>SUM(CP5:CP12)</f>
        <v>7494471.9400009327</v>
      </c>
      <c r="CQ13" s="240">
        <f>SUM(CQ5:CQ12)</f>
        <v>4122432.4491126714</v>
      </c>
    </row>
    <row r="14" spans="1:95" ht="12.75" customHeight="1" x14ac:dyDescent="0.35">
      <c r="A14" s="6"/>
      <c r="B14" s="4" t="s">
        <v>18</v>
      </c>
      <c r="C14" s="15"/>
      <c r="D14" s="40">
        <v>0</v>
      </c>
      <c r="E14" s="195"/>
      <c r="F14" s="77">
        <v>0</v>
      </c>
      <c r="G14" s="104"/>
      <c r="H14" s="104"/>
      <c r="I14" s="104"/>
      <c r="J14" s="104"/>
      <c r="K14" s="105"/>
      <c r="L14" s="106">
        <v>0</v>
      </c>
      <c r="M14" s="106"/>
      <c r="N14" s="105"/>
      <c r="O14" s="107"/>
      <c r="P14" s="107"/>
      <c r="Q14" s="107"/>
      <c r="R14" s="107"/>
      <c r="S14" s="168"/>
      <c r="T14" s="168"/>
      <c r="U14" s="169"/>
      <c r="V14" s="170"/>
      <c r="W14" s="73"/>
      <c r="X14" s="73"/>
      <c r="Y14" s="74"/>
      <c r="Z14" s="73"/>
      <c r="AA14" s="75"/>
      <c r="AB14" s="75"/>
      <c r="AC14" s="171"/>
      <c r="AD14" s="75"/>
      <c r="AE14" s="50"/>
      <c r="AF14" s="50"/>
      <c r="AG14" s="53"/>
      <c r="AH14" s="50"/>
      <c r="AI14" s="169"/>
      <c r="AJ14" s="170"/>
      <c r="AK14" s="170"/>
      <c r="AL14" s="170"/>
      <c r="AM14" s="190">
        <v>0</v>
      </c>
      <c r="AN14" s="85">
        <v>0</v>
      </c>
      <c r="AO14" s="85"/>
      <c r="AP14" s="86"/>
      <c r="AQ14" s="207">
        <v>0</v>
      </c>
      <c r="AR14" s="202">
        <v>0</v>
      </c>
      <c r="AS14" s="202"/>
      <c r="AT14" s="202"/>
      <c r="AU14" s="218">
        <v>0</v>
      </c>
      <c r="AV14" s="214">
        <v>0</v>
      </c>
      <c r="AW14" s="214"/>
      <c r="AX14" s="219"/>
      <c r="AY14" s="128">
        <v>0</v>
      </c>
      <c r="AZ14" s="128">
        <v>0</v>
      </c>
      <c r="BA14" s="128"/>
      <c r="BB14" s="128"/>
      <c r="BC14" s="147"/>
      <c r="BD14" s="143"/>
      <c r="BE14" s="143"/>
      <c r="BF14" s="143"/>
      <c r="BG14" s="252"/>
      <c r="BH14" s="252"/>
      <c r="BI14" s="252"/>
      <c r="BJ14" s="226"/>
      <c r="BK14" s="226"/>
      <c r="BL14" s="226"/>
      <c r="BM14" s="226"/>
      <c r="BN14" s="233"/>
      <c r="BO14" s="233"/>
      <c r="BP14" s="233"/>
      <c r="BQ14" s="233"/>
      <c r="BR14" s="243"/>
      <c r="BS14" s="243"/>
      <c r="BT14" s="243"/>
      <c r="BU14" s="243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241"/>
      <c r="CP14" s="241"/>
      <c r="CQ14" s="241"/>
    </row>
    <row r="15" spans="1:95" ht="12.75" customHeight="1" x14ac:dyDescent="0.25">
      <c r="A15" s="6"/>
      <c r="B15" s="3" t="s">
        <v>95</v>
      </c>
      <c r="C15" s="7">
        <v>30</v>
      </c>
      <c r="D15" s="37">
        <v>0</v>
      </c>
      <c r="E15" s="151"/>
      <c r="F15" s="152">
        <v>0</v>
      </c>
      <c r="G15" s="87">
        <v>0</v>
      </c>
      <c r="H15" s="88"/>
      <c r="I15" s="127"/>
      <c r="J15" s="88"/>
      <c r="K15" s="89">
        <v>0</v>
      </c>
      <c r="L15" s="90">
        <v>0</v>
      </c>
      <c r="M15" s="153"/>
      <c r="N15" s="91"/>
      <c r="O15" s="95">
        <v>0</v>
      </c>
      <c r="P15" s="93"/>
      <c r="Q15" s="94"/>
      <c r="R15" s="93"/>
      <c r="S15" s="154">
        <v>0</v>
      </c>
      <c r="T15" s="114"/>
      <c r="U15" s="154"/>
      <c r="V15" s="155"/>
      <c r="W15" s="58">
        <v>0</v>
      </c>
      <c r="X15" s="58">
        <v>0</v>
      </c>
      <c r="Y15" s="58"/>
      <c r="Z15" s="59"/>
      <c r="AA15" s="76">
        <v>0</v>
      </c>
      <c r="AB15" s="156">
        <v>0</v>
      </c>
      <c r="AC15" s="157"/>
      <c r="AD15" s="61"/>
      <c r="AE15" s="63">
        <v>0</v>
      </c>
      <c r="AF15" s="63">
        <v>0</v>
      </c>
      <c r="AG15" s="158"/>
      <c r="AH15" s="62"/>
      <c r="AI15" s="154">
        <v>0</v>
      </c>
      <c r="AJ15" s="154">
        <v>0</v>
      </c>
      <c r="AK15" s="154"/>
      <c r="AL15" s="155"/>
      <c r="AM15" s="49">
        <v>0</v>
      </c>
      <c r="AN15" s="49">
        <v>0</v>
      </c>
      <c r="AO15" s="49"/>
      <c r="AP15" s="50"/>
      <c r="AQ15" s="159">
        <v>0</v>
      </c>
      <c r="AR15" s="198">
        <v>0</v>
      </c>
      <c r="AS15" s="198"/>
      <c r="AT15" s="198"/>
      <c r="AU15" s="210">
        <v>0</v>
      </c>
      <c r="AV15" s="210">
        <v>0</v>
      </c>
      <c r="AW15" s="210"/>
      <c r="AX15" s="210"/>
      <c r="AY15" s="129">
        <v>0</v>
      </c>
      <c r="AZ15" s="129">
        <v>0</v>
      </c>
      <c r="BA15" s="129"/>
      <c r="BB15" s="129"/>
      <c r="BC15" s="146">
        <v>0</v>
      </c>
      <c r="BD15" s="136"/>
      <c r="BE15" s="136"/>
      <c r="BF15" s="136"/>
      <c r="BG15" s="252"/>
      <c r="BH15" s="252"/>
      <c r="BI15" s="252"/>
      <c r="BJ15" s="226">
        <v>0</v>
      </c>
      <c r="BK15" s="226"/>
      <c r="BL15" s="226"/>
      <c r="BM15" s="226"/>
      <c r="BN15" s="233">
        <v>2482078.3499999996</v>
      </c>
      <c r="BO15" s="233"/>
      <c r="BP15" s="233"/>
      <c r="BQ15" s="233"/>
      <c r="BR15" s="243">
        <v>0</v>
      </c>
      <c r="BS15" s="243"/>
      <c r="BT15" s="243"/>
      <c r="BU15" s="243"/>
      <c r="BV15" s="26">
        <f>IF(D15=0,0,2001-(D15-F15)*C15/D15)</f>
        <v>0</v>
      </c>
      <c r="BW15" s="43">
        <f>IF((1-($CO$2-$BV15)/$C15)&gt;0,(1-($CO$2-$BV15)/$C15),0)</f>
        <v>0</v>
      </c>
      <c r="BX15" s="43">
        <f>IF((1-($CO$2-G$2)/$C15)&gt;0,(1-($CO$2-G$2)/$C15),0)</f>
        <v>0.5</v>
      </c>
      <c r="BY15" s="43">
        <f>IF((1-($CO$2-K$2)/$C15)&gt;0,(1-($CO$2-K$2)/$C15),0)</f>
        <v>0.53333333333333333</v>
      </c>
      <c r="BZ15" s="43">
        <f>IF((1-($CO$2-O$2)/$C15)&gt;0,(1-($CO$2-O$2)/$C15),0)</f>
        <v>0.56666666666666665</v>
      </c>
      <c r="CA15" s="43">
        <f>IF((1-($CO$2-S$2)/$C15)&gt;0,(1-($CO$2-S$2)/$C15),0)</f>
        <v>0.6</v>
      </c>
      <c r="CB15" s="43">
        <f>IF((1-($CO$2-W$2)/$C15)&gt;0,(1-($CO$2-W$2)/$C15),0)</f>
        <v>0.6333333333333333</v>
      </c>
      <c r="CC15" s="43">
        <f>IF((1-($CO$2-AA$2)/$C15)&gt;0,(1-($CO$2-AA$2)/$C15),0)</f>
        <v>0.66666666666666674</v>
      </c>
      <c r="CD15" s="43">
        <f>IF((1-($CO$2-AE$2)/$C15)&gt;0,(1-($CO$2-AE$2)/$C15),0)</f>
        <v>0.7</v>
      </c>
      <c r="CE15" s="43">
        <f>IF((1-($CO$2-AI$2)/$C15)&gt;0,(1-($CO$2-AI$2)/$C15),0)</f>
        <v>0.73333333333333339</v>
      </c>
      <c r="CF15" s="43">
        <f>IF((1-($CO$2-AM$2)/$C15)&gt;0,(1-($CO$2-AM$2)/$C15),0)</f>
        <v>0.76666666666666661</v>
      </c>
      <c r="CG15" s="43">
        <f>IF((1-($CO$2-AQ$2)/$C15)&gt;0,(1-($CO$2-AQ$2)/$C15),0)</f>
        <v>0.8</v>
      </c>
      <c r="CH15" s="43">
        <f>IF((1-($CO$2-AU$2)/$C15)&gt;0,(1-($CO$2-AU$2)/$C15),0)</f>
        <v>0.83333333333333337</v>
      </c>
      <c r="CI15" s="43">
        <f>IF((1-($CO$2-AY$2)/$C15)&gt;0,(1-($CO$2-AY$2)/$C15),0)</f>
        <v>0.8666666666666667</v>
      </c>
      <c r="CJ15" s="43">
        <f>IF((1-($CO$2-BC$2)/$C15)&gt;0,(1-($CO$2-BC$2)/$C15),0)</f>
        <v>0.9</v>
      </c>
      <c r="CK15" s="43">
        <f>IF(BG15=0,0,1-($CO$2-(2014.5-(BG15-BI15)*C15/BG15))/C15)</f>
        <v>0</v>
      </c>
      <c r="CL15" s="43">
        <f>IF((1-($CO$2-BJ$2)/$C15)&gt;0,(1-($CO$2-BJ$2)/$C15),0)</f>
        <v>0.93333333333333335</v>
      </c>
      <c r="CM15" s="43">
        <f>IF((1-($CO$2-BN$2)/$C15)&gt;0,(1-($CO$2-BN$2)/$C15),0)</f>
        <v>0.96666666666666667</v>
      </c>
      <c r="CN15" s="43">
        <f>IF((1-($CO$2-BR$2)/$C15)&gt;0,(1-($CO$2-BR$2)/$C15),0)</f>
        <v>1</v>
      </c>
      <c r="CO15" s="239">
        <f>D15-E15+(G15-I15)*G$61+(K15-M15)*K$61+(O15-Q15)*O$61+(S15-U15)*S$61+(W15-Y15)*W$61+(AA15-AC15)*AA$61+(AE15-AG15)*AE$61+(AI15-AK15)*AI$61+(AM15-AO15)*AM$61+(AQ15-AS15)*$AQ$61+(AU15-AW15)*$AU$61+(AY15-BA15)*$AY$61+(BC15-BE15)*$BC$61+(BJ15-BL15)*$BJ$61+BG15+(BN15-BP15)*$BN$61+(BR15-BT15)*$BR$61</f>
        <v>2170367.98068809</v>
      </c>
      <c r="CP15" s="239">
        <f>CO15-(IF(BW15=0,0,D15-E15)+IF(BX15=0,0,(G15-I15)*G$61)+IF(BY15=0,0,(K15-M15)*K$61)+IF(BZ15=0,0,(O15-Q15)*O$61)+IF(CA15=0,0,(S15-U15)*S$61)+IF(CB15=0,0,(W15-Y15)*W$61)+IF(CC15=0,0,(AA15-AC15)*AA$61)+IF(CD15=0,0,(AE15-AG15)*AE$61)+IF(CE15=0,0,(AI15-AK15)*AI$61)+IF(CF15=0,0,(AM15-AO15)*AM$61)+IF(CG15=0,0,(AQ15-AS15)*$AQ$61)+IF(CH15=0,0,(AU15-AW15)*$AU$61)+IF(CI15=0,0,(AY15-BA15)*$AY$61)++IF(CJ15=0,0,(BC15-BE15)*$BC$61)+IF(CL15=0,0,(BJ15-BL15)*$BJ$61)+IF(CK15=0,0,BG15)+IF(CM15=0,0,(BN15-BP15)*$BN$61)+IF(CN15=0,0,(BR15-BT15)*$BR$61))</f>
        <v>0</v>
      </c>
      <c r="CQ15" s="239">
        <f>(D15-E15)*BW15+((G15-H15-(I15-J15))*G$61)*BX15+((K15-L15-(M15-N15))*K$61)*BY15+((O15-P15-(Q15-R15))*O$61)*BZ15+((S15-T15-(U15-V15))*S$61)*CA15+((W15-X15-(Y15-Z15))*W$61)*CB15+((AA15-AB15-(AC15-AD15))*AA$61)*CC15+((AE15-AF15-(AG15-AH15))*AE$61)*CD15+((AI15-AJ15-(AK15-AL15))*AI$61)*CE15+((AM15-AN15-(AO15-AP15))*$AM$61)*CF15+((AQ15-AR15-(AS15-AT15))*$AQ$61)*CG15+((AU15-AV15-(AW15-AX15))*$AU$61)*CH15+((AY15-AZ15-(BA15-BB15))*$AY$61)*CI15+((BC15-BD15-(BF15-BV15))*$BC$61)*CJ15+((BJ15-BK15-(BL15-BM15))*$BJ$61)*CL15+(BG15-BH15)*CK15+((BN15-BO15-(BP15-BQ15))*$BN$61)*CM15+((BR15-BS15-(BT15-BU15))*$BR$61)*CN15</f>
        <v>2098022.3813318205</v>
      </c>
    </row>
    <row r="16" spans="1:95" ht="12.75" customHeight="1" x14ac:dyDescent="0.25">
      <c r="A16" s="6"/>
      <c r="B16" s="3" t="s">
        <v>96</v>
      </c>
      <c r="C16" s="7">
        <v>30</v>
      </c>
      <c r="D16" s="37">
        <v>0</v>
      </c>
      <c r="E16" s="151"/>
      <c r="F16" s="152">
        <v>0</v>
      </c>
      <c r="G16" s="87">
        <v>0</v>
      </c>
      <c r="H16" s="88"/>
      <c r="I16" s="127"/>
      <c r="J16" s="88"/>
      <c r="K16" s="89">
        <v>0</v>
      </c>
      <c r="L16" s="90">
        <v>0</v>
      </c>
      <c r="M16" s="153"/>
      <c r="N16" s="91"/>
      <c r="O16" s="95">
        <v>0</v>
      </c>
      <c r="P16" s="93"/>
      <c r="Q16" s="94"/>
      <c r="R16" s="93"/>
      <c r="S16" s="154">
        <v>0</v>
      </c>
      <c r="T16" s="114"/>
      <c r="U16" s="154"/>
      <c r="V16" s="155"/>
      <c r="W16" s="58">
        <v>0</v>
      </c>
      <c r="X16" s="58">
        <v>0</v>
      </c>
      <c r="Y16" s="58"/>
      <c r="Z16" s="59"/>
      <c r="AA16" s="76">
        <v>0</v>
      </c>
      <c r="AB16" s="156">
        <v>0</v>
      </c>
      <c r="AC16" s="157"/>
      <c r="AD16" s="61"/>
      <c r="AE16" s="63">
        <v>0</v>
      </c>
      <c r="AF16" s="63">
        <v>0</v>
      </c>
      <c r="AG16" s="158"/>
      <c r="AH16" s="62"/>
      <c r="AI16" s="154">
        <v>0</v>
      </c>
      <c r="AJ16" s="154">
        <v>0</v>
      </c>
      <c r="AK16" s="154"/>
      <c r="AL16" s="155"/>
      <c r="AM16" s="49">
        <v>0</v>
      </c>
      <c r="AN16" s="49">
        <v>0</v>
      </c>
      <c r="AO16" s="49"/>
      <c r="AP16" s="50"/>
      <c r="AQ16" s="159">
        <v>0</v>
      </c>
      <c r="AR16" s="198">
        <v>0</v>
      </c>
      <c r="AS16" s="198"/>
      <c r="AT16" s="198"/>
      <c r="AU16" s="210">
        <v>0</v>
      </c>
      <c r="AV16" s="210">
        <v>0</v>
      </c>
      <c r="AW16" s="210"/>
      <c r="AX16" s="210"/>
      <c r="AY16" s="129">
        <v>0</v>
      </c>
      <c r="AZ16" s="129">
        <v>0</v>
      </c>
      <c r="BA16" s="129"/>
      <c r="BB16" s="129"/>
      <c r="BC16" s="146">
        <v>0</v>
      </c>
      <c r="BD16" s="136"/>
      <c r="BE16" s="136"/>
      <c r="BF16" s="136"/>
      <c r="BG16" s="252"/>
      <c r="BH16" s="252"/>
      <c r="BI16" s="252"/>
      <c r="BJ16" s="226">
        <v>0</v>
      </c>
      <c r="BK16" s="226"/>
      <c r="BL16" s="226"/>
      <c r="BM16" s="226"/>
      <c r="BN16" s="233">
        <v>2388601.21</v>
      </c>
      <c r="BO16" s="233"/>
      <c r="BP16" s="233"/>
      <c r="BQ16" s="233"/>
      <c r="BR16" s="243">
        <v>0</v>
      </c>
      <c r="BS16" s="243"/>
      <c r="BT16" s="243"/>
      <c r="BU16" s="243"/>
      <c r="BV16" s="26">
        <f>IF(D16=0,0,2001-(D16-F16)*C16/D16)</f>
        <v>0</v>
      </c>
      <c r="BW16" s="43">
        <f>IF((1-($CO$2-$BV16)/$C16)&gt;0,(1-($CO$2-$BV16)/$C16),0)</f>
        <v>0</v>
      </c>
      <c r="BX16" s="43">
        <f>IF((1-($CO$2-G$2)/$C16)&gt;0,(1-($CO$2-G$2)/$C16),0)</f>
        <v>0.5</v>
      </c>
      <c r="BY16" s="43">
        <f>IF((1-($CO$2-K$2)/$C16)&gt;0,(1-($CO$2-K$2)/$C16),0)</f>
        <v>0.53333333333333333</v>
      </c>
      <c r="BZ16" s="43">
        <f>IF((1-($CO$2-O$2)/$C16)&gt;0,(1-($CO$2-O$2)/$C16),0)</f>
        <v>0.56666666666666665</v>
      </c>
      <c r="CA16" s="43">
        <f>IF((1-($CO$2-S$2)/$C16)&gt;0,(1-($CO$2-S$2)/$C16),0)</f>
        <v>0.6</v>
      </c>
      <c r="CB16" s="43">
        <f>IF((1-($CO$2-W$2)/$C16)&gt;0,(1-($CO$2-W$2)/$C16),0)</f>
        <v>0.6333333333333333</v>
      </c>
      <c r="CC16" s="43">
        <f>IF((1-($CO$2-AA$2)/$C16)&gt;0,(1-($CO$2-AA$2)/$C16),0)</f>
        <v>0.66666666666666674</v>
      </c>
      <c r="CD16" s="43">
        <f>IF((1-($CO$2-AE$2)/$C16)&gt;0,(1-($CO$2-AE$2)/$C16),0)</f>
        <v>0.7</v>
      </c>
      <c r="CE16" s="43">
        <f>IF((1-($CO$2-AI$2)/$C16)&gt;0,(1-($CO$2-AI$2)/$C16),0)</f>
        <v>0.73333333333333339</v>
      </c>
      <c r="CF16" s="43">
        <f>IF((1-($CO$2-AM$2)/$C16)&gt;0,(1-($CO$2-AM$2)/$C16),0)</f>
        <v>0.76666666666666661</v>
      </c>
      <c r="CG16" s="43">
        <f>IF((1-($CO$2-AQ$2)/$C16)&gt;0,(1-($CO$2-AQ$2)/$C16),0)</f>
        <v>0.8</v>
      </c>
      <c r="CH16" s="43">
        <f>IF((1-($CO$2-AU$2)/$C16)&gt;0,(1-($CO$2-AU$2)/$C16),0)</f>
        <v>0.83333333333333337</v>
      </c>
      <c r="CI16" s="43">
        <f>IF((1-($CO$2-AY$2)/$C16)&gt;0,(1-($CO$2-AY$2)/$C16),0)</f>
        <v>0.8666666666666667</v>
      </c>
      <c r="CJ16" s="43">
        <f>IF((1-($CO$2-BC$2)/$C16)&gt;0,(1-($CO$2-BC$2)/$C16),0)</f>
        <v>0.9</v>
      </c>
      <c r="CK16" s="43">
        <f>IF(BG16=0,0,1-($CO$2-(2014.5-(BG16-BI16)*C16/BG16))/C16)</f>
        <v>0</v>
      </c>
      <c r="CL16" s="43">
        <f>IF((1-($CO$2-BJ$2)/$C16)&gt;0,(1-($CO$2-BJ$2)/$C16),0)</f>
        <v>0.93333333333333335</v>
      </c>
      <c r="CM16" s="43">
        <f>IF((1-($CO$2-BN$2)/$C16)&gt;0,(1-($CO$2-BN$2)/$C16),0)</f>
        <v>0.96666666666666667</v>
      </c>
      <c r="CN16" s="43">
        <f>IF((1-($CO$2-BR$2)/$C16)&gt;0,(1-($CO$2-BR$2)/$C16),0)</f>
        <v>1</v>
      </c>
      <c r="CO16" s="239">
        <f>D16-E16+(G16-I16)*G$61+(K16-M16)*K$61+(O16-Q16)*O$61+(S16-U16)*S$61+(W16-Y16)*W$61+(AA16-AC16)*AA$61+(AE16-AG16)*AE$61+(AI16-AK16)*AI$61+(AM16-AO16)*AM$61+(AQ16-AS16)*$AQ$61+(AU16-AW16)*$AU$61+(AY16-BA16)*$AY$61+(BC16-BE16)*$BC$61+(BJ16-BL16)*$BJ$61+BG16+(BN16-BP16)*$BN$61+(BR16-BT16)*$BR$61</f>
        <v>2088630.1130731143</v>
      </c>
      <c r="CP16" s="239">
        <f>CO16-(IF(BW16=0,0,D16-E16)+IF(BX16=0,0,(G16-I16)*G$61)+IF(BY16=0,0,(K16-M16)*K$61)+IF(BZ16=0,0,(O16-Q16)*O$61)+IF(CA16=0,0,(S16-U16)*S$61)+IF(CB16=0,0,(W16-Y16)*W$61)+IF(CC16=0,0,(AA16-AC16)*AA$61)+IF(CD16=0,0,(AE16-AG16)*AE$61)+IF(CE16=0,0,(AI16-AK16)*AI$61)+IF(CF16=0,0,(AM16-AO16)*AM$61)+IF(CG16=0,0,(AQ16-AS16)*$AQ$61)+IF(CH16=0,0,(AU16-AW16)*$AU$61)+IF(CI16=0,0,(AY16-BA16)*$AY$61)++IF(CJ16=0,0,(BC16-BE16)*$BC$61)+IF(CL16=0,0,(BJ16-BL16)*$BJ$61)+IF(CK16=0,0,BG16)+IF(CM16=0,0,(BN16-BP16)*$BN$61)+IF(CN16=0,0,(BR16-BT16)*$BR$61))</f>
        <v>0</v>
      </c>
      <c r="CQ16" s="239">
        <f>(D16-E16)*BW16+((G16-H16-(I16-J16))*G$61)*BX16+((K16-L16-(M16-N16))*K$61)*BY16+((O16-P16-(Q16-R16))*O$61)*BZ16+((S16-T16-(U16-V16))*S$61)*CA16+((W16-X16-(Y16-Z16))*W$61)*CB16+((AA16-AB16-(AC16-AD16))*AA$61)*CC16+((AE16-AF16-(AG16-AH16))*AE$61)*CD16+((AI16-AJ16-(AK16-AL16))*AI$61)*CE16+((AM16-AN16-(AO16-AP16))*$AM$61)*CF16+((AQ16-AR16-(AS16-AT16))*$AQ$61)*CG16+((AU16-AV16-(AW16-AX16))*$AU$61)*CH16+((AY16-AZ16-(BA16-BB16))*$AY$61)*CI16+((BC16-BD16-(BF16-BV16))*$BC$61)*CJ16+((BJ16-BK16-(BL16-BM16))*$BJ$61)*CL16+(BG16-BH16)*CK16+((BN16-BO16-(BP16-BQ16))*$BN$61)*CM16+((BR16-BS16-(BT16-BU16))*$BR$61)*CN16</f>
        <v>2019009.1093040104</v>
      </c>
    </row>
    <row r="17" spans="1:98" ht="12.75" customHeight="1" x14ac:dyDescent="0.25">
      <c r="A17" s="6"/>
      <c r="B17" s="3" t="s">
        <v>97</v>
      </c>
      <c r="C17" s="7">
        <v>30</v>
      </c>
      <c r="D17" s="37">
        <v>0</v>
      </c>
      <c r="E17" s="151"/>
      <c r="F17" s="152">
        <v>0</v>
      </c>
      <c r="G17" s="87">
        <v>0</v>
      </c>
      <c r="H17" s="88"/>
      <c r="I17" s="127"/>
      <c r="J17" s="88"/>
      <c r="K17" s="89">
        <v>0</v>
      </c>
      <c r="L17" s="90">
        <v>0</v>
      </c>
      <c r="M17" s="153"/>
      <c r="N17" s="91"/>
      <c r="O17" s="95">
        <v>0</v>
      </c>
      <c r="P17" s="93"/>
      <c r="Q17" s="94"/>
      <c r="R17" s="93"/>
      <c r="S17" s="154">
        <v>0</v>
      </c>
      <c r="T17" s="114"/>
      <c r="U17" s="154"/>
      <c r="V17" s="155"/>
      <c r="W17" s="58">
        <v>0</v>
      </c>
      <c r="X17" s="58">
        <v>0</v>
      </c>
      <c r="Y17" s="58"/>
      <c r="Z17" s="59"/>
      <c r="AA17" s="76">
        <v>0</v>
      </c>
      <c r="AB17" s="156">
        <v>0</v>
      </c>
      <c r="AC17" s="157"/>
      <c r="AD17" s="61"/>
      <c r="AE17" s="63">
        <v>0</v>
      </c>
      <c r="AF17" s="63">
        <v>0</v>
      </c>
      <c r="AG17" s="158"/>
      <c r="AH17" s="62"/>
      <c r="AI17" s="154">
        <v>0</v>
      </c>
      <c r="AJ17" s="154">
        <v>0</v>
      </c>
      <c r="AK17" s="154"/>
      <c r="AL17" s="155"/>
      <c r="AM17" s="49">
        <v>0</v>
      </c>
      <c r="AN17" s="49">
        <v>0</v>
      </c>
      <c r="AO17" s="49"/>
      <c r="AP17" s="50"/>
      <c r="AQ17" s="159">
        <v>0</v>
      </c>
      <c r="AR17" s="198">
        <v>0</v>
      </c>
      <c r="AS17" s="198"/>
      <c r="AT17" s="198"/>
      <c r="AU17" s="210">
        <v>0</v>
      </c>
      <c r="AV17" s="210">
        <v>0</v>
      </c>
      <c r="AW17" s="210"/>
      <c r="AX17" s="210"/>
      <c r="AY17" s="129">
        <v>0</v>
      </c>
      <c r="AZ17" s="129">
        <v>0</v>
      </c>
      <c r="BA17" s="129"/>
      <c r="BB17" s="129"/>
      <c r="BC17" s="146">
        <v>882092.27</v>
      </c>
      <c r="BD17" s="136"/>
      <c r="BE17" s="136"/>
      <c r="BF17" s="136"/>
      <c r="BG17" s="252"/>
      <c r="BH17" s="252"/>
      <c r="BI17" s="252"/>
      <c r="BJ17" s="226">
        <v>0</v>
      </c>
      <c r="BK17" s="226"/>
      <c r="BL17" s="226"/>
      <c r="BM17" s="226"/>
      <c r="BN17" s="233">
        <v>5584871.6299999999</v>
      </c>
      <c r="BO17" s="233"/>
      <c r="BP17" s="233"/>
      <c r="BQ17" s="233"/>
      <c r="BR17" s="243">
        <v>1844000</v>
      </c>
      <c r="BS17" s="243"/>
      <c r="BT17" s="243"/>
      <c r="BU17" s="243"/>
      <c r="BV17" s="26">
        <f>IF(D17=0,0,2001-(D17-F17)*C17/D17)</f>
        <v>0</v>
      </c>
      <c r="BW17" s="43">
        <f>IF((1-($CO$2-$BV17)/$C17)&gt;0,(1-($CO$2-$BV17)/$C17),0)</f>
        <v>0</v>
      </c>
      <c r="BX17" s="43">
        <f>IF((1-($CO$2-G$2)/$C17)&gt;0,(1-($CO$2-G$2)/$C17),0)</f>
        <v>0.5</v>
      </c>
      <c r="BY17" s="43">
        <f>IF((1-($CO$2-K$2)/$C17)&gt;0,(1-($CO$2-K$2)/$C17),0)</f>
        <v>0.53333333333333333</v>
      </c>
      <c r="BZ17" s="43">
        <f>IF((1-($CO$2-O$2)/$C17)&gt;0,(1-($CO$2-O$2)/$C17),0)</f>
        <v>0.56666666666666665</v>
      </c>
      <c r="CA17" s="43">
        <f>IF((1-($CO$2-S$2)/$C17)&gt;0,(1-($CO$2-S$2)/$C17),0)</f>
        <v>0.6</v>
      </c>
      <c r="CB17" s="43">
        <f>IF((1-($CO$2-W$2)/$C17)&gt;0,(1-($CO$2-W$2)/$C17),0)</f>
        <v>0.6333333333333333</v>
      </c>
      <c r="CC17" s="43">
        <f>IF((1-($CO$2-AA$2)/$C17)&gt;0,(1-($CO$2-AA$2)/$C17),0)</f>
        <v>0.66666666666666674</v>
      </c>
      <c r="CD17" s="43">
        <f>IF((1-($CO$2-AE$2)/$C17)&gt;0,(1-($CO$2-AE$2)/$C17),0)</f>
        <v>0.7</v>
      </c>
      <c r="CE17" s="43">
        <f>IF((1-($CO$2-AI$2)/$C17)&gt;0,(1-($CO$2-AI$2)/$C17),0)</f>
        <v>0.73333333333333339</v>
      </c>
      <c r="CF17" s="43">
        <f>IF((1-($CO$2-AM$2)/$C17)&gt;0,(1-($CO$2-AM$2)/$C17),0)</f>
        <v>0.76666666666666661</v>
      </c>
      <c r="CG17" s="43">
        <f>IF((1-($CO$2-AQ$2)/$C17)&gt;0,(1-($CO$2-AQ$2)/$C17),0)</f>
        <v>0.8</v>
      </c>
      <c r="CH17" s="43">
        <f>IF((1-($CO$2-AU$2)/$C17)&gt;0,(1-($CO$2-AU$2)/$C17),0)</f>
        <v>0.83333333333333337</v>
      </c>
      <c r="CI17" s="43">
        <f>IF((1-($CO$2-AY$2)/$C17)&gt;0,(1-($CO$2-AY$2)/$C17),0)</f>
        <v>0.8666666666666667</v>
      </c>
      <c r="CJ17" s="43">
        <f>IF((1-($CO$2-BC$2)/$C17)&gt;0,(1-($CO$2-BC$2)/$C17),0)</f>
        <v>0.9</v>
      </c>
      <c r="CK17" s="43">
        <f>IF(BG17=0,0,1-($CO$2-(2014.5-(BG17-BI17)*C17/BG17))/C17)</f>
        <v>0</v>
      </c>
      <c r="CL17" s="43">
        <f>IF((1-($CO$2-BJ$2)/$C17)&gt;0,(1-($CO$2-BJ$2)/$C17),0)</f>
        <v>0.93333333333333335</v>
      </c>
      <c r="CM17" s="43">
        <f>IF((1-($CO$2-BN$2)/$C17)&gt;0,(1-($CO$2-BN$2)/$C17),0)</f>
        <v>0.96666666666666667</v>
      </c>
      <c r="CN17" s="43">
        <f>IF((1-($CO$2-BR$2)/$C17)&gt;0,(1-($CO$2-BR$2)/$C17),0)</f>
        <v>1</v>
      </c>
      <c r="CO17" s="239">
        <f>D17-E17+(G17-I17)*G$61+(K17-M17)*K$61+(O17-Q17)*O$61+(S17-U17)*S$61+(W17-Y17)*W$61+(AA17-AC17)*AA$61+(AE17-AG17)*AE$61+(AI17-AK17)*AI$61+(AM17-AO17)*AM$61+(AQ17-AS17)*$AQ$61+(AU17-AW17)*$AU$61+(AY17-BA17)*$AY$61+(BC17-BE17)*$BC$61+(BJ17-BL17)*$BJ$61+BG17+(BN17-BP17)*$BN$61+(BR17-BT17)*$BR$61</f>
        <v>7229414.3872795496</v>
      </c>
      <c r="CP17" s="239">
        <f>CO17-(IF(BW17=0,0,D17-E17)+IF(BX17=0,0,(G17-I17)*G$61)+IF(BY17=0,0,(K17-M17)*K$61)+IF(BZ17=0,0,(O17-Q17)*O$61)+IF(CA17=0,0,(S17-U17)*S$61)+IF(CB17=0,0,(W17-Y17)*W$61)+IF(CC17=0,0,(AA17-AC17)*AA$61)+IF(CD17=0,0,(AE17-AG17)*AE$61)+IF(CE17=0,0,(AI17-AK17)*AI$61)+IF(CF17=0,0,(AM17-AO17)*AM$61)+IF(CG17=0,0,(AQ17-AS17)*$AQ$61)+IF(CH17=0,0,(AU17-AW17)*$AU$61)+IF(CI17=0,0,(AY17-BA17)*$AY$61)++IF(CJ17=0,0,(BC17-BE17)*$BC$61)+IF(CL17=0,0,(BJ17-BL17)*$BJ$61)+IF(CK17=0,0,BG17)+IF(CM17=0,0,(BN17-BP17)*$BN$61)+IF(CN17=0,0,(BR17-BT17)*$BR$61))</f>
        <v>0</v>
      </c>
      <c r="CQ17" s="239">
        <f>(D17-E17)*BW17+((G17-H17-(I17-J17))*G$61)*BX17+((K17-L17-(M17-N17))*K$61)*BY17+((O17-P17-(Q17-R17))*O$61)*BZ17+((S17-T17-(U17-V17))*S$61)*CA17+((W17-X17-(Y17-Z17))*W$61)*CB17+((AA17-AB17-(AC17-AD17))*AA$61)*CC17+((AE17-AF17-(AG17-AH17))*AE$61)*CD17+((AI17-AJ17-(AK17-AL17))*AI$61)*CE17+((AM17-AN17-(AO17-AP17))*$AM$61)*CF17+((AQ17-AR17-(AS17-AT17))*$AQ$61)*CG17+((AU17-AV17-(AW17-AX17))*$AU$61)*CH17+((AY17-AZ17-(BA17-BB17))*$AY$61)*CI17+((BC17-BD17-(BF17-BV17))*$BC$61)*CJ17+((BJ17-BK17-(BL17-BM17))*$BJ$61)*CL17+(BG17-BH17)*CK17+((BN17-BO17-(BP17-BQ17))*$BN$61)*CM17+((BR17-BS17-(BT17-BU17))*$BR$61)*CN17</f>
        <v>6993691.5128751546</v>
      </c>
    </row>
    <row r="18" spans="1:98" ht="12.75" customHeight="1" x14ac:dyDescent="0.35">
      <c r="A18" s="6"/>
      <c r="B18" s="4" t="s">
        <v>19</v>
      </c>
      <c r="C18" s="15"/>
      <c r="D18" s="77">
        <v>0</v>
      </c>
      <c r="E18" s="109"/>
      <c r="F18" s="77">
        <v>0</v>
      </c>
      <c r="G18" s="104"/>
      <c r="H18" s="104"/>
      <c r="I18" s="104"/>
      <c r="J18" s="104"/>
      <c r="K18" s="105"/>
      <c r="L18" s="106">
        <v>0</v>
      </c>
      <c r="M18" s="106"/>
      <c r="N18" s="105"/>
      <c r="O18" s="107"/>
      <c r="P18" s="107"/>
      <c r="Q18" s="107"/>
      <c r="R18" s="107"/>
      <c r="S18" s="168"/>
      <c r="T18" s="168"/>
      <c r="U18" s="169"/>
      <c r="V18" s="170"/>
      <c r="W18" s="74"/>
      <c r="X18" s="73"/>
      <c r="Y18" s="74"/>
      <c r="Z18" s="73"/>
      <c r="AA18" s="75"/>
      <c r="AB18" s="75"/>
      <c r="AC18" s="171"/>
      <c r="AD18" s="75"/>
      <c r="AE18" s="50"/>
      <c r="AF18" s="50"/>
      <c r="AG18" s="53"/>
      <c r="AH18" s="50"/>
      <c r="AI18" s="169"/>
      <c r="AJ18" s="170"/>
      <c r="AK18" s="170"/>
      <c r="AL18" s="170"/>
      <c r="AM18" s="190">
        <v>0</v>
      </c>
      <c r="AN18" s="85">
        <v>0</v>
      </c>
      <c r="AO18" s="85"/>
      <c r="AP18" s="86"/>
      <c r="AQ18" s="207">
        <v>0</v>
      </c>
      <c r="AR18" s="202">
        <v>0</v>
      </c>
      <c r="AS18" s="202"/>
      <c r="AT18" s="202"/>
      <c r="AU18" s="218">
        <v>0</v>
      </c>
      <c r="AV18" s="214">
        <v>0</v>
      </c>
      <c r="AW18" s="214"/>
      <c r="AX18" s="219"/>
      <c r="AY18" s="128">
        <v>0</v>
      </c>
      <c r="AZ18" s="128">
        <v>0</v>
      </c>
      <c r="BA18" s="128"/>
      <c r="BB18" s="128"/>
      <c r="BC18" s="147"/>
      <c r="BD18" s="143"/>
      <c r="BE18" s="143"/>
      <c r="BF18" s="143"/>
      <c r="BG18" s="252"/>
      <c r="BH18" s="252"/>
      <c r="BI18" s="252"/>
      <c r="BJ18" s="226"/>
      <c r="BK18" s="226"/>
      <c r="BL18" s="226"/>
      <c r="BM18" s="226"/>
      <c r="BN18" s="233"/>
      <c r="BO18" s="233"/>
      <c r="BP18" s="233"/>
      <c r="BQ18" s="233"/>
      <c r="BR18" s="243"/>
      <c r="BS18" s="243"/>
      <c r="BT18" s="243"/>
      <c r="BU18" s="243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241"/>
      <c r="CP18" s="241"/>
      <c r="CQ18" s="241"/>
    </row>
    <row r="19" spans="1:98" ht="12.75" customHeight="1" x14ac:dyDescent="0.25">
      <c r="A19" s="6"/>
      <c r="B19" s="3" t="s">
        <v>20</v>
      </c>
      <c r="C19" s="7">
        <v>30</v>
      </c>
      <c r="D19" s="37">
        <v>20631115.423739497</v>
      </c>
      <c r="E19" s="151"/>
      <c r="F19" s="152">
        <v>11427451.59935529</v>
      </c>
      <c r="G19" s="87">
        <v>275088</v>
      </c>
      <c r="H19" s="88"/>
      <c r="I19" s="127"/>
      <c r="J19" s="88"/>
      <c r="K19" s="89">
        <v>838585.51</v>
      </c>
      <c r="L19" s="90">
        <v>252735</v>
      </c>
      <c r="M19" s="153"/>
      <c r="N19" s="91"/>
      <c r="O19" s="95">
        <v>682132.64</v>
      </c>
      <c r="P19" s="93"/>
      <c r="Q19" s="94"/>
      <c r="R19" s="93"/>
      <c r="S19" s="154">
        <v>853048</v>
      </c>
      <c r="T19" s="114"/>
      <c r="U19" s="154"/>
      <c r="V19" s="155"/>
      <c r="W19" s="58">
        <v>1150963.24</v>
      </c>
      <c r="X19" s="58">
        <v>0</v>
      </c>
      <c r="Y19" s="58"/>
      <c r="Z19" s="59"/>
      <c r="AA19" s="76">
        <v>1286599.07</v>
      </c>
      <c r="AB19" s="156">
        <v>255770.07</v>
      </c>
      <c r="AC19" s="157"/>
      <c r="AD19" s="61"/>
      <c r="AE19" s="63">
        <v>1756704.5</v>
      </c>
      <c r="AF19" s="63">
        <v>0</v>
      </c>
      <c r="AG19" s="158"/>
      <c r="AH19" s="62"/>
      <c r="AI19" s="154">
        <v>3549323.0099999965</v>
      </c>
      <c r="AJ19" s="154">
        <v>0</v>
      </c>
      <c r="AK19" s="154"/>
      <c r="AL19" s="155"/>
      <c r="AM19" s="49">
        <v>1341910.8899999994</v>
      </c>
      <c r="AN19" s="49">
        <v>0</v>
      </c>
      <c r="AO19" s="49"/>
      <c r="AP19" s="53"/>
      <c r="AQ19" s="159">
        <v>1605662.6499999997</v>
      </c>
      <c r="AR19" s="198">
        <v>0</v>
      </c>
      <c r="AS19" s="198"/>
      <c r="AT19" s="198"/>
      <c r="AU19" s="210">
        <v>974437.2</v>
      </c>
      <c r="AV19" s="210">
        <v>0</v>
      </c>
      <c r="AW19" s="210"/>
      <c r="AX19" s="210"/>
      <c r="AY19" s="129">
        <v>2945753.8299999982</v>
      </c>
      <c r="AZ19" s="129">
        <v>0</v>
      </c>
      <c r="BA19" s="129"/>
      <c r="BB19" s="129"/>
      <c r="BC19" s="146">
        <v>1470098.0800000005</v>
      </c>
      <c r="BD19" s="136"/>
      <c r="BE19" s="136"/>
      <c r="BF19" s="136"/>
      <c r="BG19" s="252">
        <f>+BH19+726319.84</f>
        <v>2828060.8582160217</v>
      </c>
      <c r="BH19" s="252">
        <v>2101741.0182160218</v>
      </c>
      <c r="BI19" s="252">
        <f>1049501.95+206250+329221.56+314738.6</f>
        <v>1899712.1099999999</v>
      </c>
      <c r="BJ19" s="226">
        <v>1038342.7200000007</v>
      </c>
      <c r="BK19" s="226"/>
      <c r="BL19" s="226"/>
      <c r="BM19" s="226"/>
      <c r="BN19" s="233">
        <v>2936315.89</v>
      </c>
      <c r="BO19" s="233"/>
      <c r="BP19" s="233"/>
      <c r="BQ19" s="233"/>
      <c r="BR19" s="243">
        <v>1953432.7999999998</v>
      </c>
      <c r="BS19" s="243">
        <v>38757.639999999992</v>
      </c>
      <c r="BT19" s="243"/>
      <c r="BU19" s="243"/>
      <c r="BV19" s="26">
        <f t="shared" ref="BV19:BV31" si="23">IF(D19=0,0,2001-(D19-F19)*C19/D19)</f>
        <v>1987.6168208038905</v>
      </c>
      <c r="BW19" s="43">
        <f t="shared" ref="BW19:BW31" si="24">IF((1-($CO$2-$BV19)/$C19)&gt;0,(1-($CO$2-$BV19)/$C19),0)</f>
        <v>2.056069346301681E-2</v>
      </c>
      <c r="BX19" s="43">
        <f t="shared" ref="BX19:BX31" si="25">IF((1-($CO$2-G$2)/$C19)&gt;0,(1-($CO$2-G$2)/$C19),0)</f>
        <v>0.5</v>
      </c>
      <c r="BY19" s="43">
        <f t="shared" ref="BY19:BY31" si="26">IF((1-($CO$2-K$2)/$C19)&gt;0,(1-($CO$2-K$2)/$C19),0)</f>
        <v>0.53333333333333333</v>
      </c>
      <c r="BZ19" s="43">
        <f t="shared" ref="BZ19:BZ31" si="27">IF((1-($CO$2-O$2)/$C19)&gt;0,(1-($CO$2-O$2)/$C19),0)</f>
        <v>0.56666666666666665</v>
      </c>
      <c r="CA19" s="43">
        <f t="shared" ref="CA19:CA31" si="28">IF((1-($CO$2-S$2)/$C19)&gt;0,(1-($CO$2-S$2)/$C19),0)</f>
        <v>0.6</v>
      </c>
      <c r="CB19" s="43">
        <f t="shared" ref="CB19:CB31" si="29">IF((1-($CO$2-W$2)/$C19)&gt;0,(1-($CO$2-W$2)/$C19),0)</f>
        <v>0.6333333333333333</v>
      </c>
      <c r="CC19" s="43">
        <f t="shared" ref="CC19:CC31" si="30">IF((1-($CO$2-AA$2)/$C19)&gt;0,(1-($CO$2-AA$2)/$C19),0)</f>
        <v>0.66666666666666674</v>
      </c>
      <c r="CD19" s="43">
        <f t="shared" ref="CD19:CD31" si="31">IF((1-($CO$2-AE$2)/$C19)&gt;0,(1-($CO$2-AE$2)/$C19),0)</f>
        <v>0.7</v>
      </c>
      <c r="CE19" s="43">
        <f t="shared" ref="CE19:CE31" si="32">IF((1-($CO$2-AI$2)/$C19)&gt;0,(1-($CO$2-AI$2)/$C19),0)</f>
        <v>0.73333333333333339</v>
      </c>
      <c r="CF19" s="43">
        <f t="shared" ref="CF19:CF31" si="33">IF((1-($CO$2-AM$2)/$C19)&gt;0,(1-($CO$2-AM$2)/$C19),0)</f>
        <v>0.76666666666666661</v>
      </c>
      <c r="CG19" s="43">
        <f t="shared" ref="CG19:CG31" si="34">IF((1-($CO$2-AQ$2)/$C19)&gt;0,(1-($CO$2-AQ$2)/$C19),0)</f>
        <v>0.8</v>
      </c>
      <c r="CH19" s="43">
        <f t="shared" ref="CH19:CH31" si="35">IF((1-($CO$2-AU$2)/$C19)&gt;0,(1-($CO$2-AU$2)/$C19),0)</f>
        <v>0.83333333333333337</v>
      </c>
      <c r="CI19" s="43">
        <f t="shared" ref="CI19:CI31" si="36">IF((1-($CO$2-AY$2)/$C19)&gt;0,(1-($CO$2-AY$2)/$C19),0)</f>
        <v>0.8666666666666667</v>
      </c>
      <c r="CJ19" s="43">
        <f t="shared" ref="CJ19:CJ31" si="37">IF((1-($CO$2-BC$2)/$C19)&gt;0,(1-($CO$2-BC$2)/$C19),0)</f>
        <v>0.9</v>
      </c>
      <c r="CK19" s="43">
        <f t="shared" ref="CK19:CK31" si="38">IF(BG19=0,0,1-($CO$2-(2014.5-(BG19-BI19)*C19/BG19))/C19)</f>
        <v>0.58840331069290341</v>
      </c>
      <c r="CL19" s="43">
        <f t="shared" ref="CL19:CL31" si="39">IF((1-($CO$2-BJ$2)/$C19)&gt;0,(1-($CO$2-BJ$2)/$C19),0)</f>
        <v>0.93333333333333335</v>
      </c>
      <c r="CM19" s="43">
        <f t="shared" ref="CM19:CM31" si="40">IF((1-($CO$2-BN$2)/$C19)&gt;0,(1-($CO$2-BN$2)/$C19),0)</f>
        <v>0.96666666666666667</v>
      </c>
      <c r="CN19" s="43">
        <f t="shared" ref="CN19:CN31" si="41">IF((1-($CO$2-BR$2)/$C19)&gt;0,(1-($CO$2-BR$2)/$C19),0)</f>
        <v>1</v>
      </c>
      <c r="CO19" s="239">
        <f t="shared" ref="CO19:CO31" si="42">D19-E19+(G19-I19)*G$61+(K19-M19)*K$61+(O19-Q19)*O$61+(S19-U19)*S$61+(W19-Y19)*W$61+(AA19-AC19)*AA$61+(AE19-AG19)*AE$61+(AI19-AK19)*AI$61+(AM19-AO19)*AM$61+(AQ19-AS19)*$AQ$61+(AU19-AW19)*$AU$61+(AY19-BA19)*$AY$61+(BC19-BE19)*$BC$61+(BJ19-BL19)*$BJ$61+BG19+(BN19-BP19)*$BN$61+(BR19-BT19)*$BR$61</f>
        <v>43447450.206156202</v>
      </c>
      <c r="CP19" s="239">
        <f t="shared" ref="CP19:CP31" si="43">CO19-(IF(BW19=0,0,D19-E19)+IF(BX19=0,0,(G19-I19)*G$61)+IF(BY19=0,0,(K19-M19)*K$61)+IF(BZ19=0,0,(O19-Q19)*O$61)+IF(CA19=0,0,(S19-U19)*S$61)+IF(CB19=0,0,(W19-Y19)*W$61)+IF(CC19=0,0,(AA19-AC19)*AA$61)+IF(CD19=0,0,(AE19-AG19)*AE$61)+IF(CE19=0,0,(AI19-AK19)*AI$61)+IF(CF19=0,0,(AM19-AO19)*AM$61)+IF(CG19=0,0,(AQ19-AS19)*$AQ$61)+IF(CH19=0,0,(AU19-AW19)*$AU$61)+IF(CI19=0,0,(AY19-BA19)*$AY$61)++IF(CJ19=0,0,(BC19-BE19)*$BC$61)+IF(CL19=0,0,(BJ19-BL19)*$BJ$61)+IF(CK19=0,0,BG19)+IF(CM19=0,0,(BN19-BP19)*$BN$61)+IF(CN19=0,0,(BR19-BT19)*$BR$61))</f>
        <v>0</v>
      </c>
      <c r="CQ19" s="239">
        <f t="shared" ref="CQ19:CQ31" si="44">(D19-E19)*BW19+((G19-H19-(I19-J19))*G$61)*BX19+((K19-L19-(M19-N19))*K$61)*BY19+((O19-P19-(Q19-R19))*O$61)*BZ19+((S19-T19-(U19-V19))*S$61)*CA19+((W19-X19-(Y19-Z19))*W$61)*CB19+((AA19-AB19-(AC19-AD19))*AA$61)*CC19+((AE19-AF19-(AG19-AH19))*AE$61)*CD19+((AI19-AJ19-(AK19-AL19))*AI$61)*CE19+((AM19-AN19-(AO19-AP19))*$AM$61)*CF19+((AQ19-AR19-(AS19-AT19))*$AQ$61)*CG19+((AU19-AV19-(AW19-AX19))*$AU$61)*CH19+((AY19-AZ19-(BA19-BB19))*$AY$61)*CI19+((BC19-BD19-(BF19-BV19))*$BC$61)*CJ19+((BJ19-BK19-(BL19-BM19))*$BJ$61)*CL19+(BG19-BH19)*CK19+((BN19-BO19-(BP19-BQ19))*$BN$61)*CM19+((BR19-BS19-(BT19-BU19))*$BR$61)*CN19</f>
        <v>16436781.62614006</v>
      </c>
      <c r="CR19">
        <f>+IF(BW19=0,D19-E19,0)+IF(BX19=0,(G19-I19)*$G$61,0)+IF(BY19=0,(K19-M19)*$K$61,0)+IF(BZ19=0,(O19-Q19)*$O$61,0)+IF(CA19=0,(S19-U19)*$S$61,0)</f>
        <v>0</v>
      </c>
      <c r="CS19">
        <f>IF(BW19=0,0,D19-E19)+IF(BX19=0,0,(G19-I19)*G$61)+IF(BY19=0,0,(K19-M19)*K$61)+IF(BZ19=0,0,(O19-Q19)*O$61)+IF(CA19=0,0,(S19-U19)*S$61)+IF(CB19=0,0,(W19-Y19)*W$61)+IF(CC19=0,0,(AA19-AC19)*AA$61)+IF(CD19=0,0,(AE19-AG19)*AE$61)+IF(CE19=0,0,(AI19-AK19)*AI$61)+IF(CF19=0,0,(AM19-AO19)*AM$61)+IF(CG19=0,0,(AQ19-AS19)*$AQ$61)+IF(CH19=0,0,(AU19-AW19)*$AU$61)+IF(CI19=0,0,(AY19-BA19)*$AY$61)+IF(CJ19=0,0,(BC19-BE19)*$BC$61)</f>
        <v>35480888.93564748</v>
      </c>
      <c r="CT19" s="222">
        <f>+D19-E19+(G19-I19)*G$61+(K19-M19)*K$61+(O19-Q19)*O$61+(S19-U19)*S$61+(W19-Y19)*W$61+(AA19-AC19)*AA$61+(AE19-AG19)*AE$61+(AI19-AK19)*AI$61+(AM19-AO19)*AM$61+(AQ19-AS19)*$AQ$61+(AU19-AW19)*$AU$61+(AY19-BA19)*$AY$61+(BC19-BE19)*$BC$61</f>
        <v>35480888.93564748</v>
      </c>
    </row>
    <row r="20" spans="1:98" ht="12.75" customHeight="1" x14ac:dyDescent="0.25">
      <c r="A20" s="6" t="s">
        <v>60</v>
      </c>
      <c r="B20" s="3" t="s">
        <v>21</v>
      </c>
      <c r="C20" s="7">
        <v>30</v>
      </c>
      <c r="D20" s="37">
        <v>20319163.888809633</v>
      </c>
      <c r="E20" s="151"/>
      <c r="F20" s="152">
        <v>11254485.314634677</v>
      </c>
      <c r="G20" s="87">
        <v>81953.06180000001</v>
      </c>
      <c r="H20" s="88"/>
      <c r="I20" s="127"/>
      <c r="J20" s="88"/>
      <c r="K20" s="89">
        <v>480527.24</v>
      </c>
      <c r="L20" s="90">
        <v>0</v>
      </c>
      <c r="M20" s="153"/>
      <c r="N20" s="91"/>
      <c r="O20" s="95">
        <v>359813.26</v>
      </c>
      <c r="P20" s="93"/>
      <c r="Q20" s="94"/>
      <c r="R20" s="93"/>
      <c r="S20" s="154">
        <v>329504</v>
      </c>
      <c r="T20" s="114"/>
      <c r="U20" s="154"/>
      <c r="V20" s="155"/>
      <c r="W20" s="58">
        <v>210021.37999999998</v>
      </c>
      <c r="X20" s="58">
        <v>0</v>
      </c>
      <c r="Y20" s="58"/>
      <c r="Z20" s="59"/>
      <c r="AA20" s="76">
        <v>443891</v>
      </c>
      <c r="AB20" s="156">
        <v>0</v>
      </c>
      <c r="AC20" s="157"/>
      <c r="AD20" s="61"/>
      <c r="AE20" s="63">
        <v>422858.36</v>
      </c>
      <c r="AF20" s="63">
        <v>0</v>
      </c>
      <c r="AG20" s="158"/>
      <c r="AH20" s="62"/>
      <c r="AI20" s="154">
        <v>219533.05</v>
      </c>
      <c r="AJ20" s="154">
        <v>0</v>
      </c>
      <c r="AK20" s="154"/>
      <c r="AL20" s="155"/>
      <c r="AM20" s="49">
        <v>325380.67999999993</v>
      </c>
      <c r="AN20" s="49">
        <v>0</v>
      </c>
      <c r="AO20" s="49"/>
      <c r="AP20" s="50"/>
      <c r="AQ20" s="159">
        <v>361263.11000000028</v>
      </c>
      <c r="AR20" s="198">
        <v>0</v>
      </c>
      <c r="AS20" s="198"/>
      <c r="AT20" s="198"/>
      <c r="AU20" s="210">
        <v>277474.00999999978</v>
      </c>
      <c r="AV20" s="210">
        <v>0</v>
      </c>
      <c r="AW20" s="210"/>
      <c r="AX20" s="210"/>
      <c r="AY20" s="129">
        <v>696693.82999999949</v>
      </c>
      <c r="AZ20" s="129">
        <v>0</v>
      </c>
      <c r="BA20" s="129"/>
      <c r="BB20" s="129"/>
      <c r="BC20" s="146">
        <v>871356.4600000002</v>
      </c>
      <c r="BD20" s="136"/>
      <c r="BE20" s="136"/>
      <c r="BF20" s="136"/>
      <c r="BG20" s="252"/>
      <c r="BH20" s="252"/>
      <c r="BI20" s="252"/>
      <c r="BJ20" s="226">
        <v>1635346.59</v>
      </c>
      <c r="BK20" s="226"/>
      <c r="BL20" s="226"/>
      <c r="BM20" s="226"/>
      <c r="BN20" s="233">
        <v>1677625.9800000002</v>
      </c>
      <c r="BO20" s="233"/>
      <c r="BP20" s="233"/>
      <c r="BQ20" s="233"/>
      <c r="BR20" s="243">
        <v>1230182.0200000009</v>
      </c>
      <c r="BS20" s="243">
        <v>11995.820000000002</v>
      </c>
      <c r="BT20" s="243"/>
      <c r="BU20" s="243"/>
      <c r="BV20" s="26">
        <f t="shared" si="23"/>
        <v>1987.6165577130359</v>
      </c>
      <c r="BW20" s="43">
        <f t="shared" si="24"/>
        <v>2.0551923767864855E-2</v>
      </c>
      <c r="BX20" s="43">
        <f t="shared" si="25"/>
        <v>0.5</v>
      </c>
      <c r="BY20" s="43">
        <f t="shared" si="26"/>
        <v>0.53333333333333333</v>
      </c>
      <c r="BZ20" s="43">
        <f t="shared" si="27"/>
        <v>0.56666666666666665</v>
      </c>
      <c r="CA20" s="43">
        <f t="shared" si="28"/>
        <v>0.6</v>
      </c>
      <c r="CB20" s="43">
        <f t="shared" si="29"/>
        <v>0.6333333333333333</v>
      </c>
      <c r="CC20" s="43">
        <f t="shared" si="30"/>
        <v>0.66666666666666674</v>
      </c>
      <c r="CD20" s="43">
        <f t="shared" si="31"/>
        <v>0.7</v>
      </c>
      <c r="CE20" s="43">
        <f t="shared" si="32"/>
        <v>0.73333333333333339</v>
      </c>
      <c r="CF20" s="43">
        <f t="shared" si="33"/>
        <v>0.76666666666666661</v>
      </c>
      <c r="CG20" s="43">
        <f t="shared" si="34"/>
        <v>0.8</v>
      </c>
      <c r="CH20" s="43">
        <f t="shared" si="35"/>
        <v>0.83333333333333337</v>
      </c>
      <c r="CI20" s="43">
        <f t="shared" si="36"/>
        <v>0.8666666666666667</v>
      </c>
      <c r="CJ20" s="43">
        <f t="shared" si="37"/>
        <v>0.9</v>
      </c>
      <c r="CK20" s="43">
        <f t="shared" si="38"/>
        <v>0</v>
      </c>
      <c r="CL20" s="43">
        <f t="shared" si="39"/>
        <v>0.93333333333333335</v>
      </c>
      <c r="CM20" s="43">
        <f t="shared" si="40"/>
        <v>0.96666666666666667</v>
      </c>
      <c r="CN20" s="43">
        <f t="shared" si="41"/>
        <v>1</v>
      </c>
      <c r="CO20" s="239">
        <f t="shared" si="42"/>
        <v>28287381.456139136</v>
      </c>
      <c r="CP20" s="239">
        <f t="shared" si="43"/>
        <v>0</v>
      </c>
      <c r="CQ20" s="239">
        <f t="shared" si="44"/>
        <v>7127634.4214415019</v>
      </c>
    </row>
    <row r="21" spans="1:98" ht="12.75" customHeight="1" x14ac:dyDescent="0.25">
      <c r="A21" s="6" t="s">
        <v>61</v>
      </c>
      <c r="B21" s="3" t="s">
        <v>22</v>
      </c>
      <c r="C21" s="7">
        <v>30</v>
      </c>
      <c r="D21" s="37">
        <v>149580.82704669842</v>
      </c>
      <c r="E21" s="151"/>
      <c r="F21" s="152">
        <v>82851.686520415911</v>
      </c>
      <c r="G21" s="87">
        <v>0</v>
      </c>
      <c r="H21" s="88"/>
      <c r="I21" s="127"/>
      <c r="J21" s="88"/>
      <c r="K21" s="89">
        <v>0</v>
      </c>
      <c r="L21" s="90">
        <v>0</v>
      </c>
      <c r="M21" s="153"/>
      <c r="N21" s="91"/>
      <c r="O21" s="95">
        <v>0</v>
      </c>
      <c r="P21" s="93"/>
      <c r="Q21" s="94"/>
      <c r="R21" s="93"/>
      <c r="S21" s="154">
        <v>0</v>
      </c>
      <c r="T21" s="114"/>
      <c r="U21" s="154"/>
      <c r="V21" s="155"/>
      <c r="W21" s="58">
        <v>0</v>
      </c>
      <c r="X21" s="58">
        <v>0</v>
      </c>
      <c r="Y21" s="58"/>
      <c r="Z21" s="59"/>
      <c r="AA21" s="76">
        <v>133700</v>
      </c>
      <c r="AB21" s="156">
        <v>133700</v>
      </c>
      <c r="AC21" s="157"/>
      <c r="AD21" s="61"/>
      <c r="AE21" s="63">
        <v>0</v>
      </c>
      <c r="AF21" s="63">
        <v>0</v>
      </c>
      <c r="AG21" s="158"/>
      <c r="AH21" s="62"/>
      <c r="AI21" s="154">
        <v>0</v>
      </c>
      <c r="AJ21" s="154">
        <v>0</v>
      </c>
      <c r="AK21" s="154"/>
      <c r="AL21" s="155"/>
      <c r="AM21" s="49">
        <v>0</v>
      </c>
      <c r="AN21" s="49">
        <v>0</v>
      </c>
      <c r="AO21" s="49"/>
      <c r="AP21" s="50"/>
      <c r="AQ21" s="159">
        <v>0</v>
      </c>
      <c r="AR21" s="198">
        <v>0</v>
      </c>
      <c r="AS21" s="198"/>
      <c r="AT21" s="198"/>
      <c r="AU21" s="210">
        <v>0</v>
      </c>
      <c r="AV21" s="210">
        <v>0</v>
      </c>
      <c r="AW21" s="210"/>
      <c r="AX21" s="210"/>
      <c r="AY21" s="129">
        <v>0</v>
      </c>
      <c r="AZ21" s="129">
        <v>0</v>
      </c>
      <c r="BA21" s="129"/>
      <c r="BB21" s="129"/>
      <c r="BC21" s="146">
        <v>0</v>
      </c>
      <c r="BD21" s="136"/>
      <c r="BE21" s="136"/>
      <c r="BF21" s="136"/>
      <c r="BG21" s="252">
        <v>70991.850000000006</v>
      </c>
      <c r="BH21" s="252"/>
      <c r="BI21" s="252">
        <v>49694.3</v>
      </c>
      <c r="BJ21" s="226">
        <v>0</v>
      </c>
      <c r="BK21" s="226"/>
      <c r="BL21" s="226"/>
      <c r="BM21" s="226"/>
      <c r="BN21" s="233">
        <v>0</v>
      </c>
      <c r="BO21" s="233"/>
      <c r="BP21" s="233"/>
      <c r="BQ21" s="233"/>
      <c r="BR21" s="243">
        <v>0</v>
      </c>
      <c r="BS21" s="243"/>
      <c r="BT21" s="243"/>
      <c r="BU21" s="243"/>
      <c r="BV21" s="26">
        <f t="shared" si="23"/>
        <v>1987.6167726485194</v>
      </c>
      <c r="BW21" s="43">
        <f t="shared" si="24"/>
        <v>2.0559088283979121E-2</v>
      </c>
      <c r="BX21" s="43">
        <f t="shared" si="25"/>
        <v>0.5</v>
      </c>
      <c r="BY21" s="43">
        <f t="shared" si="26"/>
        <v>0.53333333333333333</v>
      </c>
      <c r="BZ21" s="43">
        <f t="shared" si="27"/>
        <v>0.56666666666666665</v>
      </c>
      <c r="CA21" s="43">
        <f t="shared" si="28"/>
        <v>0.6</v>
      </c>
      <c r="CB21" s="43">
        <f t="shared" si="29"/>
        <v>0.6333333333333333</v>
      </c>
      <c r="CC21" s="43">
        <f t="shared" si="30"/>
        <v>0.66666666666666674</v>
      </c>
      <c r="CD21" s="43">
        <f t="shared" si="31"/>
        <v>0.7</v>
      </c>
      <c r="CE21" s="43">
        <f t="shared" si="32"/>
        <v>0.73333333333333339</v>
      </c>
      <c r="CF21" s="43">
        <f t="shared" si="33"/>
        <v>0.76666666666666661</v>
      </c>
      <c r="CG21" s="43">
        <f t="shared" si="34"/>
        <v>0.8</v>
      </c>
      <c r="CH21" s="43">
        <f t="shared" si="35"/>
        <v>0.83333333333333337</v>
      </c>
      <c r="CI21" s="43">
        <f t="shared" si="36"/>
        <v>0.8666666666666667</v>
      </c>
      <c r="CJ21" s="43">
        <f t="shared" si="37"/>
        <v>0.9</v>
      </c>
      <c r="CK21" s="43">
        <f t="shared" si="38"/>
        <v>0.61666673709728459</v>
      </c>
      <c r="CL21" s="43">
        <f t="shared" si="39"/>
        <v>0.93333333333333335</v>
      </c>
      <c r="CM21" s="43">
        <f t="shared" si="40"/>
        <v>0.96666666666666667</v>
      </c>
      <c r="CN21" s="43">
        <f t="shared" si="41"/>
        <v>1</v>
      </c>
      <c r="CO21" s="239">
        <f t="shared" si="42"/>
        <v>336252.69188789546</v>
      </c>
      <c r="CP21" s="239">
        <f t="shared" si="43"/>
        <v>0</v>
      </c>
      <c r="CQ21" s="239">
        <f t="shared" si="44"/>
        <v>48332.749478923288</v>
      </c>
    </row>
    <row r="22" spans="1:98" ht="12.75" customHeight="1" x14ac:dyDescent="0.25">
      <c r="A22" s="6"/>
      <c r="B22" s="3" t="s">
        <v>23</v>
      </c>
      <c r="C22" s="7">
        <v>30</v>
      </c>
      <c r="D22" s="37">
        <v>0</v>
      </c>
      <c r="E22" s="151"/>
      <c r="F22" s="152">
        <v>0</v>
      </c>
      <c r="G22" s="87">
        <v>0</v>
      </c>
      <c r="H22" s="88"/>
      <c r="I22" s="127"/>
      <c r="J22" s="88"/>
      <c r="K22" s="89">
        <v>7945</v>
      </c>
      <c r="L22" s="90">
        <v>0</v>
      </c>
      <c r="M22" s="153"/>
      <c r="N22" s="91"/>
      <c r="O22" s="95">
        <v>11509.8</v>
      </c>
      <c r="P22" s="93"/>
      <c r="Q22" s="94"/>
      <c r="R22" s="93"/>
      <c r="S22" s="154">
        <v>67325</v>
      </c>
      <c r="T22" s="114"/>
      <c r="U22" s="154"/>
      <c r="V22" s="155"/>
      <c r="W22" s="58">
        <v>56607.360000000001</v>
      </c>
      <c r="X22" s="58">
        <v>0</v>
      </c>
      <c r="Y22" s="58"/>
      <c r="Z22" s="59"/>
      <c r="AA22" s="76">
        <v>26335</v>
      </c>
      <c r="AB22" s="156">
        <v>0</v>
      </c>
      <c r="AC22" s="157"/>
      <c r="AD22" s="61"/>
      <c r="AE22" s="63">
        <v>117016</v>
      </c>
      <c r="AF22" s="63">
        <v>0</v>
      </c>
      <c r="AG22" s="158"/>
      <c r="AH22" s="62"/>
      <c r="AI22" s="154">
        <v>177430.08</v>
      </c>
      <c r="AJ22" s="154">
        <v>0</v>
      </c>
      <c r="AK22" s="154"/>
      <c r="AL22" s="155"/>
      <c r="AM22" s="49">
        <v>419033.79200000002</v>
      </c>
      <c r="AN22" s="49">
        <v>0</v>
      </c>
      <c r="AO22" s="49"/>
      <c r="AP22" s="50"/>
      <c r="AQ22" s="159">
        <v>15078.509999999998</v>
      </c>
      <c r="AR22" s="198">
        <v>0</v>
      </c>
      <c r="AS22" s="198"/>
      <c r="AT22" s="198"/>
      <c r="AU22" s="210">
        <v>12954.53</v>
      </c>
      <c r="AV22" s="210">
        <v>0</v>
      </c>
      <c r="AW22" s="210"/>
      <c r="AX22" s="210"/>
      <c r="AY22" s="129">
        <v>358492.62</v>
      </c>
      <c r="AZ22" s="129">
        <v>0</v>
      </c>
      <c r="BA22" s="129"/>
      <c r="BB22" s="129"/>
      <c r="BC22" s="146">
        <v>169979.92999999996</v>
      </c>
      <c r="BD22" s="136"/>
      <c r="BE22" s="136"/>
      <c r="BF22" s="136"/>
      <c r="BG22" s="252"/>
      <c r="BH22" s="252"/>
      <c r="BI22" s="252"/>
      <c r="BJ22" s="226">
        <v>60736.35</v>
      </c>
      <c r="BK22" s="226"/>
      <c r="BL22" s="226"/>
      <c r="BM22" s="226"/>
      <c r="BN22" s="233">
        <v>71213.51999999999</v>
      </c>
      <c r="BO22" s="233"/>
      <c r="BP22" s="233"/>
      <c r="BQ22" s="233"/>
      <c r="BR22" s="243">
        <v>486356.0199999999</v>
      </c>
      <c r="BS22" s="243"/>
      <c r="BT22" s="243"/>
      <c r="BU22" s="243"/>
      <c r="BV22" s="26">
        <f t="shared" si="23"/>
        <v>0</v>
      </c>
      <c r="BW22" s="43">
        <f t="shared" si="24"/>
        <v>0</v>
      </c>
      <c r="BX22" s="43">
        <f t="shared" si="25"/>
        <v>0.5</v>
      </c>
      <c r="BY22" s="43">
        <f t="shared" si="26"/>
        <v>0.53333333333333333</v>
      </c>
      <c r="BZ22" s="43">
        <f t="shared" si="27"/>
        <v>0.56666666666666665</v>
      </c>
      <c r="CA22" s="43">
        <f t="shared" si="28"/>
        <v>0.6</v>
      </c>
      <c r="CB22" s="43">
        <f t="shared" si="29"/>
        <v>0.6333333333333333</v>
      </c>
      <c r="CC22" s="43">
        <f t="shared" si="30"/>
        <v>0.66666666666666674</v>
      </c>
      <c r="CD22" s="43">
        <f t="shared" si="31"/>
        <v>0.7</v>
      </c>
      <c r="CE22" s="43">
        <f t="shared" si="32"/>
        <v>0.73333333333333339</v>
      </c>
      <c r="CF22" s="43">
        <f t="shared" si="33"/>
        <v>0.76666666666666661</v>
      </c>
      <c r="CG22" s="43">
        <f t="shared" si="34"/>
        <v>0.8</v>
      </c>
      <c r="CH22" s="43">
        <f t="shared" si="35"/>
        <v>0.83333333333333337</v>
      </c>
      <c r="CI22" s="43">
        <f t="shared" si="36"/>
        <v>0.8666666666666667</v>
      </c>
      <c r="CJ22" s="43">
        <f t="shared" si="37"/>
        <v>0.9</v>
      </c>
      <c r="CK22" s="43">
        <f t="shared" si="38"/>
        <v>0</v>
      </c>
      <c r="CL22" s="43">
        <f t="shared" si="39"/>
        <v>0.93333333333333335</v>
      </c>
      <c r="CM22" s="43">
        <f t="shared" si="40"/>
        <v>0.96666666666666667</v>
      </c>
      <c r="CN22" s="43">
        <f t="shared" si="41"/>
        <v>1</v>
      </c>
      <c r="CO22" s="239">
        <f t="shared" si="42"/>
        <v>1597552.5950844488</v>
      </c>
      <c r="CP22" s="239">
        <f t="shared" si="43"/>
        <v>0</v>
      </c>
      <c r="CQ22" s="239">
        <f t="shared" si="44"/>
        <v>1352440.6774927098</v>
      </c>
    </row>
    <row r="23" spans="1:98" ht="12.75" customHeight="1" x14ac:dyDescent="0.25">
      <c r="A23" s="6"/>
      <c r="B23" s="3" t="s">
        <v>24</v>
      </c>
      <c r="C23" s="7">
        <v>30</v>
      </c>
      <c r="D23" s="37">
        <v>0</v>
      </c>
      <c r="E23" s="151"/>
      <c r="F23" s="152">
        <v>0</v>
      </c>
      <c r="G23" s="87">
        <v>441.38</v>
      </c>
      <c r="H23" s="88"/>
      <c r="I23" s="127"/>
      <c r="J23" s="88"/>
      <c r="K23" s="89">
        <v>2038.59</v>
      </c>
      <c r="L23" s="90">
        <v>0</v>
      </c>
      <c r="M23" s="153"/>
      <c r="N23" s="91"/>
      <c r="O23" s="95">
        <v>30511.68</v>
      </c>
      <c r="P23" s="93"/>
      <c r="Q23" s="94"/>
      <c r="R23" s="93"/>
      <c r="S23" s="154">
        <v>47275</v>
      </c>
      <c r="T23" s="114"/>
      <c r="U23" s="154"/>
      <c r="V23" s="155"/>
      <c r="W23" s="58">
        <v>29162</v>
      </c>
      <c r="X23" s="58">
        <v>0</v>
      </c>
      <c r="Y23" s="58"/>
      <c r="Z23" s="59"/>
      <c r="AA23" s="76">
        <v>227643</v>
      </c>
      <c r="AB23" s="156">
        <v>0</v>
      </c>
      <c r="AC23" s="157"/>
      <c r="AD23" s="61"/>
      <c r="AE23" s="63">
        <v>30843</v>
      </c>
      <c r="AF23" s="63">
        <v>0</v>
      </c>
      <c r="AG23" s="158"/>
      <c r="AH23" s="62"/>
      <c r="AI23" s="154">
        <v>13617.82</v>
      </c>
      <c r="AJ23" s="154">
        <v>0</v>
      </c>
      <c r="AK23" s="154"/>
      <c r="AL23" s="155"/>
      <c r="AM23" s="49">
        <v>558680.16</v>
      </c>
      <c r="AN23" s="49">
        <v>0</v>
      </c>
      <c r="AO23" s="49"/>
      <c r="AP23" s="50"/>
      <c r="AQ23" s="159">
        <v>84681.959999999992</v>
      </c>
      <c r="AR23" s="198">
        <v>0</v>
      </c>
      <c r="AS23" s="198"/>
      <c r="AT23" s="198"/>
      <c r="AU23" s="210">
        <v>36276.959999999999</v>
      </c>
      <c r="AV23" s="210">
        <v>0</v>
      </c>
      <c r="AW23" s="210"/>
      <c r="AX23" s="210"/>
      <c r="AY23" s="129">
        <v>29336.300000000003</v>
      </c>
      <c r="AZ23" s="129">
        <v>0</v>
      </c>
      <c r="BA23" s="129"/>
      <c r="BB23" s="129"/>
      <c r="BC23" s="146">
        <v>67647.91</v>
      </c>
      <c r="BD23" s="136"/>
      <c r="BE23" s="136"/>
      <c r="BF23" s="136"/>
      <c r="BG23" s="252"/>
      <c r="BH23" s="252"/>
      <c r="BI23" s="252"/>
      <c r="BJ23" s="226">
        <v>510773.58</v>
      </c>
      <c r="BK23" s="226"/>
      <c r="BL23" s="226"/>
      <c r="BM23" s="226"/>
      <c r="BN23" s="233">
        <v>394867.46</v>
      </c>
      <c r="BO23" s="233"/>
      <c r="BP23" s="233"/>
      <c r="BQ23" s="233"/>
      <c r="BR23" s="243">
        <v>262682.09000000003</v>
      </c>
      <c r="BS23" s="243"/>
      <c r="BT23" s="243"/>
      <c r="BU23" s="243"/>
      <c r="BV23" s="26">
        <f t="shared" si="23"/>
        <v>0</v>
      </c>
      <c r="BW23" s="43">
        <f t="shared" si="24"/>
        <v>0</v>
      </c>
      <c r="BX23" s="43">
        <f t="shared" si="25"/>
        <v>0.5</v>
      </c>
      <c r="BY23" s="43">
        <f t="shared" si="26"/>
        <v>0.53333333333333333</v>
      </c>
      <c r="BZ23" s="43">
        <f t="shared" si="27"/>
        <v>0.56666666666666665</v>
      </c>
      <c r="CA23" s="43">
        <f t="shared" si="28"/>
        <v>0.6</v>
      </c>
      <c r="CB23" s="43">
        <f t="shared" si="29"/>
        <v>0.6333333333333333</v>
      </c>
      <c r="CC23" s="43">
        <f t="shared" si="30"/>
        <v>0.66666666666666674</v>
      </c>
      <c r="CD23" s="43">
        <f t="shared" si="31"/>
        <v>0.7</v>
      </c>
      <c r="CE23" s="43">
        <f t="shared" si="32"/>
        <v>0.73333333333333339</v>
      </c>
      <c r="CF23" s="43">
        <f t="shared" si="33"/>
        <v>0.76666666666666661</v>
      </c>
      <c r="CG23" s="43">
        <f t="shared" si="34"/>
        <v>0.8</v>
      </c>
      <c r="CH23" s="43">
        <f t="shared" si="35"/>
        <v>0.83333333333333337</v>
      </c>
      <c r="CI23" s="43">
        <f t="shared" si="36"/>
        <v>0.8666666666666667</v>
      </c>
      <c r="CJ23" s="43">
        <f t="shared" si="37"/>
        <v>0.9</v>
      </c>
      <c r="CK23" s="43">
        <f t="shared" si="38"/>
        <v>0</v>
      </c>
      <c r="CL23" s="43">
        <f t="shared" si="39"/>
        <v>0.93333333333333335</v>
      </c>
      <c r="CM23" s="43">
        <f t="shared" si="40"/>
        <v>0.96666666666666667</v>
      </c>
      <c r="CN23" s="43">
        <f t="shared" si="41"/>
        <v>1</v>
      </c>
      <c r="CO23" s="239">
        <f t="shared" si="42"/>
        <v>1889517.4187251125</v>
      </c>
      <c r="CP23" s="239">
        <f t="shared" si="43"/>
        <v>0</v>
      </c>
      <c r="CQ23" s="239">
        <f t="shared" si="44"/>
        <v>1617922.4608169463</v>
      </c>
    </row>
    <row r="24" spans="1:98" ht="12.75" customHeight="1" x14ac:dyDescent="0.25">
      <c r="A24" s="6"/>
      <c r="B24" s="3" t="s">
        <v>25</v>
      </c>
      <c r="C24" s="7">
        <v>30</v>
      </c>
      <c r="D24" s="37">
        <v>0</v>
      </c>
      <c r="E24" s="151"/>
      <c r="F24" s="152">
        <v>0</v>
      </c>
      <c r="G24" s="87">
        <v>0</v>
      </c>
      <c r="H24" s="88"/>
      <c r="I24" s="127"/>
      <c r="J24" s="88"/>
      <c r="K24" s="89">
        <v>0</v>
      </c>
      <c r="L24" s="90">
        <v>0</v>
      </c>
      <c r="M24" s="153"/>
      <c r="N24" s="91"/>
      <c r="O24" s="95">
        <v>0</v>
      </c>
      <c r="P24" s="93"/>
      <c r="Q24" s="94"/>
      <c r="R24" s="93"/>
      <c r="S24" s="154">
        <v>0</v>
      </c>
      <c r="T24" s="114"/>
      <c r="U24" s="154"/>
      <c r="V24" s="155"/>
      <c r="W24" s="58">
        <v>0</v>
      </c>
      <c r="X24" s="58">
        <v>0</v>
      </c>
      <c r="Y24" s="58"/>
      <c r="Z24" s="59"/>
      <c r="AA24" s="76">
        <v>0</v>
      </c>
      <c r="AB24" s="156">
        <v>0</v>
      </c>
      <c r="AC24" s="157"/>
      <c r="AD24" s="61"/>
      <c r="AE24" s="63">
        <v>0</v>
      </c>
      <c r="AF24" s="63">
        <v>0</v>
      </c>
      <c r="AG24" s="158"/>
      <c r="AH24" s="62"/>
      <c r="AI24" s="154">
        <v>0</v>
      </c>
      <c r="AJ24" s="154">
        <v>0</v>
      </c>
      <c r="AK24" s="154"/>
      <c r="AL24" s="155"/>
      <c r="AM24" s="49">
        <v>0</v>
      </c>
      <c r="AN24" s="49">
        <v>0</v>
      </c>
      <c r="AO24" s="49"/>
      <c r="AP24" s="50"/>
      <c r="AQ24" s="159">
        <v>0</v>
      </c>
      <c r="AR24" s="198">
        <v>0</v>
      </c>
      <c r="AS24" s="198"/>
      <c r="AT24" s="198"/>
      <c r="AU24" s="210">
        <v>0</v>
      </c>
      <c r="AV24" s="210">
        <v>0</v>
      </c>
      <c r="AW24" s="210"/>
      <c r="AX24" s="210"/>
      <c r="AY24" s="129">
        <v>0</v>
      </c>
      <c r="AZ24" s="129">
        <v>0</v>
      </c>
      <c r="BA24" s="129"/>
      <c r="BB24" s="129"/>
      <c r="BC24" s="146">
        <v>0</v>
      </c>
      <c r="BD24" s="136"/>
      <c r="BE24" s="136"/>
      <c r="BF24" s="136"/>
      <c r="BG24" s="252"/>
      <c r="BH24" s="252"/>
      <c r="BI24" s="252"/>
      <c r="BJ24" s="226">
        <v>0</v>
      </c>
      <c r="BK24" s="226"/>
      <c r="BL24" s="226"/>
      <c r="BM24" s="226"/>
      <c r="BN24" s="233">
        <v>0</v>
      </c>
      <c r="BO24" s="233"/>
      <c r="BP24" s="233"/>
      <c r="BQ24" s="233"/>
      <c r="BR24" s="243">
        <v>0</v>
      </c>
      <c r="BS24" s="243"/>
      <c r="BT24" s="243"/>
      <c r="BU24" s="243"/>
      <c r="BV24" s="26">
        <f t="shared" si="23"/>
        <v>0</v>
      </c>
      <c r="BW24" s="43">
        <f t="shared" si="24"/>
        <v>0</v>
      </c>
      <c r="BX24" s="43">
        <f t="shared" si="25"/>
        <v>0.5</v>
      </c>
      <c r="BY24" s="43">
        <f t="shared" si="26"/>
        <v>0.53333333333333333</v>
      </c>
      <c r="BZ24" s="43">
        <f t="shared" si="27"/>
        <v>0.56666666666666665</v>
      </c>
      <c r="CA24" s="43">
        <f t="shared" si="28"/>
        <v>0.6</v>
      </c>
      <c r="CB24" s="43">
        <f t="shared" si="29"/>
        <v>0.6333333333333333</v>
      </c>
      <c r="CC24" s="43">
        <f t="shared" si="30"/>
        <v>0.66666666666666674</v>
      </c>
      <c r="CD24" s="43">
        <f t="shared" si="31"/>
        <v>0.7</v>
      </c>
      <c r="CE24" s="43">
        <f t="shared" si="32"/>
        <v>0.73333333333333339</v>
      </c>
      <c r="CF24" s="43">
        <f t="shared" si="33"/>
        <v>0.76666666666666661</v>
      </c>
      <c r="CG24" s="43">
        <f t="shared" si="34"/>
        <v>0.8</v>
      </c>
      <c r="CH24" s="43">
        <f t="shared" si="35"/>
        <v>0.83333333333333337</v>
      </c>
      <c r="CI24" s="43">
        <f t="shared" si="36"/>
        <v>0.8666666666666667</v>
      </c>
      <c r="CJ24" s="43">
        <f t="shared" si="37"/>
        <v>0.9</v>
      </c>
      <c r="CK24" s="43">
        <f t="shared" si="38"/>
        <v>0</v>
      </c>
      <c r="CL24" s="43">
        <f t="shared" si="39"/>
        <v>0.93333333333333335</v>
      </c>
      <c r="CM24" s="43">
        <f t="shared" si="40"/>
        <v>0.96666666666666667</v>
      </c>
      <c r="CN24" s="43">
        <f t="shared" si="41"/>
        <v>1</v>
      </c>
      <c r="CO24" s="239">
        <f t="shared" si="42"/>
        <v>0</v>
      </c>
      <c r="CP24" s="239">
        <f t="shared" si="43"/>
        <v>0</v>
      </c>
      <c r="CQ24" s="239">
        <f t="shared" si="44"/>
        <v>0</v>
      </c>
    </row>
    <row r="25" spans="1:98" ht="12.75" customHeight="1" x14ac:dyDescent="0.25">
      <c r="A25" s="6"/>
      <c r="B25" s="3" t="s">
        <v>26</v>
      </c>
      <c r="C25" s="7">
        <v>30</v>
      </c>
      <c r="D25" s="37">
        <v>5501374.3444445133</v>
      </c>
      <c r="E25" s="151"/>
      <c r="F25" s="152">
        <v>2211179.1957926331</v>
      </c>
      <c r="G25" s="87">
        <v>246248.65</v>
      </c>
      <c r="H25" s="88"/>
      <c r="I25" s="127"/>
      <c r="J25" s="88"/>
      <c r="K25" s="89">
        <v>0</v>
      </c>
      <c r="L25" s="90">
        <v>0</v>
      </c>
      <c r="M25" s="153"/>
      <c r="N25" s="91"/>
      <c r="O25" s="95">
        <v>73556.03</v>
      </c>
      <c r="P25" s="93"/>
      <c r="Q25" s="94"/>
      <c r="R25" s="93"/>
      <c r="S25" s="154">
        <v>34597</v>
      </c>
      <c r="T25" s="114"/>
      <c r="U25" s="154"/>
      <c r="V25" s="155"/>
      <c r="W25" s="58">
        <v>13668.23</v>
      </c>
      <c r="X25" s="58">
        <v>0</v>
      </c>
      <c r="Y25" s="58"/>
      <c r="Z25" s="59"/>
      <c r="AA25" s="76">
        <v>92007</v>
      </c>
      <c r="AB25" s="156">
        <v>0</v>
      </c>
      <c r="AC25" s="157"/>
      <c r="AD25" s="61"/>
      <c r="AE25" s="63">
        <v>14698</v>
      </c>
      <c r="AF25" s="63">
        <v>0</v>
      </c>
      <c r="AG25" s="158"/>
      <c r="AH25" s="62"/>
      <c r="AI25" s="154">
        <v>1190332.1199999999</v>
      </c>
      <c r="AJ25" s="154">
        <v>0</v>
      </c>
      <c r="AK25" s="154"/>
      <c r="AL25" s="155"/>
      <c r="AM25" s="49">
        <v>61476</v>
      </c>
      <c r="AN25" s="49">
        <v>0</v>
      </c>
      <c r="AO25" s="49"/>
      <c r="AP25" s="50"/>
      <c r="AQ25" s="159">
        <v>736704.62000000011</v>
      </c>
      <c r="AR25" s="198">
        <v>0</v>
      </c>
      <c r="AS25" s="198"/>
      <c r="AT25" s="198"/>
      <c r="AU25" s="210">
        <v>142747</v>
      </c>
      <c r="AV25" s="210">
        <v>0</v>
      </c>
      <c r="AW25" s="210"/>
      <c r="AX25" s="210"/>
      <c r="AY25" s="129">
        <v>72665.05</v>
      </c>
      <c r="AZ25" s="129">
        <v>0</v>
      </c>
      <c r="BA25" s="129"/>
      <c r="BB25" s="129"/>
      <c r="BC25" s="146">
        <v>78936.5</v>
      </c>
      <c r="BD25" s="136"/>
      <c r="BE25" s="136"/>
      <c r="BF25" s="136"/>
      <c r="BG25" s="252">
        <f>+BH25+240211+130000</f>
        <v>407143.26455643016</v>
      </c>
      <c r="BH25" s="252">
        <v>36932.264556430164</v>
      </c>
      <c r="BI25" s="252">
        <f>27851.51+106065.67+91000</f>
        <v>224917.18</v>
      </c>
      <c r="BJ25" s="226">
        <v>52811.259999999995</v>
      </c>
      <c r="BK25" s="226"/>
      <c r="BL25" s="226"/>
      <c r="BM25" s="226"/>
      <c r="BN25" s="233">
        <v>0</v>
      </c>
      <c r="BO25" s="233"/>
      <c r="BP25" s="233"/>
      <c r="BQ25" s="233"/>
      <c r="BR25" s="243">
        <v>1977175</v>
      </c>
      <c r="BS25" s="243"/>
      <c r="BT25" s="243"/>
      <c r="BU25" s="243"/>
      <c r="BV25" s="26">
        <f t="shared" si="23"/>
        <v>1983.0579643777135</v>
      </c>
      <c r="BW25" s="43">
        <f t="shared" si="24"/>
        <v>0</v>
      </c>
      <c r="BX25" s="43">
        <f t="shared" si="25"/>
        <v>0.5</v>
      </c>
      <c r="BY25" s="43">
        <f t="shared" si="26"/>
        <v>0.53333333333333333</v>
      </c>
      <c r="BZ25" s="43">
        <f t="shared" si="27"/>
        <v>0.56666666666666665</v>
      </c>
      <c r="CA25" s="43">
        <f t="shared" si="28"/>
        <v>0.6</v>
      </c>
      <c r="CB25" s="43">
        <f t="shared" si="29"/>
        <v>0.6333333333333333</v>
      </c>
      <c r="CC25" s="43">
        <f t="shared" si="30"/>
        <v>0.66666666666666674</v>
      </c>
      <c r="CD25" s="43">
        <f t="shared" si="31"/>
        <v>0.7</v>
      </c>
      <c r="CE25" s="43">
        <f t="shared" si="32"/>
        <v>0.73333333333333339</v>
      </c>
      <c r="CF25" s="43">
        <f t="shared" si="33"/>
        <v>0.76666666666666661</v>
      </c>
      <c r="CG25" s="43">
        <f t="shared" si="34"/>
        <v>0.8</v>
      </c>
      <c r="CH25" s="43">
        <f t="shared" si="35"/>
        <v>0.83333333333333337</v>
      </c>
      <c r="CI25" s="43">
        <f t="shared" si="36"/>
        <v>0.8666666666666667</v>
      </c>
      <c r="CJ25" s="43">
        <f t="shared" si="37"/>
        <v>0.9</v>
      </c>
      <c r="CK25" s="43">
        <f t="shared" si="38"/>
        <v>0.46909427527524861</v>
      </c>
      <c r="CL25" s="43">
        <f t="shared" si="39"/>
        <v>0.93333333333333335</v>
      </c>
      <c r="CM25" s="43">
        <f t="shared" si="40"/>
        <v>0.96666666666666667</v>
      </c>
      <c r="CN25" s="43">
        <f t="shared" si="41"/>
        <v>1</v>
      </c>
      <c r="CO25" s="239">
        <f t="shared" si="42"/>
        <v>9982265.3835008629</v>
      </c>
      <c r="CP25" s="239">
        <f t="shared" si="43"/>
        <v>5501374.3444445115</v>
      </c>
      <c r="CQ25" s="239">
        <f t="shared" si="44"/>
        <v>3629486.001647735</v>
      </c>
    </row>
    <row r="26" spans="1:98" ht="12.75" customHeight="1" x14ac:dyDescent="0.25">
      <c r="A26" s="6"/>
      <c r="B26" s="3" t="s">
        <v>27</v>
      </c>
      <c r="C26" s="7">
        <v>30</v>
      </c>
      <c r="D26" s="37">
        <v>0</v>
      </c>
      <c r="E26" s="151"/>
      <c r="F26" s="152">
        <v>0</v>
      </c>
      <c r="G26" s="87">
        <v>0</v>
      </c>
      <c r="H26" s="88"/>
      <c r="I26" s="127"/>
      <c r="J26" s="88"/>
      <c r="K26" s="89">
        <v>0</v>
      </c>
      <c r="L26" s="90">
        <v>0</v>
      </c>
      <c r="M26" s="153"/>
      <c r="N26" s="91"/>
      <c r="O26" s="95">
        <v>0</v>
      </c>
      <c r="P26" s="93"/>
      <c r="Q26" s="94"/>
      <c r="R26" s="93"/>
      <c r="S26" s="154">
        <v>0</v>
      </c>
      <c r="T26" s="114"/>
      <c r="U26" s="154"/>
      <c r="V26" s="155"/>
      <c r="W26" s="58">
        <v>0</v>
      </c>
      <c r="X26" s="58">
        <v>0</v>
      </c>
      <c r="Y26" s="58"/>
      <c r="Z26" s="59"/>
      <c r="AA26" s="76">
        <v>0</v>
      </c>
      <c r="AB26" s="156">
        <v>0</v>
      </c>
      <c r="AC26" s="157"/>
      <c r="AD26" s="61"/>
      <c r="AE26" s="63">
        <v>0</v>
      </c>
      <c r="AF26" s="63">
        <v>0</v>
      </c>
      <c r="AG26" s="158"/>
      <c r="AH26" s="62"/>
      <c r="AI26" s="154">
        <v>0</v>
      </c>
      <c r="AJ26" s="154">
        <v>0</v>
      </c>
      <c r="AK26" s="154"/>
      <c r="AL26" s="155"/>
      <c r="AM26" s="49">
        <v>0</v>
      </c>
      <c r="AN26" s="49">
        <v>0</v>
      </c>
      <c r="AO26" s="49"/>
      <c r="AP26" s="50"/>
      <c r="AQ26" s="159">
        <v>0</v>
      </c>
      <c r="AR26" s="198">
        <v>0</v>
      </c>
      <c r="AS26" s="198"/>
      <c r="AT26" s="198"/>
      <c r="AU26" s="210">
        <v>0</v>
      </c>
      <c r="AV26" s="210">
        <v>0</v>
      </c>
      <c r="AW26" s="210"/>
      <c r="AX26" s="210"/>
      <c r="AY26" s="129">
        <v>0</v>
      </c>
      <c r="AZ26" s="129">
        <v>0</v>
      </c>
      <c r="BA26" s="129"/>
      <c r="BB26" s="129"/>
      <c r="BC26" s="146">
        <v>0</v>
      </c>
      <c r="BD26" s="136"/>
      <c r="BE26" s="136"/>
      <c r="BF26" s="136"/>
      <c r="BG26" s="252">
        <f>+BH26</f>
        <v>2503042.5259680757</v>
      </c>
      <c r="BH26" s="252">
        <v>2503042.5259680757</v>
      </c>
      <c r="BI26" s="252">
        <v>1887604.64</v>
      </c>
      <c r="BJ26" s="226">
        <v>0</v>
      </c>
      <c r="BK26" s="226"/>
      <c r="BL26" s="226"/>
      <c r="BM26" s="226"/>
      <c r="BN26" s="233">
        <v>0</v>
      </c>
      <c r="BO26" s="233"/>
      <c r="BP26" s="233"/>
      <c r="BQ26" s="233"/>
      <c r="BR26" s="243">
        <v>0</v>
      </c>
      <c r="BS26" s="243"/>
      <c r="BT26" s="243"/>
      <c r="BU26" s="243"/>
      <c r="BV26" s="26">
        <f t="shared" si="23"/>
        <v>0</v>
      </c>
      <c r="BW26" s="43">
        <f t="shared" si="24"/>
        <v>0</v>
      </c>
      <c r="BX26" s="43">
        <f t="shared" si="25"/>
        <v>0.5</v>
      </c>
      <c r="BY26" s="43">
        <f t="shared" si="26"/>
        <v>0.53333333333333333</v>
      </c>
      <c r="BZ26" s="43">
        <f t="shared" si="27"/>
        <v>0.56666666666666665</v>
      </c>
      <c r="CA26" s="43">
        <f t="shared" si="28"/>
        <v>0.6</v>
      </c>
      <c r="CB26" s="43">
        <f t="shared" si="29"/>
        <v>0.6333333333333333</v>
      </c>
      <c r="CC26" s="43">
        <f t="shared" si="30"/>
        <v>0.66666666666666674</v>
      </c>
      <c r="CD26" s="43">
        <f t="shared" si="31"/>
        <v>0.7</v>
      </c>
      <c r="CE26" s="43">
        <f t="shared" si="32"/>
        <v>0.73333333333333339</v>
      </c>
      <c r="CF26" s="43">
        <f t="shared" si="33"/>
        <v>0.76666666666666661</v>
      </c>
      <c r="CG26" s="43">
        <f t="shared" si="34"/>
        <v>0.8</v>
      </c>
      <c r="CH26" s="43">
        <f t="shared" si="35"/>
        <v>0.83333333333333337</v>
      </c>
      <c r="CI26" s="43">
        <f t="shared" si="36"/>
        <v>0.8666666666666667</v>
      </c>
      <c r="CJ26" s="43">
        <f t="shared" si="37"/>
        <v>0.9</v>
      </c>
      <c r="CK26" s="43">
        <f t="shared" si="38"/>
        <v>0.67079074582906439</v>
      </c>
      <c r="CL26" s="43">
        <f t="shared" si="39"/>
        <v>0.93333333333333335</v>
      </c>
      <c r="CM26" s="43">
        <f t="shared" si="40"/>
        <v>0.96666666666666667</v>
      </c>
      <c r="CN26" s="43">
        <f t="shared" si="41"/>
        <v>1</v>
      </c>
      <c r="CO26" s="239">
        <f t="shared" si="42"/>
        <v>2503042.5259680757</v>
      </c>
      <c r="CP26" s="239">
        <f t="shared" si="43"/>
        <v>0</v>
      </c>
      <c r="CQ26" s="239">
        <f t="shared" si="44"/>
        <v>0</v>
      </c>
    </row>
    <row r="27" spans="1:98" ht="12.75" customHeight="1" x14ac:dyDescent="0.25">
      <c r="A27" s="6"/>
      <c r="B27" s="3" t="s">
        <v>28</v>
      </c>
      <c r="C27" s="7">
        <v>30</v>
      </c>
      <c r="D27" s="37">
        <v>0</v>
      </c>
      <c r="E27" s="151"/>
      <c r="F27" s="152">
        <v>0</v>
      </c>
      <c r="G27" s="87">
        <v>0</v>
      </c>
      <c r="H27" s="88"/>
      <c r="I27" s="127"/>
      <c r="J27" s="88"/>
      <c r="K27" s="89">
        <v>0</v>
      </c>
      <c r="L27" s="90">
        <v>0</v>
      </c>
      <c r="M27" s="153"/>
      <c r="N27" s="91"/>
      <c r="O27" s="95">
        <v>0</v>
      </c>
      <c r="P27" s="93"/>
      <c r="Q27" s="94"/>
      <c r="R27" s="93"/>
      <c r="S27" s="154">
        <v>0</v>
      </c>
      <c r="T27" s="114"/>
      <c r="U27" s="154"/>
      <c r="V27" s="155"/>
      <c r="W27" s="58">
        <v>0</v>
      </c>
      <c r="X27" s="58">
        <v>0</v>
      </c>
      <c r="Y27" s="58"/>
      <c r="Z27" s="59"/>
      <c r="AA27" s="76">
        <v>0</v>
      </c>
      <c r="AB27" s="156">
        <v>0</v>
      </c>
      <c r="AC27" s="157"/>
      <c r="AD27" s="61"/>
      <c r="AE27" s="63">
        <v>0</v>
      </c>
      <c r="AF27" s="63">
        <v>0</v>
      </c>
      <c r="AG27" s="158"/>
      <c r="AH27" s="62"/>
      <c r="AI27" s="154">
        <v>0</v>
      </c>
      <c r="AJ27" s="154">
        <v>0</v>
      </c>
      <c r="AK27" s="154"/>
      <c r="AL27" s="155"/>
      <c r="AM27" s="49">
        <v>0</v>
      </c>
      <c r="AN27" s="49">
        <v>0</v>
      </c>
      <c r="AO27" s="49"/>
      <c r="AP27" s="50"/>
      <c r="AQ27" s="159">
        <v>0</v>
      </c>
      <c r="AR27" s="198">
        <v>0</v>
      </c>
      <c r="AS27" s="198"/>
      <c r="AT27" s="198"/>
      <c r="AU27" s="210">
        <v>0</v>
      </c>
      <c r="AV27" s="210">
        <v>0</v>
      </c>
      <c r="AW27" s="210"/>
      <c r="AX27" s="210"/>
      <c r="AY27" s="129">
        <v>0</v>
      </c>
      <c r="AZ27" s="129">
        <v>0</v>
      </c>
      <c r="BA27" s="129"/>
      <c r="BB27" s="129"/>
      <c r="BC27" s="146">
        <v>0</v>
      </c>
      <c r="BD27" s="136"/>
      <c r="BE27" s="136"/>
      <c r="BF27" s="136"/>
      <c r="BG27" s="252"/>
      <c r="BH27" s="252"/>
      <c r="BI27" s="252"/>
      <c r="BJ27" s="226">
        <v>0</v>
      </c>
      <c r="BK27" s="226"/>
      <c r="BL27" s="226"/>
      <c r="BM27" s="226"/>
      <c r="BN27" s="233">
        <v>0</v>
      </c>
      <c r="BO27" s="233"/>
      <c r="BP27" s="233"/>
      <c r="BQ27" s="233"/>
      <c r="BR27" s="243">
        <v>0</v>
      </c>
      <c r="BS27" s="243"/>
      <c r="BT27" s="243"/>
      <c r="BU27" s="243"/>
      <c r="BV27" s="26">
        <f t="shared" si="23"/>
        <v>0</v>
      </c>
      <c r="BW27" s="43">
        <f t="shared" si="24"/>
        <v>0</v>
      </c>
      <c r="BX27" s="43">
        <f t="shared" si="25"/>
        <v>0.5</v>
      </c>
      <c r="BY27" s="43">
        <f t="shared" si="26"/>
        <v>0.53333333333333333</v>
      </c>
      <c r="BZ27" s="43">
        <f t="shared" si="27"/>
        <v>0.56666666666666665</v>
      </c>
      <c r="CA27" s="43">
        <f t="shared" si="28"/>
        <v>0.6</v>
      </c>
      <c r="CB27" s="43">
        <f t="shared" si="29"/>
        <v>0.6333333333333333</v>
      </c>
      <c r="CC27" s="43">
        <f t="shared" si="30"/>
        <v>0.66666666666666674</v>
      </c>
      <c r="CD27" s="43">
        <f t="shared" si="31"/>
        <v>0.7</v>
      </c>
      <c r="CE27" s="43">
        <f t="shared" si="32"/>
        <v>0.73333333333333339</v>
      </c>
      <c r="CF27" s="43">
        <f t="shared" si="33"/>
        <v>0.76666666666666661</v>
      </c>
      <c r="CG27" s="43">
        <f t="shared" si="34"/>
        <v>0.8</v>
      </c>
      <c r="CH27" s="43">
        <f t="shared" si="35"/>
        <v>0.83333333333333337</v>
      </c>
      <c r="CI27" s="43">
        <f t="shared" si="36"/>
        <v>0.8666666666666667</v>
      </c>
      <c r="CJ27" s="43">
        <f t="shared" si="37"/>
        <v>0.9</v>
      </c>
      <c r="CK27" s="43">
        <f t="shared" si="38"/>
        <v>0</v>
      </c>
      <c r="CL27" s="43">
        <f t="shared" si="39"/>
        <v>0.93333333333333335</v>
      </c>
      <c r="CM27" s="43">
        <f t="shared" si="40"/>
        <v>0.96666666666666667</v>
      </c>
      <c r="CN27" s="43">
        <f t="shared" si="41"/>
        <v>1</v>
      </c>
      <c r="CO27" s="239">
        <f t="shared" si="42"/>
        <v>0</v>
      </c>
      <c r="CP27" s="239">
        <f t="shared" si="43"/>
        <v>0</v>
      </c>
      <c r="CQ27" s="239">
        <f t="shared" si="44"/>
        <v>0</v>
      </c>
    </row>
    <row r="28" spans="1:98" ht="12.75" customHeight="1" x14ac:dyDescent="0.25">
      <c r="A28" s="6"/>
      <c r="B28" s="3" t="s">
        <v>53</v>
      </c>
      <c r="C28" s="7">
        <v>30</v>
      </c>
      <c r="D28" s="37">
        <v>0</v>
      </c>
      <c r="E28" s="151"/>
      <c r="F28" s="152">
        <v>0</v>
      </c>
      <c r="G28" s="87">
        <v>0</v>
      </c>
      <c r="H28" s="88"/>
      <c r="I28" s="127"/>
      <c r="J28" s="88"/>
      <c r="K28" s="89">
        <v>0</v>
      </c>
      <c r="L28" s="90">
        <v>0</v>
      </c>
      <c r="M28" s="153"/>
      <c r="N28" s="91"/>
      <c r="O28" s="95">
        <v>0</v>
      </c>
      <c r="P28" s="93"/>
      <c r="Q28" s="94"/>
      <c r="R28" s="93"/>
      <c r="S28" s="154">
        <v>0</v>
      </c>
      <c r="T28" s="114"/>
      <c r="U28" s="154"/>
      <c r="V28" s="155"/>
      <c r="W28" s="58">
        <v>0</v>
      </c>
      <c r="X28" s="58">
        <v>0</v>
      </c>
      <c r="Y28" s="58"/>
      <c r="Z28" s="59"/>
      <c r="AA28" s="76">
        <v>0</v>
      </c>
      <c r="AB28" s="156">
        <v>0</v>
      </c>
      <c r="AC28" s="157"/>
      <c r="AD28" s="61"/>
      <c r="AE28" s="63">
        <v>0</v>
      </c>
      <c r="AF28" s="63">
        <v>0</v>
      </c>
      <c r="AG28" s="158"/>
      <c r="AH28" s="62"/>
      <c r="AI28" s="154">
        <v>0</v>
      </c>
      <c r="AJ28" s="154">
        <v>0</v>
      </c>
      <c r="AK28" s="154"/>
      <c r="AL28" s="155"/>
      <c r="AM28" s="49">
        <v>0</v>
      </c>
      <c r="AN28" s="49">
        <v>0</v>
      </c>
      <c r="AO28" s="49"/>
      <c r="AP28" s="50"/>
      <c r="AQ28" s="159">
        <v>0</v>
      </c>
      <c r="AR28" s="198">
        <v>0</v>
      </c>
      <c r="AS28" s="198"/>
      <c r="AT28" s="198"/>
      <c r="AU28" s="210">
        <v>0</v>
      </c>
      <c r="AV28" s="210">
        <v>0</v>
      </c>
      <c r="AW28" s="210"/>
      <c r="AX28" s="210"/>
      <c r="AY28" s="129">
        <v>21877.608</v>
      </c>
      <c r="AZ28" s="129">
        <v>0</v>
      </c>
      <c r="BA28" s="129"/>
      <c r="BB28" s="129"/>
      <c r="BC28" s="146"/>
      <c r="BD28" s="136"/>
      <c r="BE28" s="136"/>
      <c r="BF28" s="136"/>
      <c r="BG28" s="252"/>
      <c r="BH28" s="252"/>
      <c r="BI28" s="252"/>
      <c r="BJ28" s="226"/>
      <c r="BK28" s="226"/>
      <c r="BL28" s="226"/>
      <c r="BM28" s="226"/>
      <c r="BN28" s="233"/>
      <c r="BO28" s="233"/>
      <c r="BP28" s="233"/>
      <c r="BQ28" s="233"/>
      <c r="BR28" s="243"/>
      <c r="BS28" s="243"/>
      <c r="BT28" s="243"/>
      <c r="BU28" s="243"/>
      <c r="BV28" s="26">
        <f t="shared" si="23"/>
        <v>0</v>
      </c>
      <c r="BW28" s="43">
        <f t="shared" si="24"/>
        <v>0</v>
      </c>
      <c r="BX28" s="43">
        <f t="shared" si="25"/>
        <v>0.5</v>
      </c>
      <c r="BY28" s="43">
        <f t="shared" si="26"/>
        <v>0.53333333333333333</v>
      </c>
      <c r="BZ28" s="43">
        <f t="shared" si="27"/>
        <v>0.56666666666666665</v>
      </c>
      <c r="CA28" s="43">
        <f t="shared" si="28"/>
        <v>0.6</v>
      </c>
      <c r="CB28" s="43">
        <f t="shared" si="29"/>
        <v>0.6333333333333333</v>
      </c>
      <c r="CC28" s="43">
        <f t="shared" si="30"/>
        <v>0.66666666666666674</v>
      </c>
      <c r="CD28" s="43">
        <f t="shared" si="31"/>
        <v>0.7</v>
      </c>
      <c r="CE28" s="43">
        <f t="shared" si="32"/>
        <v>0.73333333333333339</v>
      </c>
      <c r="CF28" s="43">
        <f t="shared" si="33"/>
        <v>0.76666666666666661</v>
      </c>
      <c r="CG28" s="43">
        <f t="shared" si="34"/>
        <v>0.8</v>
      </c>
      <c r="CH28" s="43">
        <f t="shared" si="35"/>
        <v>0.83333333333333337</v>
      </c>
      <c r="CI28" s="43">
        <f t="shared" si="36"/>
        <v>0.8666666666666667</v>
      </c>
      <c r="CJ28" s="43">
        <f t="shared" si="37"/>
        <v>0.9</v>
      </c>
      <c r="CK28" s="43">
        <f t="shared" si="38"/>
        <v>0</v>
      </c>
      <c r="CL28" s="43">
        <f t="shared" si="39"/>
        <v>0.93333333333333335</v>
      </c>
      <c r="CM28" s="43">
        <f t="shared" si="40"/>
        <v>0.96666666666666667</v>
      </c>
      <c r="CN28" s="43">
        <f t="shared" si="41"/>
        <v>1</v>
      </c>
      <c r="CO28" s="239">
        <f t="shared" si="42"/>
        <v>12610.54608680449</v>
      </c>
      <c r="CP28" s="239">
        <f t="shared" si="43"/>
        <v>0</v>
      </c>
      <c r="CQ28" s="239">
        <f t="shared" si="44"/>
        <v>10929.139941897225</v>
      </c>
    </row>
    <row r="29" spans="1:98" ht="12.75" customHeight="1" x14ac:dyDescent="0.25">
      <c r="A29" s="6"/>
      <c r="B29" s="3" t="s">
        <v>47</v>
      </c>
      <c r="C29" s="7">
        <v>30</v>
      </c>
      <c r="D29" s="37">
        <v>3799108.6462719133</v>
      </c>
      <c r="E29" s="151"/>
      <c r="F29" s="152">
        <v>2411549.8125453922</v>
      </c>
      <c r="G29" s="87">
        <v>47185.65</v>
      </c>
      <c r="H29" s="88"/>
      <c r="I29" s="127"/>
      <c r="J29" s="88"/>
      <c r="K29" s="89">
        <v>121565.18</v>
      </c>
      <c r="L29" s="90">
        <v>42230</v>
      </c>
      <c r="M29" s="153"/>
      <c r="N29" s="91"/>
      <c r="O29" s="95">
        <v>114271.26085397454</v>
      </c>
      <c r="P29" s="93"/>
      <c r="Q29" s="94"/>
      <c r="R29" s="93"/>
      <c r="S29" s="154">
        <v>315516</v>
      </c>
      <c r="T29" s="114"/>
      <c r="U29" s="154"/>
      <c r="V29" s="155"/>
      <c r="W29" s="58">
        <v>246969.46</v>
      </c>
      <c r="X29" s="58">
        <v>0</v>
      </c>
      <c r="Y29" s="58"/>
      <c r="Z29" s="59"/>
      <c r="AA29" s="76">
        <v>746934.4</v>
      </c>
      <c r="AB29" s="156">
        <v>111277</v>
      </c>
      <c r="AC29" s="157"/>
      <c r="AD29" s="61"/>
      <c r="AE29" s="63">
        <v>819508.73</v>
      </c>
      <c r="AF29" s="63">
        <v>0</v>
      </c>
      <c r="AG29" s="158"/>
      <c r="AH29" s="62"/>
      <c r="AI29" s="154">
        <v>396123.05</v>
      </c>
      <c r="AJ29" s="154">
        <v>0</v>
      </c>
      <c r="AK29" s="154"/>
      <c r="AL29" s="155"/>
      <c r="AM29" s="49">
        <v>616394.63</v>
      </c>
      <c r="AN29" s="49">
        <v>0</v>
      </c>
      <c r="AO29" s="49"/>
      <c r="AP29" s="50"/>
      <c r="AQ29" s="159">
        <v>924534.3600000008</v>
      </c>
      <c r="AR29" s="198">
        <v>0</v>
      </c>
      <c r="AS29" s="198"/>
      <c r="AT29" s="198"/>
      <c r="AU29" s="210">
        <v>984613.09999999939</v>
      </c>
      <c r="AV29" s="210">
        <v>0</v>
      </c>
      <c r="AW29" s="210"/>
      <c r="AX29" s="210"/>
      <c r="AY29" s="129">
        <v>1229523.2699999996</v>
      </c>
      <c r="AZ29" s="129">
        <v>0</v>
      </c>
      <c r="BA29" s="129"/>
      <c r="BB29" s="129"/>
      <c r="BC29" s="146">
        <v>1413716.5399999991</v>
      </c>
      <c r="BD29" s="136"/>
      <c r="BE29" s="136"/>
      <c r="BF29" s="136"/>
      <c r="BG29" s="252">
        <f>+BH29</f>
        <v>687191.74247239612</v>
      </c>
      <c r="BH29" s="252">
        <v>687191.74247239612</v>
      </c>
      <c r="BI29" s="252">
        <v>518227.84</v>
      </c>
      <c r="BJ29" s="226">
        <v>1731874.7700000009</v>
      </c>
      <c r="BK29" s="226"/>
      <c r="BL29" s="226"/>
      <c r="BM29" s="226"/>
      <c r="BN29" s="233">
        <v>2005725.5200000007</v>
      </c>
      <c r="BO29" s="233"/>
      <c r="BP29" s="233"/>
      <c r="BQ29" s="233"/>
      <c r="BR29" s="243">
        <v>2393365.61</v>
      </c>
      <c r="BS29" s="243"/>
      <c r="BT29" s="243"/>
      <c r="BU29" s="243"/>
      <c r="BV29" s="26">
        <f t="shared" si="23"/>
        <v>1990.0430180109104</v>
      </c>
      <c r="BW29" s="43">
        <f t="shared" si="24"/>
        <v>0.10143393369701248</v>
      </c>
      <c r="BX29" s="43">
        <f t="shared" si="25"/>
        <v>0.5</v>
      </c>
      <c r="BY29" s="43">
        <f t="shared" si="26"/>
        <v>0.53333333333333333</v>
      </c>
      <c r="BZ29" s="43">
        <f t="shared" si="27"/>
        <v>0.56666666666666665</v>
      </c>
      <c r="CA29" s="43">
        <f t="shared" si="28"/>
        <v>0.6</v>
      </c>
      <c r="CB29" s="43">
        <f t="shared" si="29"/>
        <v>0.6333333333333333</v>
      </c>
      <c r="CC29" s="43">
        <f t="shared" si="30"/>
        <v>0.66666666666666674</v>
      </c>
      <c r="CD29" s="43">
        <f t="shared" si="31"/>
        <v>0.7</v>
      </c>
      <c r="CE29" s="43">
        <f t="shared" si="32"/>
        <v>0.73333333333333339</v>
      </c>
      <c r="CF29" s="43">
        <f t="shared" si="33"/>
        <v>0.76666666666666661</v>
      </c>
      <c r="CG29" s="43">
        <f t="shared" si="34"/>
        <v>0.8</v>
      </c>
      <c r="CH29" s="43">
        <f t="shared" si="35"/>
        <v>0.83333333333333337</v>
      </c>
      <c r="CI29" s="43">
        <f t="shared" si="36"/>
        <v>0.8666666666666667</v>
      </c>
      <c r="CJ29" s="43">
        <f t="shared" si="37"/>
        <v>0.9</v>
      </c>
      <c r="CK29" s="43">
        <f t="shared" si="38"/>
        <v>0.67079074582906439</v>
      </c>
      <c r="CL29" s="43">
        <f t="shared" si="39"/>
        <v>0.93333333333333335</v>
      </c>
      <c r="CM29" s="43">
        <f t="shared" si="40"/>
        <v>0.96666666666666667</v>
      </c>
      <c r="CN29" s="43">
        <f t="shared" si="41"/>
        <v>1</v>
      </c>
      <c r="CO29" s="239">
        <f t="shared" si="42"/>
        <v>16035696.660348911</v>
      </c>
      <c r="CP29" s="239">
        <f t="shared" si="43"/>
        <v>0</v>
      </c>
      <c r="CQ29" s="239">
        <f t="shared" si="44"/>
        <v>10290645.255481375</v>
      </c>
    </row>
    <row r="30" spans="1:98" ht="12.75" customHeight="1" x14ac:dyDescent="0.25">
      <c r="A30" s="6"/>
      <c r="B30" s="3" t="s">
        <v>48</v>
      </c>
      <c r="C30" s="7">
        <v>30</v>
      </c>
      <c r="D30" s="37">
        <v>3801860.6462719133</v>
      </c>
      <c r="E30" s="151"/>
      <c r="F30" s="152">
        <v>2413152.2195853922</v>
      </c>
      <c r="G30" s="87">
        <v>86766.887999999992</v>
      </c>
      <c r="H30" s="88"/>
      <c r="I30" s="127"/>
      <c r="J30" s="88"/>
      <c r="K30" s="89">
        <v>135558.54513805523</v>
      </c>
      <c r="L30" s="90">
        <v>0</v>
      </c>
      <c r="M30" s="153"/>
      <c r="N30" s="91"/>
      <c r="O30" s="95">
        <v>115214.17914602546</v>
      </c>
      <c r="P30" s="93"/>
      <c r="Q30" s="94"/>
      <c r="R30" s="93"/>
      <c r="S30" s="154">
        <v>115420</v>
      </c>
      <c r="T30" s="114"/>
      <c r="U30" s="154"/>
      <c r="V30" s="155"/>
      <c r="W30" s="58">
        <v>129961</v>
      </c>
      <c r="X30" s="58">
        <v>0</v>
      </c>
      <c r="Y30" s="58"/>
      <c r="Z30" s="59"/>
      <c r="AA30" s="76">
        <v>333192</v>
      </c>
      <c r="AB30" s="156">
        <v>0</v>
      </c>
      <c r="AC30" s="157"/>
      <c r="AD30" s="61"/>
      <c r="AE30" s="63">
        <v>515266.79</v>
      </c>
      <c r="AF30" s="63">
        <v>0</v>
      </c>
      <c r="AG30" s="158"/>
      <c r="AH30" s="62"/>
      <c r="AI30" s="154">
        <v>330540.90999999997</v>
      </c>
      <c r="AJ30" s="154">
        <v>0</v>
      </c>
      <c r="AK30" s="154"/>
      <c r="AL30" s="155"/>
      <c r="AM30" s="49">
        <v>462363.19000000018</v>
      </c>
      <c r="AN30" s="49">
        <v>0</v>
      </c>
      <c r="AO30" s="49"/>
      <c r="AP30" s="50"/>
      <c r="AQ30" s="159">
        <v>804704.21999999986</v>
      </c>
      <c r="AR30" s="198">
        <v>0</v>
      </c>
      <c r="AS30" s="198"/>
      <c r="AT30" s="198"/>
      <c r="AU30" s="210">
        <v>708124.1399999999</v>
      </c>
      <c r="AV30" s="210">
        <v>0</v>
      </c>
      <c r="AW30" s="210"/>
      <c r="AX30" s="210"/>
      <c r="AY30" s="129">
        <v>950598.12999999837</v>
      </c>
      <c r="AZ30" s="129">
        <v>0</v>
      </c>
      <c r="BA30" s="129"/>
      <c r="BB30" s="129"/>
      <c r="BC30" s="146">
        <v>542518.81999999972</v>
      </c>
      <c r="BD30" s="136"/>
      <c r="BE30" s="136"/>
      <c r="BF30" s="136"/>
      <c r="BG30" s="252"/>
      <c r="BH30" s="252"/>
      <c r="BI30" s="252"/>
      <c r="BJ30" s="226">
        <v>1106379.0500000003</v>
      </c>
      <c r="BK30" s="226"/>
      <c r="BL30" s="226"/>
      <c r="BM30" s="226"/>
      <c r="BN30" s="233">
        <v>992356.56</v>
      </c>
      <c r="BO30" s="233"/>
      <c r="BP30" s="233"/>
      <c r="BQ30" s="233"/>
      <c r="BR30" s="243">
        <v>1164492.07</v>
      </c>
      <c r="BS30" s="243"/>
      <c r="BT30" s="243"/>
      <c r="BU30" s="243"/>
      <c r="BV30" s="26">
        <f t="shared" si="23"/>
        <v>1990.0418779969095</v>
      </c>
      <c r="BW30" s="43">
        <f t="shared" si="24"/>
        <v>0.10139593323031781</v>
      </c>
      <c r="BX30" s="43">
        <f t="shared" si="25"/>
        <v>0.5</v>
      </c>
      <c r="BY30" s="43">
        <f t="shared" si="26"/>
        <v>0.53333333333333333</v>
      </c>
      <c r="BZ30" s="43">
        <f t="shared" si="27"/>
        <v>0.56666666666666665</v>
      </c>
      <c r="CA30" s="43">
        <f t="shared" si="28"/>
        <v>0.6</v>
      </c>
      <c r="CB30" s="43">
        <f t="shared" si="29"/>
        <v>0.6333333333333333</v>
      </c>
      <c r="CC30" s="43">
        <f t="shared" si="30"/>
        <v>0.66666666666666674</v>
      </c>
      <c r="CD30" s="43">
        <f t="shared" si="31"/>
        <v>0.7</v>
      </c>
      <c r="CE30" s="43">
        <f t="shared" si="32"/>
        <v>0.73333333333333339</v>
      </c>
      <c r="CF30" s="43">
        <f t="shared" si="33"/>
        <v>0.76666666666666661</v>
      </c>
      <c r="CG30" s="43">
        <f t="shared" si="34"/>
        <v>0.8</v>
      </c>
      <c r="CH30" s="43">
        <f t="shared" si="35"/>
        <v>0.83333333333333337</v>
      </c>
      <c r="CI30" s="43">
        <f t="shared" si="36"/>
        <v>0.8666666666666667</v>
      </c>
      <c r="CJ30" s="43">
        <f t="shared" si="37"/>
        <v>0.9</v>
      </c>
      <c r="CK30" s="43">
        <f t="shared" si="38"/>
        <v>0</v>
      </c>
      <c r="CL30" s="43">
        <f t="shared" si="39"/>
        <v>0.93333333333333335</v>
      </c>
      <c r="CM30" s="43">
        <f t="shared" si="40"/>
        <v>0.96666666666666667</v>
      </c>
      <c r="CN30" s="43">
        <f t="shared" si="41"/>
        <v>1</v>
      </c>
      <c r="CO30" s="239">
        <f t="shared" si="42"/>
        <v>10672084.980324905</v>
      </c>
      <c r="CP30" s="239">
        <f t="shared" si="43"/>
        <v>0</v>
      </c>
      <c r="CQ30" s="239">
        <f t="shared" si="44"/>
        <v>6225858.7501041107</v>
      </c>
    </row>
    <row r="31" spans="1:98" ht="12.75" customHeight="1" x14ac:dyDescent="0.25">
      <c r="A31" s="6"/>
      <c r="B31" s="3" t="s">
        <v>49</v>
      </c>
      <c r="C31" s="7">
        <v>30</v>
      </c>
      <c r="D31" s="37">
        <v>0</v>
      </c>
      <c r="E31" s="151"/>
      <c r="F31" s="152">
        <v>0</v>
      </c>
      <c r="G31" s="87">
        <v>0</v>
      </c>
      <c r="H31" s="88"/>
      <c r="I31" s="127"/>
      <c r="J31" s="88"/>
      <c r="K31" s="89">
        <v>0</v>
      </c>
      <c r="L31" s="90">
        <v>0</v>
      </c>
      <c r="M31" s="153"/>
      <c r="N31" s="91"/>
      <c r="O31" s="95">
        <v>0</v>
      </c>
      <c r="P31" s="93"/>
      <c r="Q31" s="94"/>
      <c r="R31" s="93"/>
      <c r="S31" s="154">
        <v>0</v>
      </c>
      <c r="T31" s="114"/>
      <c r="U31" s="154"/>
      <c r="V31" s="155"/>
      <c r="W31" s="58">
        <v>0</v>
      </c>
      <c r="X31" s="58">
        <v>0</v>
      </c>
      <c r="Y31" s="58"/>
      <c r="Z31" s="59"/>
      <c r="AA31" s="76">
        <v>0</v>
      </c>
      <c r="AB31" s="156">
        <v>0</v>
      </c>
      <c r="AC31" s="157"/>
      <c r="AD31" s="61"/>
      <c r="AE31" s="63">
        <v>0</v>
      </c>
      <c r="AF31" s="63">
        <v>0</v>
      </c>
      <c r="AG31" s="158"/>
      <c r="AH31" s="62"/>
      <c r="AI31" s="154">
        <v>0</v>
      </c>
      <c r="AJ31" s="154">
        <v>0</v>
      </c>
      <c r="AK31" s="154"/>
      <c r="AL31" s="155"/>
      <c r="AM31" s="49">
        <v>0</v>
      </c>
      <c r="AN31" s="49">
        <v>0</v>
      </c>
      <c r="AO31" s="49"/>
      <c r="AP31" s="53"/>
      <c r="AQ31" s="159">
        <v>0</v>
      </c>
      <c r="AR31" s="198">
        <v>0</v>
      </c>
      <c r="AS31" s="198"/>
      <c r="AT31" s="198"/>
      <c r="AU31" s="210">
        <v>0</v>
      </c>
      <c r="AV31" s="210">
        <v>0</v>
      </c>
      <c r="AW31" s="210"/>
      <c r="AX31" s="210"/>
      <c r="AY31" s="129">
        <v>0</v>
      </c>
      <c r="AZ31" s="129">
        <v>0</v>
      </c>
      <c r="BA31" s="129"/>
      <c r="BB31" s="129"/>
      <c r="BC31" s="146">
        <v>103431.25</v>
      </c>
      <c r="BD31" s="136"/>
      <c r="BE31" s="136"/>
      <c r="BF31" s="136"/>
      <c r="BG31" s="252"/>
      <c r="BH31" s="252"/>
      <c r="BI31" s="252"/>
      <c r="BJ31" s="226">
        <v>200492.75999999998</v>
      </c>
      <c r="BK31" s="226"/>
      <c r="BL31" s="226"/>
      <c r="BM31" s="226"/>
      <c r="BN31" s="233">
        <v>245725.62999999998</v>
      </c>
      <c r="BO31" s="233"/>
      <c r="BP31" s="233"/>
      <c r="BQ31" s="233"/>
      <c r="BR31" s="243">
        <v>204223.86999999997</v>
      </c>
      <c r="BS31" s="243"/>
      <c r="BT31" s="243"/>
      <c r="BU31" s="243"/>
      <c r="BV31" s="26">
        <f t="shared" si="23"/>
        <v>0</v>
      </c>
      <c r="BW31" s="43">
        <f t="shared" si="24"/>
        <v>0</v>
      </c>
      <c r="BX31" s="43">
        <f t="shared" si="25"/>
        <v>0.5</v>
      </c>
      <c r="BY31" s="43">
        <f t="shared" si="26"/>
        <v>0.53333333333333333</v>
      </c>
      <c r="BZ31" s="43">
        <f t="shared" si="27"/>
        <v>0.56666666666666665</v>
      </c>
      <c r="CA31" s="43">
        <f t="shared" si="28"/>
        <v>0.6</v>
      </c>
      <c r="CB31" s="43">
        <f t="shared" si="29"/>
        <v>0.6333333333333333</v>
      </c>
      <c r="CC31" s="43">
        <f t="shared" si="30"/>
        <v>0.66666666666666674</v>
      </c>
      <c r="CD31" s="43">
        <f t="shared" si="31"/>
        <v>0.7</v>
      </c>
      <c r="CE31" s="43">
        <f t="shared" si="32"/>
        <v>0.73333333333333339</v>
      </c>
      <c r="CF31" s="43">
        <f t="shared" si="33"/>
        <v>0.76666666666666661</v>
      </c>
      <c r="CG31" s="43">
        <f t="shared" si="34"/>
        <v>0.8</v>
      </c>
      <c r="CH31" s="43">
        <f t="shared" si="35"/>
        <v>0.83333333333333337</v>
      </c>
      <c r="CI31" s="43">
        <f t="shared" si="36"/>
        <v>0.8666666666666667</v>
      </c>
      <c r="CJ31" s="43">
        <f t="shared" si="37"/>
        <v>0.9</v>
      </c>
      <c r="CK31" s="43">
        <f t="shared" si="38"/>
        <v>0</v>
      </c>
      <c r="CL31" s="43">
        <f t="shared" si="39"/>
        <v>0.93333333333333335</v>
      </c>
      <c r="CM31" s="43">
        <f t="shared" si="40"/>
        <v>0.96666666666666667</v>
      </c>
      <c r="CN31" s="43">
        <f t="shared" si="41"/>
        <v>1</v>
      </c>
      <c r="CO31" s="239">
        <f t="shared" si="42"/>
        <v>645187.84383200656</v>
      </c>
      <c r="CP31" s="239">
        <f t="shared" si="43"/>
        <v>0</v>
      </c>
      <c r="CQ31" s="239">
        <f t="shared" si="44"/>
        <v>618422.0014227865</v>
      </c>
    </row>
    <row r="32" spans="1:98" ht="12.75" customHeight="1" x14ac:dyDescent="0.35">
      <c r="A32" s="6"/>
      <c r="B32" s="4" t="s">
        <v>29</v>
      </c>
      <c r="C32" s="15"/>
      <c r="D32" s="77">
        <v>0</v>
      </c>
      <c r="E32" s="109"/>
      <c r="F32" s="77">
        <v>0</v>
      </c>
      <c r="G32" s="104"/>
      <c r="H32" s="104"/>
      <c r="I32" s="104"/>
      <c r="J32" s="104"/>
      <c r="K32" s="105"/>
      <c r="L32" s="106">
        <v>0</v>
      </c>
      <c r="M32" s="106"/>
      <c r="N32" s="105"/>
      <c r="O32" s="107"/>
      <c r="P32" s="107"/>
      <c r="Q32" s="107"/>
      <c r="R32" s="107"/>
      <c r="S32" s="168"/>
      <c r="T32" s="168"/>
      <c r="U32" s="169"/>
      <c r="V32" s="170"/>
      <c r="W32" s="74"/>
      <c r="X32" s="73"/>
      <c r="Y32" s="74"/>
      <c r="Z32" s="73"/>
      <c r="AA32" s="75"/>
      <c r="AB32" s="75"/>
      <c r="AC32" s="171"/>
      <c r="AD32" s="75"/>
      <c r="AE32" s="50"/>
      <c r="AF32" s="50"/>
      <c r="AG32" s="53"/>
      <c r="AH32" s="50"/>
      <c r="AI32" s="169"/>
      <c r="AJ32" s="170"/>
      <c r="AK32" s="170"/>
      <c r="AL32" s="170"/>
      <c r="AM32" s="190">
        <v>0</v>
      </c>
      <c r="AN32" s="85">
        <v>0</v>
      </c>
      <c r="AO32" s="85"/>
      <c r="AP32" s="86"/>
      <c r="AQ32" s="207">
        <v>0</v>
      </c>
      <c r="AR32" s="202">
        <v>0</v>
      </c>
      <c r="AS32" s="202"/>
      <c r="AT32" s="202"/>
      <c r="AU32" s="218">
        <v>0</v>
      </c>
      <c r="AV32" s="214">
        <v>0</v>
      </c>
      <c r="AW32" s="214"/>
      <c r="AX32" s="219"/>
      <c r="AY32" s="128">
        <v>0</v>
      </c>
      <c r="AZ32" s="128">
        <v>0</v>
      </c>
      <c r="BA32" s="128"/>
      <c r="BB32" s="128"/>
      <c r="BC32" s="147"/>
      <c r="BD32" s="143"/>
      <c r="BE32" s="143"/>
      <c r="BF32" s="143"/>
      <c r="BG32" s="252"/>
      <c r="BH32" s="252"/>
      <c r="BI32" s="252"/>
      <c r="BJ32" s="226"/>
      <c r="BK32" s="226"/>
      <c r="BL32" s="226"/>
      <c r="BM32" s="226"/>
      <c r="BN32" s="233"/>
      <c r="BO32" s="233"/>
      <c r="BP32" s="233"/>
      <c r="BQ32" s="233"/>
      <c r="BR32" s="243"/>
      <c r="BS32" s="243"/>
      <c r="BT32" s="243"/>
      <c r="BU32" s="243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241"/>
      <c r="CP32" s="241"/>
      <c r="CQ32" s="241"/>
    </row>
    <row r="33" spans="1:95" ht="12.75" customHeight="1" x14ac:dyDescent="0.25">
      <c r="A33" s="6"/>
      <c r="B33" s="3" t="s">
        <v>30</v>
      </c>
      <c r="C33" s="7">
        <v>30</v>
      </c>
      <c r="D33" s="37">
        <v>0</v>
      </c>
      <c r="E33" s="151"/>
      <c r="F33" s="152">
        <v>0</v>
      </c>
      <c r="G33" s="87">
        <v>357372.88</v>
      </c>
      <c r="H33" s="88"/>
      <c r="I33" s="127"/>
      <c r="J33" s="88"/>
      <c r="K33" s="89">
        <v>543253.56000000006</v>
      </c>
      <c r="L33" s="90">
        <v>0</v>
      </c>
      <c r="M33" s="153"/>
      <c r="N33" s="91"/>
      <c r="O33" s="95">
        <v>737930</v>
      </c>
      <c r="P33" s="93"/>
      <c r="Q33" s="94"/>
      <c r="R33" s="93"/>
      <c r="S33" s="154">
        <v>616404</v>
      </c>
      <c r="T33" s="114"/>
      <c r="U33" s="154"/>
      <c r="V33" s="155"/>
      <c r="W33" s="58">
        <v>908729</v>
      </c>
      <c r="X33" s="58">
        <v>0</v>
      </c>
      <c r="Y33" s="58"/>
      <c r="Z33" s="59"/>
      <c r="AA33" s="76">
        <v>1034380.58</v>
      </c>
      <c r="AB33" s="156">
        <v>55639</v>
      </c>
      <c r="AC33" s="157"/>
      <c r="AD33" s="61"/>
      <c r="AE33" s="63">
        <v>1297534</v>
      </c>
      <c r="AF33" s="63">
        <v>0</v>
      </c>
      <c r="AG33" s="158"/>
      <c r="AH33" s="62"/>
      <c r="AI33" s="154">
        <v>1402601.7</v>
      </c>
      <c r="AJ33" s="154">
        <v>0</v>
      </c>
      <c r="AK33" s="154"/>
      <c r="AL33" s="155"/>
      <c r="AM33" s="49">
        <v>1130909.5199999993</v>
      </c>
      <c r="AN33" s="49">
        <v>0</v>
      </c>
      <c r="AO33" s="49"/>
      <c r="AP33" s="50"/>
      <c r="AQ33" s="159">
        <v>1272704.2400000021</v>
      </c>
      <c r="AR33" s="198">
        <v>0</v>
      </c>
      <c r="AS33" s="198"/>
      <c r="AT33" s="198"/>
      <c r="AU33" s="210">
        <v>1171005.9999999995</v>
      </c>
      <c r="AV33" s="210">
        <v>0</v>
      </c>
      <c r="AW33" s="210"/>
      <c r="AX33" s="210"/>
      <c r="AY33" s="129">
        <v>1787672.0399999998</v>
      </c>
      <c r="AZ33" s="129">
        <v>0</v>
      </c>
      <c r="BA33" s="129"/>
      <c r="BB33" s="129"/>
      <c r="BC33" s="146">
        <v>1674946.8199999996</v>
      </c>
      <c r="BD33" s="136"/>
      <c r="BE33" s="136"/>
      <c r="BF33" s="136"/>
      <c r="BG33" s="252">
        <f>+BH33</f>
        <v>260770.20404708656</v>
      </c>
      <c r="BH33" s="252">
        <v>260770.20404708656</v>
      </c>
      <c r="BI33" s="252">
        <f>0.6*327755.15</f>
        <v>196653.09</v>
      </c>
      <c r="BJ33" s="226">
        <v>2241612.7600000002</v>
      </c>
      <c r="BK33" s="226"/>
      <c r="BL33" s="226"/>
      <c r="BM33" s="226"/>
      <c r="BN33" s="233">
        <v>2116636.4599999953</v>
      </c>
      <c r="BO33" s="233"/>
      <c r="BP33" s="233"/>
      <c r="BQ33" s="233"/>
      <c r="BR33" s="243">
        <v>2073343.0499999984</v>
      </c>
      <c r="BS33" s="243">
        <v>7541.66</v>
      </c>
      <c r="BT33" s="243"/>
      <c r="BU33" s="243"/>
      <c r="BV33" s="26">
        <f>IF(D33=0,0,2001-(D33-F33)*C33/D33)</f>
        <v>0</v>
      </c>
      <c r="BW33" s="43">
        <f>IF((1-($CO$2-$BV33)/$C33)&gt;0,(1-($CO$2-$BV33)/$C33),0)</f>
        <v>0</v>
      </c>
      <c r="BX33" s="43">
        <f>IF((1-($CO$2-G$2)/$C33)&gt;0,(1-($CO$2-G$2)/$C33),0)</f>
        <v>0.5</v>
      </c>
      <c r="BY33" s="43">
        <f>IF((1-($CO$2-K$2)/$C33)&gt;0,(1-($CO$2-K$2)/$C33),0)</f>
        <v>0.53333333333333333</v>
      </c>
      <c r="BZ33" s="43">
        <f>IF((1-($CO$2-O$2)/$C33)&gt;0,(1-($CO$2-O$2)/$C33),0)</f>
        <v>0.56666666666666665</v>
      </c>
      <c r="CA33" s="43">
        <f>IF((1-($CO$2-S$2)/$C33)&gt;0,(1-($CO$2-S$2)/$C33),0)</f>
        <v>0.6</v>
      </c>
      <c r="CB33" s="43">
        <f>IF((1-($CO$2-W$2)/$C33)&gt;0,(1-($CO$2-W$2)/$C33),0)</f>
        <v>0.6333333333333333</v>
      </c>
      <c r="CC33" s="43">
        <f>IF((1-($CO$2-AA$2)/$C33)&gt;0,(1-($CO$2-AA$2)/$C33),0)</f>
        <v>0.66666666666666674</v>
      </c>
      <c r="CD33" s="43">
        <f>IF((1-($CO$2-AE$2)/$C33)&gt;0,(1-($CO$2-AE$2)/$C33),0)</f>
        <v>0.7</v>
      </c>
      <c r="CE33" s="43">
        <f>IF((1-($CO$2-AI$2)/$C33)&gt;0,(1-($CO$2-AI$2)/$C33),0)</f>
        <v>0.73333333333333339</v>
      </c>
      <c r="CF33" s="43">
        <f>IF((1-($CO$2-AM$2)/$C33)&gt;0,(1-($CO$2-AM$2)/$C33),0)</f>
        <v>0.76666666666666661</v>
      </c>
      <c r="CG33" s="43">
        <f>IF((1-($CO$2-AQ$2)/$C33)&gt;0,(1-($CO$2-AQ$2)/$C33),0)</f>
        <v>0.8</v>
      </c>
      <c r="CH33" s="43">
        <f>IF((1-($CO$2-AU$2)/$C33)&gt;0,(1-($CO$2-AU$2)/$C33),0)</f>
        <v>0.83333333333333337</v>
      </c>
      <c r="CI33" s="43">
        <f>IF((1-($CO$2-AY$2)/$C33)&gt;0,(1-($CO$2-AY$2)/$C33),0)</f>
        <v>0.8666666666666667</v>
      </c>
      <c r="CJ33" s="43">
        <f>IF((1-($CO$2-BC$2)/$C33)&gt;0,(1-($CO$2-BC$2)/$C33),0)</f>
        <v>0.9</v>
      </c>
      <c r="CK33" s="43">
        <f>IF(BG33=0,0,1-($CO$2-(2014.5-(BG33-BI33)*C33/BG33))/C33)</f>
        <v>0.67079074582906439</v>
      </c>
      <c r="CL33" s="43">
        <f>IF((1-($CO$2-BJ$2)/$C33)&gt;0,(1-($CO$2-BJ$2)/$C33),0)</f>
        <v>0.93333333333333335</v>
      </c>
      <c r="CM33" s="43">
        <f>IF((1-($CO$2-BN$2)/$C33)&gt;0,(1-($CO$2-BN$2)/$C33),0)</f>
        <v>0.96666666666666667</v>
      </c>
      <c r="CN33" s="43">
        <f>IF((1-($CO$2-BR$2)/$C33)&gt;0,(1-($CO$2-BR$2)/$C33),0)</f>
        <v>1</v>
      </c>
      <c r="CO33" s="239">
        <f>D33-E33+(G33-I33)*G$61+(K33-M33)*K$61+(O33-Q33)*O$61+(S33-U33)*S$61+(W33-Y33)*W$61+(AA33-AC33)*AA$61+(AE33-AG33)*AE$61+(AI33-AK33)*AI$61+(AM33-AO33)*AM$61+(AQ33-AS33)*$AQ$61+(AU33-AW33)*$AU$61+(AY33-BA33)*$AY$61+(BC33-BE33)*$BC$61+(BJ33-BL33)*$BJ$61+BG33+(BN33-BP33)*$BN$61+(BR33-BT33)*$BR$61</f>
        <v>16893611.753213741</v>
      </c>
      <c r="CP33" s="239">
        <f>CO33-(IF(BW33=0,0,D33-E33)+IF(BX33=0,0,(G33-I33)*G$61)+IF(BY33=0,0,(K33-M33)*K$61)+IF(BZ33=0,0,(O33-Q33)*O$61)+IF(CA33=0,0,(S33-U33)*S$61)+IF(CB33=0,0,(W33-Y33)*W$61)+IF(CC33=0,0,(AA33-AC33)*AA$61)+IF(CD33=0,0,(AE33-AG33)*AE$61)+IF(CE33=0,0,(AI33-AK33)*AI$61)+IF(CF33=0,0,(AM33-AO33)*AM$61)+IF(CG33=0,0,(AQ33-AS33)*$AQ$61)+IF(CH33=0,0,(AU33-AW33)*$AU$61)+IF(CI33=0,0,(AY33-BA33)*$AY$61)++IF(CJ33=0,0,(BC33-BE33)*$BC$61)+IF(CL33=0,0,(BJ33-BL33)*$BJ$61)+IF(CK33=0,0,BG33)+IF(CM33=0,0,(BN33-BP33)*$BN$61)+IF(CN33=0,0,(BR33-BT33)*$BR$61))</f>
        <v>0</v>
      </c>
      <c r="CQ33" s="239">
        <f>(D33-E33)*BW33+((G33-H33-(I33-J33))*G$61)*BX33+((K33-L33-(M33-N33))*K$61)*BY33+((O33-P33-(Q33-R33))*O$61)*BZ33+((S33-T33-(U33-V33))*S$61)*CA33+((W33-X33-(Y33-Z33))*W$61)*CB33+((AA33-AB33-(AC33-AD33))*AA$61)*CC33+((AE33-AF33-(AG33-AH33))*AE$61)*CD33+((AI33-AJ33-(AK33-AL33))*AI$61)*CE33+((AM33-AN33-(AO33-AP33))*$AM$61)*CF33+((AQ33-AR33-(AS33-AT33))*$AQ$61)*CG33+((AU33-AV33-(AW33-AX33))*$AU$61)*CH33+((AY33-AZ33-(BA33-BB33))*$AY$61)*CI33+((BC33-BD33-(BF33-BV33))*$BC$61)*CJ33+((BJ33-BK33-(BL33-BM33))*$BJ$61)*CL33+(BG33-BH33)*CK33+((BN33-BO33-(BP33-BQ33))*$BN$61)*CM33+((BR33-BS33-(BT33-BU33))*$BR$61)*CN33</f>
        <v>13485055.62224981</v>
      </c>
    </row>
    <row r="34" spans="1:95" ht="12.75" customHeight="1" x14ac:dyDescent="0.25">
      <c r="A34" s="6"/>
      <c r="B34" s="3" t="s">
        <v>31</v>
      </c>
      <c r="C34" s="7">
        <v>30</v>
      </c>
      <c r="D34" s="37">
        <v>0</v>
      </c>
      <c r="E34" s="151"/>
      <c r="F34" s="152">
        <v>0</v>
      </c>
      <c r="G34" s="87">
        <v>20855.34</v>
      </c>
      <c r="H34" s="88"/>
      <c r="I34" s="127"/>
      <c r="J34" s="88"/>
      <c r="K34" s="89">
        <v>31716.79</v>
      </c>
      <c r="L34" s="90">
        <v>0</v>
      </c>
      <c r="M34" s="153"/>
      <c r="N34" s="91"/>
      <c r="O34" s="95">
        <v>45392.1</v>
      </c>
      <c r="P34" s="93"/>
      <c r="Q34" s="94"/>
      <c r="R34" s="93"/>
      <c r="S34" s="154">
        <v>55532</v>
      </c>
      <c r="T34" s="114"/>
      <c r="U34" s="154"/>
      <c r="V34" s="155"/>
      <c r="W34" s="58">
        <v>21527.58</v>
      </c>
      <c r="X34" s="58">
        <v>0</v>
      </c>
      <c r="Y34" s="58"/>
      <c r="Z34" s="59"/>
      <c r="AA34" s="76">
        <v>69879.69</v>
      </c>
      <c r="AB34" s="156">
        <v>0</v>
      </c>
      <c r="AC34" s="157"/>
      <c r="AD34" s="61"/>
      <c r="AE34" s="63">
        <v>167603.6</v>
      </c>
      <c r="AF34" s="63">
        <v>0</v>
      </c>
      <c r="AG34" s="158"/>
      <c r="AH34" s="62"/>
      <c r="AI34" s="154">
        <v>114363.29</v>
      </c>
      <c r="AJ34" s="154">
        <v>0</v>
      </c>
      <c r="AK34" s="154"/>
      <c r="AL34" s="155"/>
      <c r="AM34" s="49">
        <v>128319.80999999997</v>
      </c>
      <c r="AN34" s="49">
        <v>0</v>
      </c>
      <c r="AO34" s="49"/>
      <c r="AP34" s="50"/>
      <c r="AQ34" s="159">
        <v>45878.89</v>
      </c>
      <c r="AR34" s="198">
        <v>0</v>
      </c>
      <c r="AS34" s="198"/>
      <c r="AT34" s="198"/>
      <c r="AU34" s="210">
        <v>78988.76999999999</v>
      </c>
      <c r="AV34" s="210">
        <v>0</v>
      </c>
      <c r="AW34" s="210"/>
      <c r="AX34" s="210"/>
      <c r="AY34" s="129">
        <v>165321.32</v>
      </c>
      <c r="AZ34" s="129">
        <v>0</v>
      </c>
      <c r="BA34" s="129"/>
      <c r="BB34" s="129"/>
      <c r="BC34" s="146">
        <v>329359.53999999998</v>
      </c>
      <c r="BD34" s="136"/>
      <c r="BE34" s="136"/>
      <c r="BF34" s="136"/>
      <c r="BG34" s="252"/>
      <c r="BH34" s="252"/>
      <c r="BI34" s="252"/>
      <c r="BJ34" s="226">
        <v>502319.06999999995</v>
      </c>
      <c r="BK34" s="226"/>
      <c r="BL34" s="226"/>
      <c r="BM34" s="226"/>
      <c r="BN34" s="233">
        <v>584095.52000000014</v>
      </c>
      <c r="BO34" s="233"/>
      <c r="BP34" s="233"/>
      <c r="BQ34" s="233"/>
      <c r="BR34" s="243">
        <v>1656958.05</v>
      </c>
      <c r="BS34" s="243">
        <v>7315.6100000000006</v>
      </c>
      <c r="BT34" s="243"/>
      <c r="BU34" s="243"/>
      <c r="BV34" s="26">
        <f>IF(D34=0,0,2001-(D34-F34)*C34/D34)</f>
        <v>0</v>
      </c>
      <c r="BW34" s="43">
        <f>IF((1-($CO$2-$BV34)/$C34)&gt;0,(1-($CO$2-$BV34)/$C34),0)</f>
        <v>0</v>
      </c>
      <c r="BX34" s="43">
        <f>IF((1-($CO$2-G$2)/$C34)&gt;0,(1-($CO$2-G$2)/$C34),0)</f>
        <v>0.5</v>
      </c>
      <c r="BY34" s="43">
        <f>IF((1-($CO$2-K$2)/$C34)&gt;0,(1-($CO$2-K$2)/$C34),0)</f>
        <v>0.53333333333333333</v>
      </c>
      <c r="BZ34" s="43">
        <f>IF((1-($CO$2-O$2)/$C34)&gt;0,(1-($CO$2-O$2)/$C34),0)</f>
        <v>0.56666666666666665</v>
      </c>
      <c r="CA34" s="43">
        <f>IF((1-($CO$2-S$2)/$C34)&gt;0,(1-($CO$2-S$2)/$C34),0)</f>
        <v>0.6</v>
      </c>
      <c r="CB34" s="43">
        <f>IF((1-($CO$2-W$2)/$C34)&gt;0,(1-($CO$2-W$2)/$C34),0)</f>
        <v>0.6333333333333333</v>
      </c>
      <c r="CC34" s="43">
        <f>IF((1-($CO$2-AA$2)/$C34)&gt;0,(1-($CO$2-AA$2)/$C34),0)</f>
        <v>0.66666666666666674</v>
      </c>
      <c r="CD34" s="43">
        <f>IF((1-($CO$2-AE$2)/$C34)&gt;0,(1-($CO$2-AE$2)/$C34),0)</f>
        <v>0.7</v>
      </c>
      <c r="CE34" s="43">
        <f>IF((1-($CO$2-AI$2)/$C34)&gt;0,(1-($CO$2-AI$2)/$C34),0)</f>
        <v>0.73333333333333339</v>
      </c>
      <c r="CF34" s="43">
        <f>IF((1-($CO$2-AM$2)/$C34)&gt;0,(1-($CO$2-AM$2)/$C34),0)</f>
        <v>0.76666666666666661</v>
      </c>
      <c r="CG34" s="43">
        <f>IF((1-($CO$2-AQ$2)/$C34)&gt;0,(1-($CO$2-AQ$2)/$C34),0)</f>
        <v>0.8</v>
      </c>
      <c r="CH34" s="43">
        <f>IF((1-($CO$2-AU$2)/$C34)&gt;0,(1-($CO$2-AU$2)/$C34),0)</f>
        <v>0.83333333333333337</v>
      </c>
      <c r="CI34" s="43">
        <f>IF((1-($CO$2-AY$2)/$C34)&gt;0,(1-($CO$2-AY$2)/$C34),0)</f>
        <v>0.8666666666666667</v>
      </c>
      <c r="CJ34" s="43">
        <f>IF((1-($CO$2-BC$2)/$C34)&gt;0,(1-($CO$2-BC$2)/$C34),0)</f>
        <v>0.9</v>
      </c>
      <c r="CK34" s="43">
        <f>IF(BG34=0,0,1-($CO$2-(2014.5-(BG34-BI34)*C34/BG34))/C34)</f>
        <v>0</v>
      </c>
      <c r="CL34" s="43">
        <f>IF((1-($CO$2-BJ$2)/$C34)&gt;0,(1-($CO$2-BJ$2)/$C34),0)</f>
        <v>0.93333333333333335</v>
      </c>
      <c r="CM34" s="43">
        <f>IF((1-($CO$2-BN$2)/$C34)&gt;0,(1-($CO$2-BN$2)/$C34),0)</f>
        <v>0.96666666666666667</v>
      </c>
      <c r="CN34" s="43">
        <f>IF((1-($CO$2-BR$2)/$C34)&gt;0,(1-($CO$2-BR$2)/$C34),0)</f>
        <v>1</v>
      </c>
      <c r="CO34" s="239">
        <f>D34-E34+(G34-I34)*G$61+(K34-M34)*K$61+(O34-Q34)*O$61+(S34-U34)*S$61+(W34-Y34)*W$61+(AA34-AC34)*AA$61+(AE34-AG34)*AE$61+(AI34-AK34)*AI$61+(AM34-AO34)*AM$61+(AQ34-AS34)*$AQ$61+(AU34-AW34)*$AU$61+(AY34-BA34)*$AY$61+(BC34-BE34)*$BC$61+(BJ34-BL34)*$BJ$61+BG34+(BN34-BP34)*$BN$61+(BR34-BT34)*$BR$61</f>
        <v>3389073.9556905953</v>
      </c>
      <c r="CP34" s="239">
        <f>CO34-(IF(BW34=0,0,D34-E34)+IF(BX34=0,0,(G34-I34)*G$61)+IF(BY34=0,0,(K34-M34)*K$61)+IF(BZ34=0,0,(O34-Q34)*O$61)+IF(CA34=0,0,(S34-U34)*S$61)+IF(CB34=0,0,(W34-Y34)*W$61)+IF(CC34=0,0,(AA34-AC34)*AA$61)+IF(CD34=0,0,(AE34-AG34)*AE$61)+IF(CE34=0,0,(AI34-AK34)*AI$61)+IF(CF34=0,0,(AM34-AO34)*AM$61)+IF(CG34=0,0,(AQ34-AS34)*$AQ$61)+IF(CH34=0,0,(AU34-AW34)*$AU$61)+IF(CI34=0,0,(AY34-BA34)*$AY$61)++IF(CJ34=0,0,(BC34-BE34)*$BC$61)+IF(CL34=0,0,(BJ34-BL34)*$BJ$61)+IF(CK34=0,0,BG34)+IF(CM34=0,0,(BN34-BP34)*$BN$61)+IF(CN34=0,0,(BR34-BT34)*$BR$61))</f>
        <v>0</v>
      </c>
      <c r="CQ34" s="239">
        <f>(D34-E34)*BW34+((G34-H34-(I34-J34))*G$61)*BX34+((K34-L34-(M34-N34))*K$61)*BY34+((O34-P34-(Q34-R34))*O$61)*BZ34+((S34-T34-(U34-V34))*S$61)*CA34+((W34-X34-(Y34-Z34))*W$61)*CB34+((AA34-AB34-(AC34-AD34))*AA$61)*CC34+((AE34-AF34-(AG34-AH34))*AE$61)*CD34+((AI34-AJ34-(AK34-AL34))*AI$61)*CE34+((AM34-AN34-(AO34-AP34))*$AM$61)*CF34+((AQ34-AR34-(AS34-AT34))*$AQ$61)*CG34+((AU34-AV34-(AW34-AX34))*$AU$61)*CH34+((AY34-AZ34-(BA34-BB34))*$AY$61)*CI34+((BC34-BD34-(BF34-BV34))*$BC$61)*CJ34+((BJ34-BK34-(BL34-BM34))*$BJ$61)*CL34+(BG34-BH34)*CK34+((BN34-BO34-(BP34-BQ34))*$BN$61)*CM34+((BR34-BS34-(BT34-BU34))*$BR$61)*CN34</f>
        <v>3105170.2024726793</v>
      </c>
    </row>
    <row r="35" spans="1:95" ht="12.75" customHeight="1" x14ac:dyDescent="0.25">
      <c r="A35" s="6"/>
      <c r="B35" s="3" t="s">
        <v>50</v>
      </c>
      <c r="C35" s="7">
        <v>30</v>
      </c>
      <c r="D35" s="37">
        <v>10109999.26940603</v>
      </c>
      <c r="E35" s="151"/>
      <c r="F35" s="152">
        <v>6944775.122452748</v>
      </c>
      <c r="G35" s="87">
        <v>110095.16</v>
      </c>
      <c r="H35" s="88"/>
      <c r="I35" s="127"/>
      <c r="J35" s="88"/>
      <c r="K35" s="89">
        <v>147527.42000000001</v>
      </c>
      <c r="L35" s="90">
        <v>20984</v>
      </c>
      <c r="M35" s="153"/>
      <c r="N35" s="91"/>
      <c r="O35" s="95">
        <v>202095.11</v>
      </c>
      <c r="P35" s="93"/>
      <c r="Q35" s="94"/>
      <c r="R35" s="93"/>
      <c r="S35" s="154">
        <v>159017</v>
      </c>
      <c r="T35" s="114"/>
      <c r="U35" s="154"/>
      <c r="V35" s="155"/>
      <c r="W35" s="58">
        <v>103233.12</v>
      </c>
      <c r="X35" s="58">
        <v>0</v>
      </c>
      <c r="Y35" s="58"/>
      <c r="Z35" s="59"/>
      <c r="AA35" s="76">
        <v>228601</v>
      </c>
      <c r="AB35" s="156">
        <v>0</v>
      </c>
      <c r="AC35" s="157"/>
      <c r="AD35" s="61"/>
      <c r="AE35" s="63">
        <v>200982</v>
      </c>
      <c r="AF35" s="63">
        <v>0</v>
      </c>
      <c r="AG35" s="158"/>
      <c r="AH35" s="62"/>
      <c r="AI35" s="154">
        <v>317412.78999999998</v>
      </c>
      <c r="AJ35" s="154">
        <v>0</v>
      </c>
      <c r="AK35" s="154"/>
      <c r="AL35" s="155"/>
      <c r="AM35" s="49">
        <v>385355</v>
      </c>
      <c r="AN35" s="49">
        <v>0</v>
      </c>
      <c r="AO35" s="49"/>
      <c r="AP35" s="50"/>
      <c r="AQ35" s="159">
        <v>616660.66</v>
      </c>
      <c r="AR35" s="198">
        <v>0</v>
      </c>
      <c r="AS35" s="198"/>
      <c r="AT35" s="198"/>
      <c r="AU35" s="210">
        <v>343937.51999999996</v>
      </c>
      <c r="AV35" s="210">
        <v>0</v>
      </c>
      <c r="AW35" s="210"/>
      <c r="AX35" s="210"/>
      <c r="AY35" s="129">
        <v>322760.92000000004</v>
      </c>
      <c r="AZ35" s="129">
        <v>0</v>
      </c>
      <c r="BA35" s="129"/>
      <c r="BB35" s="129"/>
      <c r="BC35" s="146">
        <v>379311.01</v>
      </c>
      <c r="BD35" s="136"/>
      <c r="BE35" s="136"/>
      <c r="BF35" s="136"/>
      <c r="BG35" s="252">
        <f>+BH35</f>
        <v>173846.80269805776</v>
      </c>
      <c r="BH35" s="252">
        <v>173846.80269805776</v>
      </c>
      <c r="BI35" s="252">
        <f>0.4*327755.15</f>
        <v>131102.06000000003</v>
      </c>
      <c r="BJ35" s="226">
        <v>336121.92999999993</v>
      </c>
      <c r="BK35" s="226"/>
      <c r="BL35" s="226"/>
      <c r="BM35" s="226"/>
      <c r="BN35" s="233">
        <v>292721.17</v>
      </c>
      <c r="BO35" s="233"/>
      <c r="BP35" s="233"/>
      <c r="BQ35" s="233"/>
      <c r="BR35" s="243">
        <v>265021.26</v>
      </c>
      <c r="BS35" s="243"/>
      <c r="BT35" s="243"/>
      <c r="BU35" s="243"/>
      <c r="BV35" s="26">
        <f>IF(D35=0,0,2001-(D35-F35)*C35/D35)</f>
        <v>1991.607642802117</v>
      </c>
      <c r="BW35" s="43">
        <f>IF((1-($CO$2-$BV35)/$C35)&gt;0,(1-($CO$2-$BV35)/$C35),0)</f>
        <v>0.15358809340389901</v>
      </c>
      <c r="BX35" s="43">
        <f>IF((1-($CO$2-G$2)/$C35)&gt;0,(1-($CO$2-G$2)/$C35),0)</f>
        <v>0.5</v>
      </c>
      <c r="BY35" s="43">
        <f>IF((1-($CO$2-K$2)/$C35)&gt;0,(1-($CO$2-K$2)/$C35),0)</f>
        <v>0.53333333333333333</v>
      </c>
      <c r="BZ35" s="43">
        <f>IF((1-($CO$2-O$2)/$C35)&gt;0,(1-($CO$2-O$2)/$C35),0)</f>
        <v>0.56666666666666665</v>
      </c>
      <c r="CA35" s="43">
        <f>IF((1-($CO$2-S$2)/$C35)&gt;0,(1-($CO$2-S$2)/$C35),0)</f>
        <v>0.6</v>
      </c>
      <c r="CB35" s="43">
        <f>IF((1-($CO$2-W$2)/$C35)&gt;0,(1-($CO$2-W$2)/$C35),0)</f>
        <v>0.6333333333333333</v>
      </c>
      <c r="CC35" s="43">
        <f>IF((1-($CO$2-AA$2)/$C35)&gt;0,(1-($CO$2-AA$2)/$C35),0)</f>
        <v>0.66666666666666674</v>
      </c>
      <c r="CD35" s="43">
        <f>IF((1-($CO$2-AE$2)/$C35)&gt;0,(1-($CO$2-AE$2)/$C35),0)</f>
        <v>0.7</v>
      </c>
      <c r="CE35" s="43">
        <f>IF((1-($CO$2-AI$2)/$C35)&gt;0,(1-($CO$2-AI$2)/$C35),0)</f>
        <v>0.73333333333333339</v>
      </c>
      <c r="CF35" s="43">
        <f>IF((1-($CO$2-AM$2)/$C35)&gt;0,(1-($CO$2-AM$2)/$C35),0)</f>
        <v>0.76666666666666661</v>
      </c>
      <c r="CG35" s="43">
        <f>IF((1-($CO$2-AQ$2)/$C35)&gt;0,(1-($CO$2-AQ$2)/$C35),0)</f>
        <v>0.8</v>
      </c>
      <c r="CH35" s="43">
        <f>IF((1-($CO$2-AU$2)/$C35)&gt;0,(1-($CO$2-AU$2)/$C35),0)</f>
        <v>0.83333333333333337</v>
      </c>
      <c r="CI35" s="43">
        <f>IF((1-($CO$2-AY$2)/$C35)&gt;0,(1-($CO$2-AY$2)/$C35),0)</f>
        <v>0.8666666666666667</v>
      </c>
      <c r="CJ35" s="43">
        <f>IF((1-($CO$2-BC$2)/$C35)&gt;0,(1-($CO$2-BC$2)/$C35),0)</f>
        <v>0.9</v>
      </c>
      <c r="CK35" s="43">
        <f>IF(BG35=0,0,1-($CO$2-(2014.5-(BG35-BI35)*C35/BG35))/C35)</f>
        <v>0.67079074582906439</v>
      </c>
      <c r="CL35" s="43">
        <f>IF((1-($CO$2-BJ$2)/$C35)&gt;0,(1-($CO$2-BJ$2)/$C35),0)</f>
        <v>0.93333333333333335</v>
      </c>
      <c r="CM35" s="43">
        <f>IF((1-($CO$2-BN$2)/$C35)&gt;0,(1-($CO$2-BN$2)/$C35),0)</f>
        <v>0.96666666666666667</v>
      </c>
      <c r="CN35" s="43">
        <f>IF((1-($CO$2-BR$2)/$C35)&gt;0,(1-($CO$2-BR$2)/$C35),0)</f>
        <v>1</v>
      </c>
      <c r="CO35" s="239">
        <f>D35-E35+(G35-I35)*G$61+(K35-M35)*K$61+(O35-Q35)*O$61+(S35-U35)*S$61+(W35-Y35)*W$61+(AA35-AC35)*AA$61+(AE35-AG35)*AE$61+(AI35-AK35)*AI$61+(AM35-AO35)*AM$61+(AQ35-AS35)*$AQ$61+(AU35-AW35)*$AU$61+(AY35-BA35)*$AY$61+(BC35-BE35)*$BC$61+(BJ35-BL35)*$BJ$61+BG35+(BN35-BP35)*$BN$61+(BR35-BT35)*$BR$61</f>
        <v>13866563.600375077</v>
      </c>
      <c r="CP35" s="239">
        <f>CO35-(IF(BW35=0,0,D35-E35)+IF(BX35=0,0,(G35-I35)*G$61)+IF(BY35=0,0,(K35-M35)*K$61)+IF(BZ35=0,0,(O35-Q35)*O$61)+IF(CA35=0,0,(S35-U35)*S$61)+IF(CB35=0,0,(W35-Y35)*W$61)+IF(CC35=0,0,(AA35-AC35)*AA$61)+IF(CD35=0,0,(AE35-AG35)*AE$61)+IF(CE35=0,0,(AI35-AK35)*AI$61)+IF(CF35=0,0,(AM35-AO35)*AM$61)+IF(CG35=0,0,(AQ35-AS35)*$AQ$61)+IF(CH35=0,0,(AU35-AW35)*$AU$61)+IF(CI35=0,0,(AY35-BA35)*$AY$61)++IF(CJ35=0,0,(BC35-BE35)*$BC$61)+IF(CL35=0,0,(BJ35-BL35)*$BJ$61)+IF(CK35=0,0,BG35)+IF(CM35=0,0,(BN35-BP35)*$BN$61)+IF(CN35=0,0,(BR35-BT35)*$BR$61))</f>
        <v>0</v>
      </c>
      <c r="CQ35" s="239">
        <f>(D35-E35)*BW35+((G35-H35-(I35-J35))*G$61)*BX35+((K35-L35-(M35-N35))*K$61)*BY35+((O35-P35-(Q35-R35))*O$61)*BZ35+((S35-T35-(U35-V35))*S$61)*CA35+((W35-X35-(Y35-Z35))*W$61)*CB35+((AA35-AB35-(AC35-AD35))*AA$61)*CC35+((AE35-AF35-(AG35-AH35))*AE$61)*CD35+((AI35-AJ35-(AK35-AL35))*AI$61)*CE35+((AM35-AN35-(AO35-AP35))*$AM$61)*CF35+((AQ35-AR35-(AS35-AT35))*$AQ$61)*CG35+((AU35-AV35-(AW35-AX35))*$AU$61)*CH35+((AY35-AZ35-(BA35-BB35))*$AY$61)*CI35+((BC35-BD35-(BF35-BV35))*$BC$61)*CJ35+((BJ35-BK35-(BL35-BM35))*$BJ$61)*CL35+(BG35-BH35)*CK35+((BN35-BO35-(BP35-BQ35))*$BN$61)*CM35+((BR35-BS35-(BT35-BU35))*$BR$61)*CN35</f>
        <v>4372063.7601176845</v>
      </c>
    </row>
    <row r="36" spans="1:95" ht="12.75" customHeight="1" x14ac:dyDescent="0.35">
      <c r="A36" s="6"/>
      <c r="B36" s="5" t="s">
        <v>32</v>
      </c>
      <c r="C36" s="16"/>
      <c r="D36" s="77">
        <v>0</v>
      </c>
      <c r="E36" s="109"/>
      <c r="F36" s="77">
        <v>0</v>
      </c>
      <c r="G36" s="104"/>
      <c r="H36" s="104"/>
      <c r="I36" s="104"/>
      <c r="J36" s="104"/>
      <c r="K36" s="105"/>
      <c r="L36" s="106">
        <v>0</v>
      </c>
      <c r="M36" s="106"/>
      <c r="N36" s="105"/>
      <c r="O36" s="107"/>
      <c r="P36" s="107"/>
      <c r="Q36" s="107"/>
      <c r="R36" s="107"/>
      <c r="S36" s="168"/>
      <c r="T36" s="168"/>
      <c r="U36" s="169"/>
      <c r="V36" s="170"/>
      <c r="W36" s="74"/>
      <c r="X36" s="73"/>
      <c r="Y36" s="74"/>
      <c r="Z36" s="73"/>
      <c r="AA36" s="75"/>
      <c r="AB36" s="75"/>
      <c r="AC36" s="171"/>
      <c r="AD36" s="75"/>
      <c r="AE36" s="50"/>
      <c r="AF36" s="50"/>
      <c r="AG36" s="53"/>
      <c r="AH36" s="50"/>
      <c r="AI36" s="169"/>
      <c r="AJ36" s="170"/>
      <c r="AK36" s="170"/>
      <c r="AL36" s="170"/>
      <c r="AM36" s="190">
        <v>0</v>
      </c>
      <c r="AN36" s="85">
        <v>0</v>
      </c>
      <c r="AO36" s="85"/>
      <c r="AP36" s="86"/>
      <c r="AQ36" s="207">
        <v>0</v>
      </c>
      <c r="AR36" s="202">
        <v>0</v>
      </c>
      <c r="AS36" s="202"/>
      <c r="AT36" s="202"/>
      <c r="AU36" s="218">
        <v>0</v>
      </c>
      <c r="AV36" s="214">
        <v>0</v>
      </c>
      <c r="AW36" s="214"/>
      <c r="AX36" s="219"/>
      <c r="AY36" s="128">
        <v>0</v>
      </c>
      <c r="AZ36" s="128">
        <v>0</v>
      </c>
      <c r="BA36" s="128"/>
      <c r="BB36" s="128"/>
      <c r="BC36" s="147"/>
      <c r="BD36" s="143"/>
      <c r="BE36" s="143"/>
      <c r="BF36" s="143"/>
      <c r="BG36" s="252"/>
      <c r="BH36" s="252"/>
      <c r="BI36" s="252"/>
      <c r="BJ36" s="226"/>
      <c r="BK36" s="226"/>
      <c r="BL36" s="226"/>
      <c r="BM36" s="226"/>
      <c r="BN36" s="233"/>
      <c r="BO36" s="233"/>
      <c r="BP36" s="233"/>
      <c r="BQ36" s="233"/>
      <c r="BR36" s="243"/>
      <c r="BS36" s="243"/>
      <c r="BT36" s="243"/>
      <c r="BU36" s="243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241"/>
      <c r="CP36" s="241"/>
      <c r="CQ36" s="241"/>
    </row>
    <row r="37" spans="1:95" ht="12.75" customHeight="1" x14ac:dyDescent="0.25">
      <c r="A37" s="6"/>
      <c r="B37" s="24" t="s">
        <v>59</v>
      </c>
      <c r="C37" s="7">
        <v>10</v>
      </c>
      <c r="D37" s="37">
        <v>0</v>
      </c>
      <c r="E37" s="151"/>
      <c r="F37" s="37">
        <v>0</v>
      </c>
      <c r="G37" s="87">
        <v>0</v>
      </c>
      <c r="H37" s="87"/>
      <c r="I37" s="127"/>
      <c r="J37" s="87"/>
      <c r="K37" s="89">
        <v>0</v>
      </c>
      <c r="L37" s="108">
        <v>0</v>
      </c>
      <c r="M37" s="153"/>
      <c r="N37" s="89"/>
      <c r="O37" s="95">
        <v>0</v>
      </c>
      <c r="P37" s="172"/>
      <c r="Q37" s="94"/>
      <c r="R37" s="172"/>
      <c r="S37" s="154">
        <v>0</v>
      </c>
      <c r="T37" s="114"/>
      <c r="U37" s="154"/>
      <c r="V37" s="155"/>
      <c r="W37" s="58">
        <v>0</v>
      </c>
      <c r="X37" s="58">
        <v>0</v>
      </c>
      <c r="Y37" s="58"/>
      <c r="Z37" s="59"/>
      <c r="AA37" s="76">
        <v>0</v>
      </c>
      <c r="AB37" s="156">
        <v>0</v>
      </c>
      <c r="AC37" s="157"/>
      <c r="AD37" s="61"/>
      <c r="AE37" s="63">
        <v>0</v>
      </c>
      <c r="AF37" s="63">
        <v>0</v>
      </c>
      <c r="AG37" s="158"/>
      <c r="AH37" s="62"/>
      <c r="AI37" s="154">
        <v>0</v>
      </c>
      <c r="AJ37" s="154">
        <v>0</v>
      </c>
      <c r="AK37" s="154"/>
      <c r="AL37" s="155"/>
      <c r="AM37" s="49">
        <v>0</v>
      </c>
      <c r="AN37" s="49">
        <v>0</v>
      </c>
      <c r="AO37" s="49"/>
      <c r="AP37" s="50"/>
      <c r="AQ37" s="159">
        <v>0</v>
      </c>
      <c r="AR37" s="198">
        <v>0</v>
      </c>
      <c r="AS37" s="198"/>
      <c r="AT37" s="198"/>
      <c r="AU37" s="210">
        <v>0</v>
      </c>
      <c r="AV37" s="210">
        <v>0</v>
      </c>
      <c r="AW37" s="210"/>
      <c r="AX37" s="210"/>
      <c r="AY37" s="129">
        <v>0</v>
      </c>
      <c r="AZ37" s="129">
        <v>0</v>
      </c>
      <c r="BA37" s="129"/>
      <c r="BB37" s="129"/>
      <c r="BC37" s="146">
        <v>0</v>
      </c>
      <c r="BD37" s="136"/>
      <c r="BE37" s="136"/>
      <c r="BF37" s="136"/>
      <c r="BG37" s="252"/>
      <c r="BH37" s="252"/>
      <c r="BI37" s="252"/>
      <c r="BJ37" s="226">
        <v>0</v>
      </c>
      <c r="BK37" s="226"/>
      <c r="BL37" s="226"/>
      <c r="BM37" s="226"/>
      <c r="BN37" s="233">
        <v>0</v>
      </c>
      <c r="BO37" s="233"/>
      <c r="BP37" s="233"/>
      <c r="BQ37" s="233"/>
      <c r="BR37" s="243">
        <v>0</v>
      </c>
      <c r="BS37" s="243"/>
      <c r="BT37" s="243"/>
      <c r="BU37" s="243"/>
      <c r="BV37" s="26">
        <f t="shared" ref="BV37:BV44" si="45">IF(D37=0,0,2001-(D37-F37)*C37/D37)</f>
        <v>0</v>
      </c>
      <c r="BW37" s="43">
        <f t="shared" ref="BW37:BW44" si="46">IF((1-($CO$2-$BV37)/$C37)&gt;0,(1-($CO$2-$BV37)/$C37),0)</f>
        <v>0</v>
      </c>
      <c r="BX37" s="43">
        <f t="shared" ref="BX37:BX44" si="47">IF((1-($CO$2-G$2)/$C37)&gt;0,(1-($CO$2-G$2)/$C37),0)</f>
        <v>0</v>
      </c>
      <c r="BY37" s="43">
        <f t="shared" ref="BY37:BY44" si="48">IF((1-($CO$2-K$2)/$C37)&gt;0,(1-($CO$2-K$2)/$C37),0)</f>
        <v>0</v>
      </c>
      <c r="BZ37" s="43">
        <f t="shared" ref="BZ37:BZ44" si="49">IF((1-($CO$2-O$2)/$C37)&gt;0,(1-($CO$2-O$2)/$C37),0)</f>
        <v>0</v>
      </c>
      <c r="CA37" s="43">
        <f t="shared" ref="CA37:CA44" si="50">IF((1-($CO$2-S$2)/$C37)&gt;0,(1-($CO$2-S$2)/$C37),0)</f>
        <v>0</v>
      </c>
      <c r="CB37" s="43">
        <f t="shared" ref="CB37:CB44" si="51">IF((1-($CO$2-W$2)/$C37)&gt;0,(1-($CO$2-W$2)/$C37),0)</f>
        <v>0</v>
      </c>
      <c r="CC37" s="43">
        <f t="shared" ref="CC37:CC44" si="52">IF((1-($CO$2-AA$2)/$C37)&gt;0,(1-($CO$2-AA$2)/$C37),0)</f>
        <v>0</v>
      </c>
      <c r="CD37" s="43">
        <f t="shared" ref="CD37:CD44" si="53">IF((1-($CO$2-AE$2)/$C37)&gt;0,(1-($CO$2-AE$2)/$C37),0)</f>
        <v>9.9999999999999978E-2</v>
      </c>
      <c r="CE37" s="43">
        <f t="shared" ref="CE37:CE44" si="54">IF((1-($CO$2-AI$2)/$C37)&gt;0,(1-($CO$2-AI$2)/$C37),0)</f>
        <v>0.19999999999999996</v>
      </c>
      <c r="CF37" s="43">
        <f t="shared" ref="CF37:CF44" si="55">IF((1-($CO$2-AM$2)/$C37)&gt;0,(1-($CO$2-AM$2)/$C37),0)</f>
        <v>0.30000000000000004</v>
      </c>
      <c r="CG37" s="43">
        <f t="shared" ref="CG37:CG44" si="56">IF((1-($CO$2-AQ$2)/$C37)&gt;0,(1-($CO$2-AQ$2)/$C37),0)</f>
        <v>0.4</v>
      </c>
      <c r="CH37" s="43">
        <f t="shared" ref="CH37:CH44" si="57">IF((1-($CO$2-AU$2)/$C37)&gt;0,(1-($CO$2-AU$2)/$C37),0)</f>
        <v>0.5</v>
      </c>
      <c r="CI37" s="43">
        <f t="shared" ref="CI37:CI44" si="58">IF((1-($CO$2-AY$2)/$C37)&gt;0,(1-($CO$2-AY$2)/$C37),0)</f>
        <v>0.6</v>
      </c>
      <c r="CJ37" s="43">
        <f t="shared" ref="CJ37:CJ44" si="59">IF((1-($CO$2-BC$2)/$C37)&gt;0,(1-($CO$2-BC$2)/$C37),0)</f>
        <v>0.7</v>
      </c>
      <c r="CK37" s="43">
        <f t="shared" ref="CK37:CK44" si="60">IF(BG37=0,0,1-($CO$2-(2014.5-(BG37-BI37)*C37/BG37))/C37)</f>
        <v>0</v>
      </c>
      <c r="CL37" s="43">
        <f t="shared" ref="CL37:CL44" si="61">IF((1-($CO$2-BJ$2)/$C37)&gt;0,(1-($CO$2-BJ$2)/$C37),0)</f>
        <v>0.8</v>
      </c>
      <c r="CM37" s="43">
        <f t="shared" ref="CM37:CM44" si="62">IF((1-($CO$2-BN$2)/$C37)&gt;0,(1-($CO$2-BN$2)/$C37),0)</f>
        <v>0.9</v>
      </c>
      <c r="CN37" s="43">
        <f t="shared" ref="CN37:CN44" si="63">IF((1-($CO$2-BR$2)/$C37)&gt;0,(1-($CO$2-BR$2)/$C37),0)</f>
        <v>1</v>
      </c>
      <c r="CO37" s="239">
        <f t="shared" ref="CO37:CO44" si="64">D37-E37+(G37-I37)*G$61+(K37-M37)*K$61+(O37-Q37)*O$61+(S37-U37)*S$61+(W37-Y37)*W$61+(AA37-AC37)*AA$61+(AE37-AG37)*AE$61+(AI37-AK37)*AI$61+(AM37-AO37)*AM$61+(AQ37-AS37)*$AQ$61+(AU37-AW37)*$AU$61+(AY37-BA37)*$AY$61+(BC37-BE37)*$BC$61+(BJ37-BL37)*$BJ$61+BG37+(BN37-BP37)*$BN$61+(BR37-BT37)*$BR$61</f>
        <v>0</v>
      </c>
      <c r="CP37" s="239">
        <f t="shared" ref="CP37:CP44" si="65">CO37-(IF(BW37=0,0,D37-E37)+IF(BX37=0,0,(G37-I37)*G$61)+IF(BY37=0,0,(K37-M37)*K$61)+IF(BZ37=0,0,(O37-Q37)*O$61)+IF(CA37=0,0,(S37-U37)*S$61)+IF(CB37=0,0,(W37-Y37)*W$61)+IF(CC37=0,0,(AA37-AC37)*AA$61)+IF(CD37=0,0,(AE37-AG37)*AE$61)+IF(CE37=0,0,(AI37-AK37)*AI$61)+IF(CF37=0,0,(AM37-AO37)*AM$61)+IF(CG37=0,0,(AQ37-AS37)*$AQ$61)+IF(CH37=0,0,(AU37-AW37)*$AU$61)+IF(CI37=0,0,(AY37-BA37)*$AY$61)++IF(CJ37=0,0,(BC37-BE37)*$BC$61)+IF(CL37=0,0,(BJ37-BL37)*$BJ$61)+IF(CK37=0,0,BG37)+IF(CM37=0,0,(BN37-BP37)*$BN$61)+IF(CN37=0,0,(BR37-BT37)*$BR$61))</f>
        <v>0</v>
      </c>
      <c r="CQ37" s="239">
        <f t="shared" ref="CQ37:CQ44" si="66">(D37-E37)*BW37+((G37-H37-(I37-J37))*G$61)*BX37+((K37-L37-(M37-N37))*K$61)*BY37+((O37-P37-(Q37-R37))*O$61)*BZ37+((S37-T37-(U37-V37))*S$61)*CA37+((W37-X37-(Y37-Z37))*W$61)*CB37+((AA37-AB37-(AC37-AD37))*AA$61)*CC37+((AE37-AF37-(AG37-AH37))*AE$61)*CD37+((AI37-AJ37-(AK37-AL37))*AI$61)*CE37+((AM37-AN37-(AO37-AP37))*$AM$61)*CF37+((AQ37-AR37-(AS37-AT37))*$AQ$61)*CG37+((AU37-AV37-(AW37-AX37))*$AU$61)*CH37+((AY37-AZ37-(BA37-BB37))*$AY$61)*CI37+((BC37-BD37-(BF37-BV37))*$BC$61)*CJ37+((BJ37-BK37-(BL37-BM37))*$BJ$61)*CL37+(BG37-BH37)*CK37+((BN37-BO37-(BP37-BQ37))*$BN$61)*CM37+((BR37-BS37-(BT37-BU37))*$BR$61)*CN37</f>
        <v>0</v>
      </c>
    </row>
    <row r="38" spans="1:95" ht="12.75" customHeight="1" x14ac:dyDescent="0.25">
      <c r="A38" s="6"/>
      <c r="B38" s="24" t="s">
        <v>12</v>
      </c>
      <c r="C38" s="7">
        <v>5</v>
      </c>
      <c r="D38" s="37">
        <v>0</v>
      </c>
      <c r="E38" s="151"/>
      <c r="F38" s="37">
        <v>0</v>
      </c>
      <c r="G38" s="87">
        <v>0</v>
      </c>
      <c r="H38" s="87"/>
      <c r="I38" s="127"/>
      <c r="J38" s="87"/>
      <c r="K38" s="89">
        <v>0</v>
      </c>
      <c r="L38" s="108">
        <v>0</v>
      </c>
      <c r="M38" s="153"/>
      <c r="N38" s="89"/>
      <c r="O38" s="95">
        <v>0</v>
      </c>
      <c r="P38" s="172"/>
      <c r="Q38" s="94"/>
      <c r="R38" s="172"/>
      <c r="S38" s="154">
        <v>0</v>
      </c>
      <c r="T38" s="114"/>
      <c r="U38" s="154"/>
      <c r="V38" s="155"/>
      <c r="W38" s="58">
        <v>0</v>
      </c>
      <c r="X38" s="58">
        <v>0</v>
      </c>
      <c r="Y38" s="58"/>
      <c r="Z38" s="59"/>
      <c r="AA38" s="76">
        <v>0</v>
      </c>
      <c r="AB38" s="156">
        <v>0</v>
      </c>
      <c r="AC38" s="157"/>
      <c r="AD38" s="61"/>
      <c r="AE38" s="63">
        <v>0</v>
      </c>
      <c r="AF38" s="63">
        <v>0</v>
      </c>
      <c r="AG38" s="158"/>
      <c r="AH38" s="62"/>
      <c r="AI38" s="154">
        <v>0</v>
      </c>
      <c r="AJ38" s="154">
        <v>0</v>
      </c>
      <c r="AK38" s="154"/>
      <c r="AL38" s="155"/>
      <c r="AM38" s="49">
        <v>0</v>
      </c>
      <c r="AN38" s="49">
        <v>0</v>
      </c>
      <c r="AO38" s="49"/>
      <c r="AP38" s="50"/>
      <c r="AQ38" s="159">
        <v>0</v>
      </c>
      <c r="AR38" s="198">
        <v>0</v>
      </c>
      <c r="AS38" s="198"/>
      <c r="AT38" s="198"/>
      <c r="AU38" s="210">
        <v>0</v>
      </c>
      <c r="AV38" s="210">
        <v>0</v>
      </c>
      <c r="AW38" s="210"/>
      <c r="AX38" s="210"/>
      <c r="AY38" s="129">
        <v>13307.93</v>
      </c>
      <c r="AZ38" s="129">
        <v>0</v>
      </c>
      <c r="BA38" s="129"/>
      <c r="BB38" s="129"/>
      <c r="BC38" s="146"/>
      <c r="BD38" s="136"/>
      <c r="BE38" s="136"/>
      <c r="BF38" s="136"/>
      <c r="BG38" s="252"/>
      <c r="BH38" s="252"/>
      <c r="BI38" s="252"/>
      <c r="BJ38" s="226"/>
      <c r="BK38" s="226"/>
      <c r="BL38" s="226"/>
      <c r="BM38" s="226"/>
      <c r="BN38" s="233"/>
      <c r="BO38" s="233"/>
      <c r="BP38" s="233"/>
      <c r="BQ38" s="233"/>
      <c r="BR38" s="243"/>
      <c r="BS38" s="243"/>
      <c r="BT38" s="243"/>
      <c r="BU38" s="243"/>
      <c r="BV38" s="26">
        <f t="shared" si="45"/>
        <v>0</v>
      </c>
      <c r="BW38" s="43">
        <f t="shared" si="46"/>
        <v>0</v>
      </c>
      <c r="BX38" s="43">
        <f t="shared" si="47"/>
        <v>0</v>
      </c>
      <c r="BY38" s="43">
        <f t="shared" si="48"/>
        <v>0</v>
      </c>
      <c r="BZ38" s="43">
        <f t="shared" si="49"/>
        <v>0</v>
      </c>
      <c r="CA38" s="43">
        <f t="shared" si="50"/>
        <v>0</v>
      </c>
      <c r="CB38" s="43">
        <f t="shared" si="51"/>
        <v>0</v>
      </c>
      <c r="CC38" s="43">
        <f t="shared" si="52"/>
        <v>0</v>
      </c>
      <c r="CD38" s="43">
        <f t="shared" si="53"/>
        <v>0</v>
      </c>
      <c r="CE38" s="43">
        <f t="shared" si="54"/>
        <v>0</v>
      </c>
      <c r="CF38" s="43">
        <f t="shared" si="55"/>
        <v>0</v>
      </c>
      <c r="CG38" s="43">
        <f t="shared" si="56"/>
        <v>0</v>
      </c>
      <c r="CH38" s="43">
        <f t="shared" si="57"/>
        <v>0</v>
      </c>
      <c r="CI38" s="43">
        <f t="shared" si="58"/>
        <v>0.19999999999999996</v>
      </c>
      <c r="CJ38" s="43">
        <f t="shared" si="59"/>
        <v>0.4</v>
      </c>
      <c r="CK38" s="43">
        <f t="shared" si="60"/>
        <v>0</v>
      </c>
      <c r="CL38" s="43">
        <f t="shared" si="61"/>
        <v>0.6</v>
      </c>
      <c r="CM38" s="43">
        <f t="shared" si="62"/>
        <v>0.8</v>
      </c>
      <c r="CN38" s="43">
        <f t="shared" si="63"/>
        <v>1</v>
      </c>
      <c r="CO38" s="239">
        <f t="shared" si="64"/>
        <v>7670.8689809675761</v>
      </c>
      <c r="CP38" s="239">
        <f t="shared" si="65"/>
        <v>0</v>
      </c>
      <c r="CQ38" s="239">
        <f t="shared" si="66"/>
        <v>1534.1737961935148</v>
      </c>
    </row>
    <row r="39" spans="1:95" ht="12.75" customHeight="1" x14ac:dyDescent="0.25">
      <c r="A39" s="6"/>
      <c r="B39" s="24" t="s">
        <v>39</v>
      </c>
      <c r="C39" s="7">
        <v>1000</v>
      </c>
      <c r="D39" s="37">
        <v>0</v>
      </c>
      <c r="E39" s="151"/>
      <c r="F39" s="37">
        <v>0</v>
      </c>
      <c r="G39" s="87">
        <v>0</v>
      </c>
      <c r="H39" s="87"/>
      <c r="I39" s="127"/>
      <c r="J39" s="87"/>
      <c r="K39" s="89">
        <v>0</v>
      </c>
      <c r="L39" s="108">
        <v>0</v>
      </c>
      <c r="M39" s="153"/>
      <c r="N39" s="89"/>
      <c r="O39" s="95">
        <v>0</v>
      </c>
      <c r="P39" s="172"/>
      <c r="Q39" s="94"/>
      <c r="R39" s="172"/>
      <c r="S39" s="154">
        <v>0</v>
      </c>
      <c r="T39" s="114"/>
      <c r="U39" s="154"/>
      <c r="V39" s="155"/>
      <c r="W39" s="58">
        <v>0</v>
      </c>
      <c r="X39" s="58">
        <v>0</v>
      </c>
      <c r="Y39" s="58"/>
      <c r="Z39" s="59"/>
      <c r="AA39" s="76">
        <v>0</v>
      </c>
      <c r="AB39" s="156">
        <v>0</v>
      </c>
      <c r="AC39" s="157"/>
      <c r="AD39" s="61"/>
      <c r="AE39" s="63">
        <v>0</v>
      </c>
      <c r="AF39" s="63">
        <v>0</v>
      </c>
      <c r="AG39" s="158"/>
      <c r="AH39" s="62"/>
      <c r="AI39" s="154">
        <v>0</v>
      </c>
      <c r="AJ39" s="154">
        <v>0</v>
      </c>
      <c r="AK39" s="154"/>
      <c r="AL39" s="155"/>
      <c r="AM39" s="49">
        <v>0</v>
      </c>
      <c r="AN39" s="49">
        <v>0</v>
      </c>
      <c r="AO39" s="49"/>
      <c r="AP39" s="50"/>
      <c r="AQ39" s="159">
        <v>0</v>
      </c>
      <c r="AR39" s="198">
        <v>0</v>
      </c>
      <c r="AS39" s="198"/>
      <c r="AT39" s="198"/>
      <c r="AU39" s="210">
        <v>0</v>
      </c>
      <c r="AV39" s="210">
        <v>0</v>
      </c>
      <c r="AW39" s="210"/>
      <c r="AX39" s="210"/>
      <c r="AY39" s="129">
        <v>0</v>
      </c>
      <c r="AZ39" s="129">
        <v>0</v>
      </c>
      <c r="BA39" s="129"/>
      <c r="BB39" s="129"/>
      <c r="BC39" s="146"/>
      <c r="BD39" s="136"/>
      <c r="BE39" s="136"/>
      <c r="BF39" s="136"/>
      <c r="BG39" s="252"/>
      <c r="BH39" s="252"/>
      <c r="BI39" s="252"/>
      <c r="BJ39" s="226"/>
      <c r="BK39" s="226"/>
      <c r="BL39" s="226"/>
      <c r="BM39" s="226"/>
      <c r="BN39" s="233"/>
      <c r="BO39" s="233"/>
      <c r="BP39" s="233"/>
      <c r="BQ39" s="233"/>
      <c r="BR39" s="243"/>
      <c r="BS39" s="243"/>
      <c r="BT39" s="243"/>
      <c r="BU39" s="243"/>
      <c r="BV39" s="26">
        <f t="shared" si="45"/>
        <v>0</v>
      </c>
      <c r="BW39" s="43">
        <f t="shared" si="46"/>
        <v>0</v>
      </c>
      <c r="BX39" s="43">
        <f t="shared" si="47"/>
        <v>0.98499999999999999</v>
      </c>
      <c r="BY39" s="43">
        <f t="shared" si="48"/>
        <v>0.98599999999999999</v>
      </c>
      <c r="BZ39" s="43">
        <f t="shared" si="49"/>
        <v>0.98699999999999999</v>
      </c>
      <c r="CA39" s="43">
        <f t="shared" si="50"/>
        <v>0.98799999999999999</v>
      </c>
      <c r="CB39" s="43">
        <f t="shared" si="51"/>
        <v>0.98899999999999999</v>
      </c>
      <c r="CC39" s="43">
        <f t="shared" si="52"/>
        <v>0.99</v>
      </c>
      <c r="CD39" s="43">
        <f t="shared" si="53"/>
        <v>0.99099999999999999</v>
      </c>
      <c r="CE39" s="43">
        <f t="shared" si="54"/>
        <v>0.99199999999999999</v>
      </c>
      <c r="CF39" s="43">
        <f t="shared" si="55"/>
        <v>0.99299999999999999</v>
      </c>
      <c r="CG39" s="43">
        <f t="shared" si="56"/>
        <v>0.99399999999999999</v>
      </c>
      <c r="CH39" s="43">
        <f t="shared" si="57"/>
        <v>0.995</v>
      </c>
      <c r="CI39" s="43">
        <f t="shared" si="58"/>
        <v>0.996</v>
      </c>
      <c r="CJ39" s="43">
        <f t="shared" si="59"/>
        <v>0.997</v>
      </c>
      <c r="CK39" s="43">
        <f t="shared" si="60"/>
        <v>0</v>
      </c>
      <c r="CL39" s="43">
        <f t="shared" si="61"/>
        <v>0.998</v>
      </c>
      <c r="CM39" s="43">
        <f t="shared" si="62"/>
        <v>0.999</v>
      </c>
      <c r="CN39" s="43">
        <f t="shared" si="63"/>
        <v>1</v>
      </c>
      <c r="CO39" s="239">
        <f t="shared" si="64"/>
        <v>0</v>
      </c>
      <c r="CP39" s="239">
        <f t="shared" si="65"/>
        <v>0</v>
      </c>
      <c r="CQ39" s="239">
        <f t="shared" si="66"/>
        <v>0</v>
      </c>
    </row>
    <row r="40" spans="1:95" ht="12.75" customHeight="1" x14ac:dyDescent="0.25">
      <c r="A40" s="6"/>
      <c r="B40" s="24" t="s">
        <v>9</v>
      </c>
      <c r="C40" s="7">
        <v>40</v>
      </c>
      <c r="D40" s="37">
        <v>0</v>
      </c>
      <c r="E40" s="151"/>
      <c r="F40" s="37">
        <v>0</v>
      </c>
      <c r="G40" s="87">
        <v>0</v>
      </c>
      <c r="H40" s="87"/>
      <c r="I40" s="127"/>
      <c r="J40" s="87"/>
      <c r="K40" s="89">
        <v>0</v>
      </c>
      <c r="L40" s="108">
        <v>0</v>
      </c>
      <c r="M40" s="153"/>
      <c r="N40" s="89"/>
      <c r="O40" s="95">
        <v>0</v>
      </c>
      <c r="P40" s="172"/>
      <c r="Q40" s="94"/>
      <c r="R40" s="172"/>
      <c r="S40" s="154">
        <v>0</v>
      </c>
      <c r="T40" s="114"/>
      <c r="U40" s="154"/>
      <c r="V40" s="155"/>
      <c r="W40" s="58">
        <v>0</v>
      </c>
      <c r="X40" s="58">
        <v>0</v>
      </c>
      <c r="Y40" s="58"/>
      <c r="Z40" s="59"/>
      <c r="AA40" s="76">
        <v>0</v>
      </c>
      <c r="AB40" s="156">
        <v>0</v>
      </c>
      <c r="AC40" s="157"/>
      <c r="AD40" s="61"/>
      <c r="AE40" s="63">
        <v>0</v>
      </c>
      <c r="AF40" s="63">
        <v>0</v>
      </c>
      <c r="AG40" s="158"/>
      <c r="AH40" s="62"/>
      <c r="AI40" s="154">
        <v>0</v>
      </c>
      <c r="AJ40" s="154">
        <v>0</v>
      </c>
      <c r="AK40" s="154"/>
      <c r="AL40" s="155"/>
      <c r="AM40" s="49">
        <v>0</v>
      </c>
      <c r="AN40" s="49">
        <v>0</v>
      </c>
      <c r="AO40" s="49"/>
      <c r="AP40" s="50"/>
      <c r="AQ40" s="159">
        <v>0</v>
      </c>
      <c r="AR40" s="198">
        <v>0</v>
      </c>
      <c r="AS40" s="198"/>
      <c r="AT40" s="198"/>
      <c r="AU40" s="210">
        <v>0</v>
      </c>
      <c r="AV40" s="210">
        <v>0</v>
      </c>
      <c r="AW40" s="210"/>
      <c r="AX40" s="210"/>
      <c r="AY40" s="129">
        <v>0</v>
      </c>
      <c r="AZ40" s="129">
        <v>0</v>
      </c>
      <c r="BA40" s="129"/>
      <c r="BB40" s="129"/>
      <c r="BC40" s="146"/>
      <c r="BD40" s="136"/>
      <c r="BE40" s="136"/>
      <c r="BF40" s="136"/>
      <c r="BG40" s="252"/>
      <c r="BH40" s="252"/>
      <c r="BI40" s="252"/>
      <c r="BJ40" s="226"/>
      <c r="BK40" s="226"/>
      <c r="BL40" s="226"/>
      <c r="BM40" s="226"/>
      <c r="BN40" s="233"/>
      <c r="BO40" s="233"/>
      <c r="BP40" s="233"/>
      <c r="BQ40" s="233"/>
      <c r="BR40" s="243"/>
      <c r="BS40" s="243"/>
      <c r="BT40" s="243"/>
      <c r="BU40" s="243"/>
      <c r="BV40" s="26">
        <f t="shared" si="45"/>
        <v>0</v>
      </c>
      <c r="BW40" s="43">
        <f t="shared" si="46"/>
        <v>0</v>
      </c>
      <c r="BX40" s="43">
        <f t="shared" si="47"/>
        <v>0.625</v>
      </c>
      <c r="BY40" s="43">
        <f t="shared" si="48"/>
        <v>0.65</v>
      </c>
      <c r="BZ40" s="43">
        <f t="shared" si="49"/>
        <v>0.67500000000000004</v>
      </c>
      <c r="CA40" s="43">
        <f t="shared" si="50"/>
        <v>0.7</v>
      </c>
      <c r="CB40" s="43">
        <f t="shared" si="51"/>
        <v>0.72499999999999998</v>
      </c>
      <c r="CC40" s="43">
        <f t="shared" si="52"/>
        <v>0.75</v>
      </c>
      <c r="CD40" s="43">
        <f t="shared" si="53"/>
        <v>0.77500000000000002</v>
      </c>
      <c r="CE40" s="43">
        <f t="shared" si="54"/>
        <v>0.8</v>
      </c>
      <c r="CF40" s="43">
        <f t="shared" si="55"/>
        <v>0.82499999999999996</v>
      </c>
      <c r="CG40" s="43">
        <f t="shared" si="56"/>
        <v>0.85</v>
      </c>
      <c r="CH40" s="43">
        <f t="shared" si="57"/>
        <v>0.875</v>
      </c>
      <c r="CI40" s="43">
        <f t="shared" si="58"/>
        <v>0.9</v>
      </c>
      <c r="CJ40" s="43">
        <f t="shared" si="59"/>
        <v>0.92500000000000004</v>
      </c>
      <c r="CK40" s="43">
        <f t="shared" si="60"/>
        <v>0</v>
      </c>
      <c r="CL40" s="43">
        <f t="shared" si="61"/>
        <v>0.95</v>
      </c>
      <c r="CM40" s="43">
        <f t="shared" si="62"/>
        <v>0.97499999999999998</v>
      </c>
      <c r="CN40" s="43">
        <f t="shared" si="63"/>
        <v>1</v>
      </c>
      <c r="CO40" s="239">
        <f t="shared" si="64"/>
        <v>0</v>
      </c>
      <c r="CP40" s="239">
        <f t="shared" si="65"/>
        <v>0</v>
      </c>
      <c r="CQ40" s="239">
        <f t="shared" si="66"/>
        <v>0</v>
      </c>
    </row>
    <row r="41" spans="1:95" ht="12.75" customHeight="1" x14ac:dyDescent="0.25">
      <c r="A41" s="6"/>
      <c r="B41" s="3" t="s">
        <v>51</v>
      </c>
      <c r="C41" s="7">
        <v>10</v>
      </c>
      <c r="D41" s="37">
        <v>68012.532297795682</v>
      </c>
      <c r="E41" s="151"/>
      <c r="F41" s="152">
        <v>0</v>
      </c>
      <c r="G41" s="87">
        <v>8156.81</v>
      </c>
      <c r="H41" s="88"/>
      <c r="I41" s="127"/>
      <c r="J41" s="88"/>
      <c r="K41" s="89">
        <v>72957</v>
      </c>
      <c r="L41" s="90">
        <v>0</v>
      </c>
      <c r="M41" s="153"/>
      <c r="N41" s="91"/>
      <c r="O41" s="95">
        <v>70981</v>
      </c>
      <c r="P41" s="93"/>
      <c r="Q41" s="94"/>
      <c r="R41" s="93"/>
      <c r="S41" s="154">
        <v>43325</v>
      </c>
      <c r="T41" s="114"/>
      <c r="U41" s="154"/>
      <c r="V41" s="155"/>
      <c r="W41" s="58">
        <v>0</v>
      </c>
      <c r="X41" s="58">
        <v>0</v>
      </c>
      <c r="Y41" s="58"/>
      <c r="Z41" s="59"/>
      <c r="AA41" s="76">
        <v>0</v>
      </c>
      <c r="AB41" s="156">
        <v>0</v>
      </c>
      <c r="AC41" s="157"/>
      <c r="AD41" s="61"/>
      <c r="AE41" s="63">
        <v>48894</v>
      </c>
      <c r="AF41" s="63">
        <v>0</v>
      </c>
      <c r="AG41" s="158"/>
      <c r="AH41" s="62"/>
      <c r="AI41" s="154">
        <v>43891.280000000006</v>
      </c>
      <c r="AJ41" s="154">
        <v>0</v>
      </c>
      <c r="AK41" s="154"/>
      <c r="AL41" s="155"/>
      <c r="AM41" s="49">
        <v>15184</v>
      </c>
      <c r="AN41" s="49">
        <v>0</v>
      </c>
      <c r="AO41" s="49"/>
      <c r="AP41" s="50"/>
      <c r="AQ41" s="159">
        <v>15539.74</v>
      </c>
      <c r="AR41" s="198">
        <v>0</v>
      </c>
      <c r="AS41" s="198"/>
      <c r="AT41" s="198"/>
      <c r="AU41" s="210">
        <v>11462.5</v>
      </c>
      <c r="AV41" s="210">
        <v>0</v>
      </c>
      <c r="AW41" s="210"/>
      <c r="AX41" s="210"/>
      <c r="AY41" s="129">
        <v>13307.93</v>
      </c>
      <c r="AZ41" s="129">
        <v>0</v>
      </c>
      <c r="BA41" s="129"/>
      <c r="BB41" s="129"/>
      <c r="BC41" s="146">
        <v>326558.83</v>
      </c>
      <c r="BD41" s="136"/>
      <c r="BE41" s="136"/>
      <c r="BF41" s="136"/>
      <c r="BG41" s="252"/>
      <c r="BH41" s="252"/>
      <c r="BI41" s="252"/>
      <c r="BJ41" s="226">
        <v>848385</v>
      </c>
      <c r="BK41" s="226"/>
      <c r="BL41" s="226"/>
      <c r="BM41" s="226"/>
      <c r="BN41" s="233">
        <v>1423195.31</v>
      </c>
      <c r="BO41" s="233"/>
      <c r="BP41" s="233"/>
      <c r="BQ41" s="233"/>
      <c r="BR41" s="243">
        <v>894955.95</v>
      </c>
      <c r="BS41" s="243"/>
      <c r="BT41" s="243"/>
      <c r="BU41" s="243"/>
      <c r="BV41" s="26">
        <f t="shared" si="45"/>
        <v>1991</v>
      </c>
      <c r="BW41" s="43">
        <f t="shared" si="46"/>
        <v>0</v>
      </c>
      <c r="BX41" s="43">
        <f t="shared" si="47"/>
        <v>0</v>
      </c>
      <c r="BY41" s="43">
        <f t="shared" si="48"/>
        <v>0</v>
      </c>
      <c r="BZ41" s="43">
        <f t="shared" si="49"/>
        <v>0</v>
      </c>
      <c r="CA41" s="43">
        <f t="shared" si="50"/>
        <v>0</v>
      </c>
      <c r="CB41" s="43">
        <f t="shared" si="51"/>
        <v>0</v>
      </c>
      <c r="CC41" s="43">
        <f t="shared" si="52"/>
        <v>0</v>
      </c>
      <c r="CD41" s="43">
        <f t="shared" si="53"/>
        <v>9.9999999999999978E-2</v>
      </c>
      <c r="CE41" s="43">
        <f t="shared" si="54"/>
        <v>0.19999999999999996</v>
      </c>
      <c r="CF41" s="43">
        <f t="shared" si="55"/>
        <v>0.30000000000000004</v>
      </c>
      <c r="CG41" s="43">
        <f t="shared" si="56"/>
        <v>0.4</v>
      </c>
      <c r="CH41" s="43">
        <f t="shared" si="57"/>
        <v>0.5</v>
      </c>
      <c r="CI41" s="43">
        <f t="shared" si="58"/>
        <v>0.6</v>
      </c>
      <c r="CJ41" s="43">
        <f t="shared" si="59"/>
        <v>0.7</v>
      </c>
      <c r="CK41" s="43">
        <f t="shared" si="60"/>
        <v>0</v>
      </c>
      <c r="CL41" s="43">
        <f t="shared" si="61"/>
        <v>0.8</v>
      </c>
      <c r="CM41" s="43">
        <f t="shared" si="62"/>
        <v>0.9</v>
      </c>
      <c r="CN41" s="43">
        <f t="shared" si="63"/>
        <v>1</v>
      </c>
      <c r="CO41" s="239">
        <f t="shared" si="64"/>
        <v>3358135.3636335079</v>
      </c>
      <c r="CP41" s="239">
        <f t="shared" si="65"/>
        <v>238461.32823187113</v>
      </c>
      <c r="CQ41" s="239">
        <f t="shared" si="66"/>
        <v>2685051.805827524</v>
      </c>
    </row>
    <row r="42" spans="1:95" ht="12.75" customHeight="1" x14ac:dyDescent="0.25">
      <c r="A42" s="6"/>
      <c r="B42" s="3" t="s">
        <v>52</v>
      </c>
      <c r="C42" s="7">
        <v>22</v>
      </c>
      <c r="D42" s="37">
        <v>0</v>
      </c>
      <c r="E42" s="151"/>
      <c r="F42" s="83">
        <v>0</v>
      </c>
      <c r="G42" s="87">
        <v>0</v>
      </c>
      <c r="H42" s="88"/>
      <c r="I42" s="127"/>
      <c r="J42" s="88"/>
      <c r="K42" s="89">
        <v>0</v>
      </c>
      <c r="L42" s="90">
        <v>0</v>
      </c>
      <c r="M42" s="153"/>
      <c r="N42" s="91"/>
      <c r="O42" s="95">
        <v>0</v>
      </c>
      <c r="P42" s="93"/>
      <c r="Q42" s="94"/>
      <c r="R42" s="93"/>
      <c r="S42" s="154">
        <v>0</v>
      </c>
      <c r="T42" s="114"/>
      <c r="U42" s="154"/>
      <c r="V42" s="155"/>
      <c r="W42" s="58">
        <v>0</v>
      </c>
      <c r="X42" s="58">
        <v>0</v>
      </c>
      <c r="Y42" s="58"/>
      <c r="Z42" s="59"/>
      <c r="AA42" s="76">
        <v>0</v>
      </c>
      <c r="AB42" s="156">
        <v>0</v>
      </c>
      <c r="AC42" s="157"/>
      <c r="AD42" s="61"/>
      <c r="AE42" s="63">
        <v>21889</v>
      </c>
      <c r="AF42" s="63">
        <v>0</v>
      </c>
      <c r="AG42" s="158"/>
      <c r="AH42" s="62"/>
      <c r="AI42" s="154">
        <v>0</v>
      </c>
      <c r="AJ42" s="154">
        <v>0</v>
      </c>
      <c r="AK42" s="154"/>
      <c r="AL42" s="155"/>
      <c r="AM42" s="49">
        <v>0</v>
      </c>
      <c r="AN42" s="49">
        <v>0</v>
      </c>
      <c r="AO42" s="49"/>
      <c r="AP42" s="50"/>
      <c r="AQ42" s="159">
        <v>0</v>
      </c>
      <c r="AR42" s="198">
        <v>0</v>
      </c>
      <c r="AS42" s="198"/>
      <c r="AT42" s="198"/>
      <c r="AU42" s="210">
        <v>2142</v>
      </c>
      <c r="AV42" s="210">
        <v>0</v>
      </c>
      <c r="AW42" s="210"/>
      <c r="AX42" s="210"/>
      <c r="AY42" s="129">
        <v>48264.98</v>
      </c>
      <c r="AZ42" s="129">
        <v>0</v>
      </c>
      <c r="BA42" s="129"/>
      <c r="BB42" s="129"/>
      <c r="BC42" s="146">
        <v>285524.53000000003</v>
      </c>
      <c r="BD42" s="136"/>
      <c r="BE42" s="136"/>
      <c r="BF42" s="136"/>
      <c r="BG42" s="252"/>
      <c r="BH42" s="252"/>
      <c r="BI42" s="252"/>
      <c r="BJ42" s="226">
        <v>23834.440000000002</v>
      </c>
      <c r="BK42" s="226"/>
      <c r="BL42" s="226"/>
      <c r="BM42" s="226"/>
      <c r="BN42" s="233">
        <v>77437.19</v>
      </c>
      <c r="BO42" s="233"/>
      <c r="BP42" s="233"/>
      <c r="BQ42" s="233"/>
      <c r="BR42" s="243">
        <v>167430</v>
      </c>
      <c r="BS42" s="243"/>
      <c r="BT42" s="243"/>
      <c r="BU42" s="243"/>
      <c r="BV42" s="26">
        <f t="shared" si="45"/>
        <v>0</v>
      </c>
      <c r="BW42" s="43">
        <f t="shared" si="46"/>
        <v>0</v>
      </c>
      <c r="BX42" s="43">
        <f t="shared" si="47"/>
        <v>0.31818181818181823</v>
      </c>
      <c r="BY42" s="43">
        <f t="shared" si="48"/>
        <v>0.36363636363636365</v>
      </c>
      <c r="BZ42" s="43">
        <f t="shared" si="49"/>
        <v>0.40909090909090906</v>
      </c>
      <c r="CA42" s="43">
        <f t="shared" si="50"/>
        <v>0.45454545454545459</v>
      </c>
      <c r="CB42" s="43">
        <f t="shared" si="51"/>
        <v>0.5</v>
      </c>
      <c r="CC42" s="43">
        <f t="shared" si="52"/>
        <v>0.54545454545454541</v>
      </c>
      <c r="CD42" s="43">
        <f t="shared" si="53"/>
        <v>0.59090909090909083</v>
      </c>
      <c r="CE42" s="43">
        <f t="shared" si="54"/>
        <v>0.63636363636363635</v>
      </c>
      <c r="CF42" s="43">
        <f t="shared" si="55"/>
        <v>0.68181818181818188</v>
      </c>
      <c r="CG42" s="43">
        <f t="shared" si="56"/>
        <v>0.72727272727272729</v>
      </c>
      <c r="CH42" s="43">
        <f t="shared" si="57"/>
        <v>0.77272727272727271</v>
      </c>
      <c r="CI42" s="43">
        <f t="shared" si="58"/>
        <v>0.81818181818181812</v>
      </c>
      <c r="CJ42" s="43">
        <f t="shared" si="59"/>
        <v>0.86363636363636365</v>
      </c>
      <c r="CK42" s="43">
        <f t="shared" si="60"/>
        <v>0</v>
      </c>
      <c r="CL42" s="43">
        <f t="shared" si="61"/>
        <v>0.90909090909090906</v>
      </c>
      <c r="CM42" s="43">
        <f t="shared" si="62"/>
        <v>0.95454545454545459</v>
      </c>
      <c r="CN42" s="43">
        <f t="shared" si="63"/>
        <v>1</v>
      </c>
      <c r="CO42" s="239">
        <f t="shared" si="64"/>
        <v>518439.60079707752</v>
      </c>
      <c r="CP42" s="239">
        <f t="shared" si="65"/>
        <v>0</v>
      </c>
      <c r="CQ42" s="239">
        <f t="shared" si="66"/>
        <v>468319.38445536164</v>
      </c>
    </row>
    <row r="43" spans="1:95" ht="12.75" customHeight="1" x14ac:dyDescent="0.25">
      <c r="A43" s="6"/>
      <c r="B43" s="3" t="s">
        <v>33</v>
      </c>
      <c r="C43" s="7">
        <v>4</v>
      </c>
      <c r="D43" s="37">
        <v>0</v>
      </c>
      <c r="E43" s="151"/>
      <c r="F43" s="152">
        <v>0</v>
      </c>
      <c r="G43" s="87">
        <v>0</v>
      </c>
      <c r="H43" s="88"/>
      <c r="I43" s="127"/>
      <c r="J43" s="88"/>
      <c r="K43" s="89">
        <v>0</v>
      </c>
      <c r="L43" s="90">
        <v>0</v>
      </c>
      <c r="M43" s="153"/>
      <c r="N43" s="91"/>
      <c r="O43" s="95">
        <v>0</v>
      </c>
      <c r="P43" s="93"/>
      <c r="Q43" s="94"/>
      <c r="R43" s="93"/>
      <c r="S43" s="154">
        <v>0</v>
      </c>
      <c r="T43" s="114"/>
      <c r="U43" s="154"/>
      <c r="V43" s="155"/>
      <c r="W43" s="58">
        <v>0</v>
      </c>
      <c r="X43" s="58">
        <v>0</v>
      </c>
      <c r="Y43" s="58"/>
      <c r="Z43" s="59"/>
      <c r="AA43" s="76">
        <v>0</v>
      </c>
      <c r="AB43" s="156">
        <v>0</v>
      </c>
      <c r="AC43" s="157"/>
      <c r="AD43" s="61"/>
      <c r="AE43" s="63">
        <v>0</v>
      </c>
      <c r="AF43" s="63">
        <v>0</v>
      </c>
      <c r="AG43" s="158"/>
      <c r="AH43" s="62"/>
      <c r="AI43" s="154">
        <v>0</v>
      </c>
      <c r="AJ43" s="154">
        <v>0</v>
      </c>
      <c r="AK43" s="154"/>
      <c r="AL43" s="155"/>
      <c r="AM43" s="49">
        <v>0</v>
      </c>
      <c r="AN43" s="49">
        <v>0</v>
      </c>
      <c r="AO43" s="49"/>
      <c r="AP43" s="50"/>
      <c r="AQ43" s="159">
        <v>0</v>
      </c>
      <c r="AR43" s="198">
        <v>0</v>
      </c>
      <c r="AS43" s="198"/>
      <c r="AT43" s="198"/>
      <c r="AU43" s="210">
        <v>0</v>
      </c>
      <c r="AV43" s="210">
        <v>0</v>
      </c>
      <c r="AW43" s="210"/>
      <c r="AX43" s="210"/>
      <c r="AY43" s="129">
        <v>0</v>
      </c>
      <c r="AZ43" s="129">
        <v>0</v>
      </c>
      <c r="BA43" s="129"/>
      <c r="BB43" s="129"/>
      <c r="BC43" s="146"/>
      <c r="BD43" s="136"/>
      <c r="BE43" s="136"/>
      <c r="BF43" s="136"/>
      <c r="BG43" s="252"/>
      <c r="BH43" s="252"/>
      <c r="BI43" s="252"/>
      <c r="BJ43" s="226"/>
      <c r="BK43" s="226"/>
      <c r="BL43" s="226"/>
      <c r="BM43" s="226"/>
      <c r="BN43" s="233"/>
      <c r="BO43" s="233"/>
      <c r="BP43" s="233"/>
      <c r="BQ43" s="233"/>
      <c r="BR43" s="243"/>
      <c r="BS43" s="243"/>
      <c r="BT43" s="243"/>
      <c r="BU43" s="243"/>
      <c r="BV43" s="26">
        <f t="shared" si="45"/>
        <v>0</v>
      </c>
      <c r="BW43" s="43">
        <f t="shared" si="46"/>
        <v>0</v>
      </c>
      <c r="BX43" s="43">
        <f t="shared" si="47"/>
        <v>0</v>
      </c>
      <c r="BY43" s="43">
        <f t="shared" si="48"/>
        <v>0</v>
      </c>
      <c r="BZ43" s="43">
        <f t="shared" si="49"/>
        <v>0</v>
      </c>
      <c r="CA43" s="43">
        <f t="shared" si="50"/>
        <v>0</v>
      </c>
      <c r="CB43" s="43">
        <f t="shared" si="51"/>
        <v>0</v>
      </c>
      <c r="CC43" s="43">
        <f t="shared" si="52"/>
        <v>0</v>
      </c>
      <c r="CD43" s="43">
        <f t="shared" si="53"/>
        <v>0</v>
      </c>
      <c r="CE43" s="43">
        <f t="shared" si="54"/>
        <v>0</v>
      </c>
      <c r="CF43" s="43">
        <f t="shared" si="55"/>
        <v>0</v>
      </c>
      <c r="CG43" s="43">
        <f t="shared" si="56"/>
        <v>0</v>
      </c>
      <c r="CH43" s="43">
        <f t="shared" si="57"/>
        <v>0</v>
      </c>
      <c r="CI43" s="43">
        <f t="shared" si="58"/>
        <v>0</v>
      </c>
      <c r="CJ43" s="43">
        <f t="shared" si="59"/>
        <v>0.25</v>
      </c>
      <c r="CK43" s="43">
        <f t="shared" si="60"/>
        <v>0</v>
      </c>
      <c r="CL43" s="43">
        <f t="shared" si="61"/>
        <v>0.5</v>
      </c>
      <c r="CM43" s="43">
        <f t="shared" si="62"/>
        <v>0.75</v>
      </c>
      <c r="CN43" s="43">
        <f t="shared" si="63"/>
        <v>1</v>
      </c>
      <c r="CO43" s="239">
        <f t="shared" si="64"/>
        <v>0</v>
      </c>
      <c r="CP43" s="239">
        <f t="shared" si="65"/>
        <v>0</v>
      </c>
      <c r="CQ43" s="239">
        <f t="shared" si="66"/>
        <v>0</v>
      </c>
    </row>
    <row r="44" spans="1:95" ht="12.75" customHeight="1" thickBot="1" x14ac:dyDescent="0.3">
      <c r="A44" s="6"/>
      <c r="B44" s="10" t="s">
        <v>13</v>
      </c>
      <c r="C44" s="11">
        <v>8</v>
      </c>
      <c r="D44" s="41">
        <v>0</v>
      </c>
      <c r="E44" s="151"/>
      <c r="F44" s="162">
        <v>0</v>
      </c>
      <c r="G44" s="87">
        <v>28201.54</v>
      </c>
      <c r="H44" s="96"/>
      <c r="I44" s="127"/>
      <c r="J44" s="96"/>
      <c r="K44" s="89">
        <v>40330.749936</v>
      </c>
      <c r="L44" s="97">
        <v>0</v>
      </c>
      <c r="M44" s="153"/>
      <c r="N44" s="98"/>
      <c r="O44" s="92">
        <v>24699.62</v>
      </c>
      <c r="P44" s="99"/>
      <c r="Q44" s="94"/>
      <c r="R44" s="99"/>
      <c r="S44" s="173">
        <v>0</v>
      </c>
      <c r="T44" s="114"/>
      <c r="U44" s="154"/>
      <c r="V44" s="174"/>
      <c r="W44" s="58">
        <v>30771.72</v>
      </c>
      <c r="X44" s="58">
        <v>0</v>
      </c>
      <c r="Y44" s="58"/>
      <c r="Z44" s="64"/>
      <c r="AA44" s="78">
        <v>26890.07</v>
      </c>
      <c r="AB44" s="156">
        <v>0</v>
      </c>
      <c r="AC44" s="157"/>
      <c r="AD44" s="65"/>
      <c r="AE44" s="63">
        <v>24056.720000000001</v>
      </c>
      <c r="AF44" s="63">
        <v>0</v>
      </c>
      <c r="AG44" s="158"/>
      <c r="AH44" s="66"/>
      <c r="AI44" s="173">
        <v>0</v>
      </c>
      <c r="AJ44" s="154">
        <v>0</v>
      </c>
      <c r="AK44" s="154"/>
      <c r="AL44" s="174"/>
      <c r="AM44" s="49">
        <v>0</v>
      </c>
      <c r="AN44" s="49">
        <v>0</v>
      </c>
      <c r="AO44" s="49"/>
      <c r="AP44" s="51"/>
      <c r="AQ44" s="159">
        <v>0</v>
      </c>
      <c r="AR44" s="199">
        <v>0</v>
      </c>
      <c r="AS44" s="199"/>
      <c r="AT44" s="199"/>
      <c r="AU44" s="211">
        <v>0</v>
      </c>
      <c r="AV44" s="211">
        <v>0</v>
      </c>
      <c r="AW44" s="211"/>
      <c r="AX44" s="211"/>
      <c r="AY44" s="130">
        <v>0</v>
      </c>
      <c r="AZ44" s="130">
        <v>0</v>
      </c>
      <c r="BA44" s="130"/>
      <c r="BB44" s="130"/>
      <c r="BC44" s="146"/>
      <c r="BD44" s="137"/>
      <c r="BE44" s="137"/>
      <c r="BF44" s="137"/>
      <c r="BG44" s="253"/>
      <c r="BH44" s="253"/>
      <c r="BI44" s="253"/>
      <c r="BJ44" s="227"/>
      <c r="BK44" s="227"/>
      <c r="BL44" s="227"/>
      <c r="BM44" s="227"/>
      <c r="BN44" s="234"/>
      <c r="BO44" s="234"/>
      <c r="BP44" s="234"/>
      <c r="BQ44" s="234"/>
      <c r="BR44" s="244"/>
      <c r="BS44" s="244"/>
      <c r="BT44" s="244"/>
      <c r="BU44" s="244"/>
      <c r="BV44" s="26">
        <f t="shared" si="45"/>
        <v>0</v>
      </c>
      <c r="BW44" s="44">
        <f t="shared" si="46"/>
        <v>0</v>
      </c>
      <c r="BX44" s="43">
        <f t="shared" si="47"/>
        <v>0</v>
      </c>
      <c r="BY44" s="43">
        <f t="shared" si="48"/>
        <v>0</v>
      </c>
      <c r="BZ44" s="43">
        <f t="shared" si="49"/>
        <v>0</v>
      </c>
      <c r="CA44" s="43">
        <f t="shared" si="50"/>
        <v>0</v>
      </c>
      <c r="CB44" s="43">
        <f t="shared" si="51"/>
        <v>0</v>
      </c>
      <c r="CC44" s="43">
        <f t="shared" si="52"/>
        <v>0</v>
      </c>
      <c r="CD44" s="43">
        <f t="shared" si="53"/>
        <v>0</v>
      </c>
      <c r="CE44" s="43">
        <f t="shared" si="54"/>
        <v>0</v>
      </c>
      <c r="CF44" s="43">
        <f t="shared" si="55"/>
        <v>0.125</v>
      </c>
      <c r="CG44" s="43">
        <f t="shared" si="56"/>
        <v>0.25</v>
      </c>
      <c r="CH44" s="43">
        <f t="shared" si="57"/>
        <v>0.375</v>
      </c>
      <c r="CI44" s="43">
        <f t="shared" si="58"/>
        <v>0.5</v>
      </c>
      <c r="CJ44" s="43">
        <f t="shared" si="59"/>
        <v>0.625</v>
      </c>
      <c r="CK44" s="43">
        <f t="shared" si="60"/>
        <v>0</v>
      </c>
      <c r="CL44" s="43">
        <f t="shared" si="61"/>
        <v>0.75</v>
      </c>
      <c r="CM44" s="43">
        <f t="shared" si="62"/>
        <v>0.875</v>
      </c>
      <c r="CN44" s="43">
        <f t="shared" si="63"/>
        <v>1</v>
      </c>
      <c r="CO44" s="239">
        <f t="shared" si="64"/>
        <v>153091.81329945009</v>
      </c>
      <c r="CP44" s="239">
        <f t="shared" si="65"/>
        <v>153091.81329945009</v>
      </c>
      <c r="CQ44" s="239">
        <f t="shared" si="66"/>
        <v>0</v>
      </c>
    </row>
    <row r="45" spans="1:95" s="1" customFormat="1" ht="12.75" customHeight="1" thickBot="1" x14ac:dyDescent="0.35">
      <c r="A45" s="9"/>
      <c r="B45" s="13" t="s">
        <v>34</v>
      </c>
      <c r="C45" s="18"/>
      <c r="D45" s="38">
        <v>64380215.578287996</v>
      </c>
      <c r="E45" s="38"/>
      <c r="F45" s="38">
        <v>36745444.950886555</v>
      </c>
      <c r="G45" s="67">
        <v>1262365.3598000002</v>
      </c>
      <c r="H45" s="67">
        <v>0</v>
      </c>
      <c r="I45" s="67"/>
      <c r="J45" s="67"/>
      <c r="K45" s="116">
        <v>2422005.5850740555</v>
      </c>
      <c r="L45" s="116">
        <v>315949</v>
      </c>
      <c r="M45" s="116"/>
      <c r="N45" s="116"/>
      <c r="O45" s="68">
        <v>2468106.6800000002</v>
      </c>
      <c r="P45" s="68">
        <v>0</v>
      </c>
      <c r="Q45" s="68"/>
      <c r="R45" s="68"/>
      <c r="S45" s="120">
        <v>2636963</v>
      </c>
      <c r="T45" s="121">
        <v>0</v>
      </c>
      <c r="U45" s="121"/>
      <c r="V45" s="122"/>
      <c r="W45" s="67">
        <v>2901614.0900000003</v>
      </c>
      <c r="X45" s="67">
        <v>0</v>
      </c>
      <c r="Y45" s="67"/>
      <c r="Z45" s="67"/>
      <c r="AA45" s="116">
        <v>4650052.8100000005</v>
      </c>
      <c r="AB45" s="116">
        <v>556386.07000000007</v>
      </c>
      <c r="AC45" s="116"/>
      <c r="AD45" s="116"/>
      <c r="AE45" s="68">
        <v>5437854.6999999993</v>
      </c>
      <c r="AF45" s="68">
        <v>0</v>
      </c>
      <c r="AG45" s="68"/>
      <c r="AH45" s="117"/>
      <c r="AI45" s="120">
        <v>7755169.0999999968</v>
      </c>
      <c r="AJ45" s="121">
        <v>0</v>
      </c>
      <c r="AK45" s="121"/>
      <c r="AL45" s="122"/>
      <c r="AM45" s="52">
        <v>5445007.6719999984</v>
      </c>
      <c r="AN45" s="52">
        <v>0</v>
      </c>
      <c r="AO45" s="52"/>
      <c r="AP45" s="52"/>
      <c r="AQ45" s="208">
        <v>6483412.9600000028</v>
      </c>
      <c r="AR45" s="203">
        <v>0</v>
      </c>
      <c r="AS45" s="203"/>
      <c r="AT45" s="203"/>
      <c r="AU45" s="215">
        <v>4744163.7299999967</v>
      </c>
      <c r="AV45" s="215">
        <v>0</v>
      </c>
      <c r="AW45" s="215"/>
      <c r="AX45" s="215"/>
      <c r="AY45" s="133">
        <v>8655575.7579999957</v>
      </c>
      <c r="AZ45" s="133">
        <v>0</v>
      </c>
      <c r="BA45" s="133"/>
      <c r="BB45" s="133"/>
      <c r="BC45" s="148">
        <f>+SUM(BC14:BC44)</f>
        <v>8595478.4899999984</v>
      </c>
      <c r="BD45" s="140"/>
      <c r="BE45" s="140"/>
      <c r="BF45" s="140"/>
      <c r="BG45" s="255">
        <f>+SUM(BG14:BG44)</f>
        <v>6931047.2479580687</v>
      </c>
      <c r="BH45" s="255">
        <f>+SUM(BH14:BH44)</f>
        <v>5763524.5579580693</v>
      </c>
      <c r="BI45" s="255">
        <f>+SUM(BI14:BI44)</f>
        <v>4907911.2199999988</v>
      </c>
      <c r="BJ45" s="229">
        <f>+SUM(BJ14:BJ44)</f>
        <v>10289030.280000001</v>
      </c>
      <c r="BK45" s="229">
        <f>+SUM(BK14:BK44)</f>
        <v>0</v>
      </c>
      <c r="BL45" s="229"/>
      <c r="BM45" s="229"/>
      <c r="BN45" s="235">
        <f t="shared" ref="BN45:BU45" si="67">+SUM(BN14:BN44)</f>
        <v>23273467.399999995</v>
      </c>
      <c r="BO45" s="235">
        <f t="shared" si="67"/>
        <v>0</v>
      </c>
      <c r="BP45" s="235"/>
      <c r="BQ45" s="235"/>
      <c r="BR45" s="228">
        <f t="shared" si="67"/>
        <v>16573617.789999997</v>
      </c>
      <c r="BS45" s="228">
        <f t="shared" si="67"/>
        <v>65610.73</v>
      </c>
      <c r="BT45" s="228"/>
      <c r="BU45" s="228">
        <f t="shared" si="67"/>
        <v>0</v>
      </c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240">
        <f>SUM(CO14:CO44)</f>
        <v>165084041.74508554</v>
      </c>
      <c r="CP45" s="240">
        <f>SUM(CP14:CP44)</f>
        <v>5892927.4859758327</v>
      </c>
      <c r="CQ45" s="240">
        <f>SUM(CQ14:CQ44)</f>
        <v>82586371.036398292</v>
      </c>
    </row>
    <row r="46" spans="1:95" ht="12.75" customHeight="1" thickBot="1" x14ac:dyDescent="0.3">
      <c r="A46" s="478" t="s">
        <v>35</v>
      </c>
      <c r="B46" s="19" t="s">
        <v>36</v>
      </c>
      <c r="C46" s="20">
        <v>22</v>
      </c>
      <c r="D46" s="42">
        <v>2957226.5007306808</v>
      </c>
      <c r="E46" s="151"/>
      <c r="F46" s="175">
        <v>1915114.0768671127</v>
      </c>
      <c r="G46" s="87">
        <v>383603.42</v>
      </c>
      <c r="H46" s="110"/>
      <c r="I46" s="127"/>
      <c r="J46" s="110"/>
      <c r="K46" s="89">
        <v>723366.95</v>
      </c>
      <c r="L46" s="111"/>
      <c r="M46" s="153"/>
      <c r="N46" s="112"/>
      <c r="O46" s="92">
        <v>345218.57</v>
      </c>
      <c r="P46" s="113"/>
      <c r="Q46" s="94"/>
      <c r="R46" s="113"/>
      <c r="S46" s="176">
        <v>343113</v>
      </c>
      <c r="T46" s="177"/>
      <c r="U46" s="154"/>
      <c r="V46" s="178"/>
      <c r="W46" s="58">
        <v>288347.67</v>
      </c>
      <c r="X46" s="58">
        <v>0</v>
      </c>
      <c r="Y46" s="58"/>
      <c r="Z46" s="79"/>
      <c r="AA46" s="76">
        <v>301261.25000000006</v>
      </c>
      <c r="AB46" s="156">
        <v>0</v>
      </c>
      <c r="AC46" s="157"/>
      <c r="AD46" s="80"/>
      <c r="AE46" s="81">
        <v>418664.33</v>
      </c>
      <c r="AF46" s="63">
        <v>0</v>
      </c>
      <c r="AG46" s="158"/>
      <c r="AH46" s="82"/>
      <c r="AI46" s="176">
        <v>191547.63</v>
      </c>
      <c r="AJ46" s="154">
        <v>0</v>
      </c>
      <c r="AK46" s="154"/>
      <c r="AL46" s="178"/>
      <c r="AM46" s="49">
        <v>284788.3</v>
      </c>
      <c r="AN46" s="49">
        <v>0</v>
      </c>
      <c r="AO46" s="49"/>
      <c r="AP46" s="179"/>
      <c r="AQ46" s="159">
        <v>417455.78889137268</v>
      </c>
      <c r="AR46" s="204">
        <v>0</v>
      </c>
      <c r="AS46" s="204"/>
      <c r="AT46" s="204"/>
      <c r="AU46" s="216">
        <v>846640.63000000012</v>
      </c>
      <c r="AV46" s="216">
        <v>0</v>
      </c>
      <c r="AW46" s="216"/>
      <c r="AX46" s="216"/>
      <c r="AY46" s="134">
        <v>696982</v>
      </c>
      <c r="AZ46" s="134">
        <v>0</v>
      </c>
      <c r="BA46" s="134"/>
      <c r="BB46" s="134"/>
      <c r="BC46" s="149">
        <v>611593.03</v>
      </c>
      <c r="BD46" s="141"/>
      <c r="BE46" s="141"/>
      <c r="BF46" s="141"/>
      <c r="BG46" s="256"/>
      <c r="BH46" s="256"/>
      <c r="BI46" s="256"/>
      <c r="BJ46" s="230">
        <v>717101.01</v>
      </c>
      <c r="BK46" s="230"/>
      <c r="BL46" s="230"/>
      <c r="BM46" s="230"/>
      <c r="BN46" s="236">
        <v>778834.53</v>
      </c>
      <c r="BO46" s="236"/>
      <c r="BP46" s="236"/>
      <c r="BQ46" s="236"/>
      <c r="BR46" s="245">
        <v>1066066.3500000001</v>
      </c>
      <c r="BS46" s="245"/>
      <c r="BT46" s="245"/>
      <c r="BU46" s="245"/>
      <c r="BV46" s="26">
        <f>IF(D46=0,0,2001-(D46-F46)*C46/D46)</f>
        <v>1993.2473056022818</v>
      </c>
      <c r="BW46" s="48">
        <f>IF((1-($CO$2-$BV46)/$C46)&gt;0,(1-($CO$2-$BV46)/$C46),0)</f>
        <v>0</v>
      </c>
      <c r="BX46" s="43">
        <f>IF((1-($CO$2-G$2)/$C46)&gt;0,(1-($CO$2-G$2)/$C46),0)</f>
        <v>0.31818181818181823</v>
      </c>
      <c r="BY46" s="43">
        <f>IF((1-($CO$2-K$2)/$C46)&gt;0,(1-($CO$2-K$2)/$C46),0)</f>
        <v>0.36363636363636365</v>
      </c>
      <c r="BZ46" s="43">
        <f>IF((1-($CO$2-O$2)/$C46)&gt;0,(1-($CO$2-O$2)/$C46),0)</f>
        <v>0.40909090909090906</v>
      </c>
      <c r="CA46" s="43">
        <f>IF((1-($CO$2-S$2)/$C46)&gt;0,(1-($CO$2-S$2)/$C46),0)</f>
        <v>0.45454545454545459</v>
      </c>
      <c r="CB46" s="43">
        <f>IF((1-($CO$2-W$2)/$C46)&gt;0,(1-($CO$2-W$2)/$C46),0)</f>
        <v>0.5</v>
      </c>
      <c r="CC46" s="43">
        <f>IF((1-($CO$2-AA$2)/$C46)&gt;0,(1-($CO$2-AA$2)/$C46),0)</f>
        <v>0.54545454545454541</v>
      </c>
      <c r="CD46" s="43">
        <f>IF((1-($CO$2-AE$2)/$C46)&gt;0,(1-($CO$2-AE$2)/$C46),0)</f>
        <v>0.59090909090909083</v>
      </c>
      <c r="CE46" s="43">
        <f>IF((1-($CO$2-AI$2)/$C46)&gt;0,(1-($CO$2-AI$2)/$C46),0)</f>
        <v>0.63636363636363635</v>
      </c>
      <c r="CF46" s="43">
        <f>IF((1-($CO$2-AM$2)/$C46)&gt;0,(1-($CO$2-AM$2)/$C46),0)</f>
        <v>0.68181818181818188</v>
      </c>
      <c r="CG46" s="43">
        <f>IF((1-($CO$2-AQ$2)/$C46)&gt;0,(1-($CO$2-AQ$2)/$C46),0)</f>
        <v>0.72727272727272729</v>
      </c>
      <c r="CH46" s="43">
        <f>IF((1-($CO$2-AU$2)/$C46)&gt;0,(1-($CO$2-AU$2)/$C46),0)</f>
        <v>0.77272727272727271</v>
      </c>
      <c r="CI46" s="43">
        <f>IF((1-($CO$2-AY$2)/$C46)&gt;0,(1-($CO$2-AY$2)/$C46),0)</f>
        <v>0.81818181818181812</v>
      </c>
      <c r="CJ46" s="43">
        <f>IF((1-($CO$2-BC$2)/$C46)&gt;0,(1-($CO$2-BC$2)/$C46),0)</f>
        <v>0.86363636363636365</v>
      </c>
      <c r="CK46" s="43">
        <f>IF(BG46=0,0,1-($CO$2-(2014.5-(BG46-BI46)*C46/BG46))/C46)</f>
        <v>0</v>
      </c>
      <c r="CL46" s="43">
        <f>IF((1-($CO$2-BJ$2)/$C46)&gt;0,(1-($CO$2-BJ$2)/$C46),0)</f>
        <v>0.90909090909090906</v>
      </c>
      <c r="CM46" s="43">
        <f>IF((1-($CO$2-BN$2)/$C46)&gt;0,(1-($CO$2-BN$2)/$C46),0)</f>
        <v>0.95454545454545459</v>
      </c>
      <c r="CN46" s="43">
        <f>IF((1-($CO$2-BR$2)/$C46)&gt;0,(1-($CO$2-BR$2)/$C46),0)</f>
        <v>1</v>
      </c>
      <c r="CO46" s="239">
        <f>D46-E46+(G46-I46)*G$62+(K46-M46)*K$62+(O46-Q46)*O$61+(S46-U46)*S$62+(W46-Y46)*W$62+(AA46-AC46)*AA$62+(AE46-AG46)*AE$62+(AI46-AK46)*AI$62+(AM46-AO46)*AM$62+(AQ46-AS46)*$AQ$62+(AU46-AW46)*$AU$62+(AY46-BA46)*$AY$62+(BC46-BE46)*$BC$62+(BJ46-BL46)*$BJ$62+BG46+(BN46-BP46)*$BN$62+(BR46-BT46)*$BR$62</f>
        <v>10904593.017022716</v>
      </c>
      <c r="CP46" s="239">
        <f>CO46-(IF(BW46=0,0,D46-E46)+IF(BX46=0,0,(G46-I46)*G$62)+IF(BY46=0,0,(K46-M46)*K$62)+IF(BZ46=0,0,(O46-Q46)*O$62)+IF(CA46=0,0,(S46-U46)*S$62)+IF(CB46=0,0,(W46-Y46)*W$62)+IF(CC46=0,0,(AA46-AC46)*AA$62)+IF(CD46=0,0,(AE46-AG46)*AE$62)+IF(CE46=0,0,(AI46-AK46)*AI$62)+IF(CF46=0,0,(AM46-AO46)*AM$62)+IF(CG46=0,0,(AQ46-AS46)*$AQ$62)+IF(CH46=0,0,(AU46-AW46)*$AU$62)+IF(CI46=0,0,(AY46-BA46)*$AY$62)++IF(CJ46=0,0,(BC46-BE46)*$BC$62)+IF(CL46=0,0,(BJ46-BL46)*$BJ$62)+IF(CK46=0,0,BG46)+IF(CM46=0,0,(BN46-BP46)*$BN$62)+IF(CN46=0,0,(BR46-BT46)*$BR$62))</f>
        <v>2903353.7205313426</v>
      </c>
      <c r="CQ46" s="239">
        <f>(D46-E46)*BW46+((G46-H46-(I46-J46))*G$62)*BX46+((K46-L46-(M46-N46))*K$62)*BY46+((O46-P46-(Q46-R46))*O$62)*BZ46+((S46-T46-(U46-V46))*S$62)*CA46+((W46-X46-(Y46-Z46))*W$62)*CB46+((AA46-AB46-(AC46-AD46))*AA$62)*CC46+((AE46-AF46-(AG46-AH46))*AE$62)*CD46+((AI46-AJ46-(AK46-AL46))*AI$62)*CE46+((AM46-AN46-(AO46-AP46))*$AM$62)*CF46+((AQ46-AR46-(AS46-AT46))*$AQ$62)*CG46+((AU46-AV46-(AW46-AX46))*$AU$62)*CH46+((AY46-AZ46-(BA46-BB46))*$AY$62)*CI46+((BC46-BD46-(BF46-BV46))*$BC$62)*CJ46+((BJ46-BK46-(BL46-BM46))*$BJ$62)*CL46+(BG46-BH46)*CK46+((BN46-BO46-(BP46-BQ46))*$BN$62)*CM46+((BR46-BS46-(BT46-BU46))*$BR$62)*CN46</f>
        <v>5720296.902399444</v>
      </c>
    </row>
    <row r="47" spans="1:95" s="1" customFormat="1" ht="12.75" customHeight="1" thickBot="1" x14ac:dyDescent="0.35">
      <c r="A47" s="480"/>
      <c r="B47" s="13" t="s">
        <v>37</v>
      </c>
      <c r="C47" s="18"/>
      <c r="D47" s="38">
        <v>2957226.5007306808</v>
      </c>
      <c r="E47" s="38"/>
      <c r="F47" s="38">
        <v>1915114.0768671127</v>
      </c>
      <c r="G47" s="67">
        <v>383603.42</v>
      </c>
      <c r="H47" s="67">
        <v>0</v>
      </c>
      <c r="I47" s="67"/>
      <c r="J47" s="67"/>
      <c r="K47" s="116">
        <v>723366.95</v>
      </c>
      <c r="L47" s="116">
        <v>0</v>
      </c>
      <c r="M47" s="116"/>
      <c r="N47" s="116"/>
      <c r="O47" s="68">
        <v>345218.57</v>
      </c>
      <c r="P47" s="68">
        <v>0</v>
      </c>
      <c r="Q47" s="68"/>
      <c r="R47" s="68"/>
      <c r="S47" s="120">
        <v>343113</v>
      </c>
      <c r="T47" s="121">
        <v>0</v>
      </c>
      <c r="U47" s="121"/>
      <c r="V47" s="122"/>
      <c r="W47" s="67">
        <v>288347.67</v>
      </c>
      <c r="X47" s="67">
        <v>0</v>
      </c>
      <c r="Y47" s="67"/>
      <c r="Z47" s="67"/>
      <c r="AA47" s="116">
        <v>301261.25000000006</v>
      </c>
      <c r="AB47" s="116">
        <v>0</v>
      </c>
      <c r="AC47" s="116"/>
      <c r="AD47" s="116"/>
      <c r="AE47" s="68">
        <v>418664.33</v>
      </c>
      <c r="AF47" s="68">
        <v>0</v>
      </c>
      <c r="AG47" s="68"/>
      <c r="AH47" s="117"/>
      <c r="AI47" s="120">
        <v>191547.63</v>
      </c>
      <c r="AJ47" s="121">
        <v>0</v>
      </c>
      <c r="AK47" s="121"/>
      <c r="AL47" s="122"/>
      <c r="AM47" s="52">
        <v>284788.3</v>
      </c>
      <c r="AN47" s="52">
        <v>0</v>
      </c>
      <c r="AO47" s="52"/>
      <c r="AP47" s="52"/>
      <c r="AQ47" s="208">
        <v>417455.78889137268</v>
      </c>
      <c r="AR47" s="203">
        <v>0</v>
      </c>
      <c r="AS47" s="203"/>
      <c r="AT47" s="203"/>
      <c r="AU47" s="215">
        <v>846640.63000000012</v>
      </c>
      <c r="AV47" s="215">
        <v>0</v>
      </c>
      <c r="AW47" s="215"/>
      <c r="AX47" s="215"/>
      <c r="AY47" s="133">
        <v>696982</v>
      </c>
      <c r="AZ47" s="133">
        <v>0</v>
      </c>
      <c r="BA47" s="133"/>
      <c r="BB47" s="133"/>
      <c r="BC47" s="148">
        <f>+BC46</f>
        <v>611593.03</v>
      </c>
      <c r="BD47" s="140"/>
      <c r="BE47" s="140"/>
      <c r="BF47" s="140"/>
      <c r="BG47" s="255">
        <f>+BG46</f>
        <v>0</v>
      </c>
      <c r="BH47" s="255">
        <f>+BH46</f>
        <v>0</v>
      </c>
      <c r="BI47" s="255">
        <f>+BI46</f>
        <v>0</v>
      </c>
      <c r="BJ47" s="229">
        <f>+BJ46</f>
        <v>717101.01</v>
      </c>
      <c r="BK47" s="229">
        <f>+BK46</f>
        <v>0</v>
      </c>
      <c r="BL47" s="229"/>
      <c r="BM47" s="229"/>
      <c r="BN47" s="235">
        <f t="shared" ref="BN47:BU47" si="68">+BN46</f>
        <v>778834.53</v>
      </c>
      <c r="BO47" s="235">
        <f t="shared" si="68"/>
        <v>0</v>
      </c>
      <c r="BP47" s="235"/>
      <c r="BQ47" s="235"/>
      <c r="BR47" s="228">
        <f t="shared" si="68"/>
        <v>1066066.3500000001</v>
      </c>
      <c r="BS47" s="228">
        <f t="shared" si="68"/>
        <v>0</v>
      </c>
      <c r="BT47" s="228"/>
      <c r="BU47" s="228">
        <f t="shared" si="68"/>
        <v>0</v>
      </c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240">
        <f>CO46</f>
        <v>10904593.017022716</v>
      </c>
      <c r="CP47" s="240">
        <f>CP46</f>
        <v>2903353.7205313426</v>
      </c>
      <c r="CQ47" s="240">
        <f>CQ46</f>
        <v>5720296.902399444</v>
      </c>
    </row>
    <row r="48" spans="1:95" ht="12.75" customHeight="1" x14ac:dyDescent="0.25">
      <c r="A48" s="478" t="s">
        <v>38</v>
      </c>
      <c r="B48" s="27" t="s">
        <v>17</v>
      </c>
      <c r="C48" s="12">
        <v>4</v>
      </c>
      <c r="D48" s="39">
        <v>0</v>
      </c>
      <c r="E48" s="151"/>
      <c r="F48" s="180">
        <v>0</v>
      </c>
      <c r="G48" s="87">
        <v>0</v>
      </c>
      <c r="H48" s="100"/>
      <c r="I48" s="127"/>
      <c r="J48" s="100"/>
      <c r="K48" s="89">
        <v>0</v>
      </c>
      <c r="L48" s="101"/>
      <c r="M48" s="153"/>
      <c r="N48" s="102"/>
      <c r="O48" s="92">
        <v>0</v>
      </c>
      <c r="P48" s="103"/>
      <c r="Q48" s="94"/>
      <c r="R48" s="103"/>
      <c r="S48" s="166">
        <v>0</v>
      </c>
      <c r="T48" s="181"/>
      <c r="U48" s="154"/>
      <c r="V48" s="167"/>
      <c r="W48" s="58">
        <v>0</v>
      </c>
      <c r="X48" s="58">
        <v>0</v>
      </c>
      <c r="Y48" s="58"/>
      <c r="Z48" s="69"/>
      <c r="AA48" s="76">
        <v>0</v>
      </c>
      <c r="AB48" s="156">
        <v>0</v>
      </c>
      <c r="AC48" s="157"/>
      <c r="AD48" s="71"/>
      <c r="AE48" s="63">
        <v>0</v>
      </c>
      <c r="AF48" s="63">
        <v>0</v>
      </c>
      <c r="AG48" s="158"/>
      <c r="AH48" s="72"/>
      <c r="AI48" s="166">
        <v>0</v>
      </c>
      <c r="AJ48" s="154">
        <v>0</v>
      </c>
      <c r="AK48" s="154"/>
      <c r="AL48" s="167"/>
      <c r="AM48" s="49">
        <v>0</v>
      </c>
      <c r="AN48" s="49">
        <v>0</v>
      </c>
      <c r="AO48" s="49"/>
      <c r="AP48" s="182"/>
      <c r="AQ48" s="159">
        <v>0</v>
      </c>
      <c r="AR48" s="201">
        <v>0</v>
      </c>
      <c r="AS48" s="201"/>
      <c r="AT48" s="201"/>
      <c r="AU48" s="213">
        <v>0</v>
      </c>
      <c r="AV48" s="213">
        <v>0</v>
      </c>
      <c r="AW48" s="213"/>
      <c r="AX48" s="213"/>
      <c r="AY48" s="132">
        <v>0</v>
      </c>
      <c r="AZ48" s="132">
        <v>0</v>
      </c>
      <c r="BA48" s="132"/>
      <c r="BB48" s="132"/>
      <c r="BC48" s="146"/>
      <c r="BD48" s="139"/>
      <c r="BE48" s="139"/>
      <c r="BF48" s="139"/>
      <c r="BG48" s="257"/>
      <c r="BH48" s="257"/>
      <c r="BI48" s="257"/>
      <c r="BJ48" s="231"/>
      <c r="BK48" s="231"/>
      <c r="BL48" s="231"/>
      <c r="BM48" s="231"/>
      <c r="BN48" s="237"/>
      <c r="BO48" s="237"/>
      <c r="BP48" s="237"/>
      <c r="BQ48" s="237"/>
      <c r="BR48" s="246"/>
      <c r="BS48" s="246"/>
      <c r="BT48" s="246"/>
      <c r="BU48" s="246"/>
      <c r="BV48" s="26">
        <f t="shared" ref="BV48:BV57" si="69">IF(D48=0,0,2001-(D48-F48)*C48/D48)</f>
        <v>0</v>
      </c>
      <c r="BW48" s="46">
        <f t="shared" ref="BW48:BW57" si="70">IF((1-($CO$2-$BV48)/$C48)&gt;0,(1-($CO$2-$BV48)/$C48),0)</f>
        <v>0</v>
      </c>
      <c r="BX48" s="43">
        <f t="shared" ref="BX48:BX57" si="71">IF((1-($CO$2-G$2)/$C48)&gt;0,(1-($CO$2-G$2)/$C48),0)</f>
        <v>0</v>
      </c>
      <c r="BY48" s="43">
        <f t="shared" ref="BY48:BY57" si="72">IF((1-($CO$2-K$2)/$C48)&gt;0,(1-($CO$2-K$2)/$C48),0)</f>
        <v>0</v>
      </c>
      <c r="BZ48" s="43">
        <f t="shared" ref="BZ48:BZ57" si="73">IF((1-($CO$2-O$2)/$C48)&gt;0,(1-($CO$2-O$2)/$C48),0)</f>
        <v>0</v>
      </c>
      <c r="CA48" s="43">
        <f t="shared" ref="CA48:CA57" si="74">IF((1-($CO$2-S$2)/$C48)&gt;0,(1-($CO$2-S$2)/$C48),0)</f>
        <v>0</v>
      </c>
      <c r="CB48" s="43">
        <f t="shared" ref="CB48:CB57" si="75">IF((1-($CO$2-W$2)/$C48)&gt;0,(1-($CO$2-W$2)/$C48),0)</f>
        <v>0</v>
      </c>
      <c r="CC48" s="43">
        <f t="shared" ref="CC48:CC57" si="76">IF((1-($CO$2-AA$2)/$C48)&gt;0,(1-($CO$2-AA$2)/$C48),0)</f>
        <v>0</v>
      </c>
      <c r="CD48" s="43">
        <f t="shared" ref="CD48:CD57" si="77">IF((1-($CO$2-AE$2)/$C48)&gt;0,(1-($CO$2-AE$2)/$C48),0)</f>
        <v>0</v>
      </c>
      <c r="CE48" s="43">
        <f t="shared" ref="CE48:CE57" si="78">IF((1-($CO$2-AI$2)/$C48)&gt;0,(1-($CO$2-AI$2)/$C48),0)</f>
        <v>0</v>
      </c>
      <c r="CF48" s="43">
        <f t="shared" ref="CF48:CF57" si="79">IF((1-($CO$2-AM$2)/$C48)&gt;0,(1-($CO$2-AM$2)/$C48),0)</f>
        <v>0</v>
      </c>
      <c r="CG48" s="43">
        <f t="shared" ref="CG48:CG57" si="80">IF((1-($CO$2-AQ$2)/$C48)&gt;0,(1-($CO$2-AQ$2)/$C48),0)</f>
        <v>0</v>
      </c>
      <c r="CH48" s="43">
        <f t="shared" ref="CH48:CH57" si="81">IF((1-($CO$2-AU$2)/$C48)&gt;0,(1-($CO$2-AU$2)/$C48),0)</f>
        <v>0</v>
      </c>
      <c r="CI48" s="43">
        <f t="shared" ref="CI48:CI57" si="82">IF((1-($CO$2-AY$2)/$C48)&gt;0,(1-($CO$2-AY$2)/$C48),0)</f>
        <v>0</v>
      </c>
      <c r="CJ48" s="43">
        <f t="shared" ref="CJ48:CJ57" si="83">IF((1-($CO$2-BC$2)/$C48)&gt;0,(1-($CO$2-BC$2)/$C48),0)</f>
        <v>0.25</v>
      </c>
      <c r="CK48" s="43">
        <f t="shared" ref="CK48:CK57" si="84">IF(BG48=0,0,1-($CO$2-(2014.5-(BG48-BI48)*C48/BG48))/C48)</f>
        <v>0</v>
      </c>
      <c r="CL48" s="43">
        <f t="shared" ref="CL48:CL57" si="85">IF((1-($CO$2-BJ$2)/$C48)&gt;0,(1-($CO$2-BJ$2)/$C48),0)</f>
        <v>0.5</v>
      </c>
      <c r="CM48" s="43">
        <f t="shared" ref="CM48:CM57" si="86">IF((1-($CO$2-BN$2)/$C48)&gt;0,(1-($CO$2-BN$2)/$C48),0)</f>
        <v>0.75</v>
      </c>
      <c r="CN48" s="43">
        <f t="shared" ref="CN48:CN57" si="87">IF((1-($CO$2-BR$2)/$C48)&gt;0,(1-($CO$2-BR$2)/$C48),0)</f>
        <v>1</v>
      </c>
      <c r="CO48" s="239">
        <f t="shared" ref="CO48:CO57" si="88">D48-E48+(G48-I48)*G$63+(K48-M48)*K$63+(O48-Q48)*O$63+(S48-U48)*S$63+(W48-Y48)*W$63+(AA48-AC48)*AA$63+(AE48-AG48)*AE$63+(AI48-AK48)*AI$63+(AM48-AO48)*AM$63+(AQ48-AS48)*$AQ$63+(AU48-AW48)*$AU$63+(AY48-BA48)*$AY$63+(BC48-BE48)*$BC$63+(BJ48-BL48)*$BJ$63+BG48+(BN48-BP48)*$BN$63+(BR48-BT48)*$BR$63</f>
        <v>0</v>
      </c>
      <c r="CP48" s="239">
        <f t="shared" ref="CP48:CP57" si="89">CO48-(IF(BW48=0,0,D48-E48)+IF(BX48=0,0,(G48-I48)*G$63)+IF(BY48=0,0,(K48-M48)*K$63)+IF(BZ48=0,0,(O48-Q48)*O$63)+IF(CA48=0,0,(S48-U48)*S$63)+IF(CB48=0,0,(W48-Y48)*W$63)+IF(CC48=0,0,(AA48-AC48)*AA$63)+IF(CD48=0,0,(AE48-AG48)*AE$63)+IF(CE48=0,0,(AI48-AK48)*AI$63)+IF(CF48=0,0,(AM48-AO48)*AM$63)+IF(CG48=0,0,(AQ48-AS48)*$AQ$63)+IF(CH48=0,0,(AU48-AW48)*$AU$63)+IF(CI48=0,0,(AY48-BA48)*$AY$63)++IF(CJ48=0,0,(BC48-BE48)*$BC$63)+IF(CL48=0,0,(BJ48-BL48)*$BJ$63)+IF(CK48=0,0,BG48)+IF(CM48=0,0,(BN48-BP48)*$BN$63)+IF(CN48=0,0,(BR48-BT48)*$BR$63))</f>
        <v>0</v>
      </c>
      <c r="CQ48" s="239">
        <f t="shared" ref="CQ48:CQ57" si="90">(D48-E48)*BW48+((G48-H48-(I48-J48))*G$63)*BX48+((K48-L48-(M48-N48))*K$63)*BY48+((O48-P48-(Q48-R48))*O$63)*BZ48+((S48-T48-(U48-V48))*S$63)*CA48+((W48-X48-(Y48-Z48))*W$63)*CB48+((AA48-AB48-(AC48-AD48))*AA$63)*CC48+((AE48-AF48-(AG48-AH48))*AE$63)*CD48+((AI48-AJ48-(AK48-AL48))*AI$63)*CE48+((AM48-AN48-(AO48-AP48))*$AM$63)*CF48+((AQ48-AR48-(AS48-AT48))*$AQ$63)*CG48+((AU48-AV48-(AW48-AX48))*$AU$63)*CH48+((AY48-AZ48-(BA48-BB48))*$AY$63)*CI48+((BC48-BD48-(BF48-BV48))*$BC$63)*CJ48+((BJ48-BK48-(BL48-BM48))*$BJ$63)*CL48+(BG48-BH48)*CK48+((BN48-BO48-(BP48-BQ48))*$BN$63)*CM48+((BR48-BS48-(BT48-BU48))*$BR$63)*CN48</f>
        <v>0</v>
      </c>
    </row>
    <row r="49" spans="1:95" ht="12.75" customHeight="1" x14ac:dyDescent="0.25">
      <c r="A49" s="479"/>
      <c r="B49" s="28" t="s">
        <v>39</v>
      </c>
      <c r="C49" s="17">
        <v>1000</v>
      </c>
      <c r="D49" s="37">
        <v>0</v>
      </c>
      <c r="E49" s="151"/>
      <c r="F49" s="160">
        <v>0</v>
      </c>
      <c r="G49" s="87">
        <v>0</v>
      </c>
      <c r="H49" s="88"/>
      <c r="I49" s="127"/>
      <c r="J49" s="88"/>
      <c r="K49" s="89">
        <v>0</v>
      </c>
      <c r="L49" s="90"/>
      <c r="M49" s="153"/>
      <c r="N49" s="91"/>
      <c r="O49" s="95">
        <v>0</v>
      </c>
      <c r="P49" s="93"/>
      <c r="Q49" s="94"/>
      <c r="R49" s="93"/>
      <c r="S49" s="154">
        <v>0</v>
      </c>
      <c r="T49" s="183"/>
      <c r="U49" s="154"/>
      <c r="V49" s="155"/>
      <c r="W49" s="58">
        <v>0</v>
      </c>
      <c r="X49" s="58">
        <v>0</v>
      </c>
      <c r="Y49" s="58"/>
      <c r="Z49" s="59"/>
      <c r="AA49" s="76">
        <v>0</v>
      </c>
      <c r="AB49" s="156">
        <v>0</v>
      </c>
      <c r="AC49" s="157"/>
      <c r="AD49" s="61"/>
      <c r="AE49" s="63">
        <v>0</v>
      </c>
      <c r="AF49" s="63">
        <v>0</v>
      </c>
      <c r="AG49" s="158"/>
      <c r="AH49" s="62"/>
      <c r="AI49" s="154">
        <v>0</v>
      </c>
      <c r="AJ49" s="154">
        <v>0</v>
      </c>
      <c r="AK49" s="154"/>
      <c r="AL49" s="155"/>
      <c r="AM49" s="49">
        <v>0</v>
      </c>
      <c r="AN49" s="49">
        <v>0</v>
      </c>
      <c r="AO49" s="49"/>
      <c r="AP49" s="184"/>
      <c r="AQ49" s="159">
        <v>0</v>
      </c>
      <c r="AR49" s="198">
        <v>0</v>
      </c>
      <c r="AS49" s="198"/>
      <c r="AT49" s="198"/>
      <c r="AU49" s="210">
        <v>0</v>
      </c>
      <c r="AV49" s="210">
        <v>0</v>
      </c>
      <c r="AW49" s="210"/>
      <c r="AX49" s="210"/>
      <c r="AY49" s="129">
        <v>0</v>
      </c>
      <c r="AZ49" s="129">
        <v>0</v>
      </c>
      <c r="BA49" s="129"/>
      <c r="BB49" s="129"/>
      <c r="BC49" s="146"/>
      <c r="BD49" s="136"/>
      <c r="BE49" s="136"/>
      <c r="BF49" s="136"/>
      <c r="BG49" s="252"/>
      <c r="BH49" s="252"/>
      <c r="BI49" s="252"/>
      <c r="BJ49" s="226"/>
      <c r="BK49" s="226"/>
      <c r="BL49" s="226"/>
      <c r="BM49" s="226"/>
      <c r="BN49" s="233"/>
      <c r="BO49" s="233"/>
      <c r="BP49" s="233"/>
      <c r="BQ49" s="233"/>
      <c r="BR49" s="243"/>
      <c r="BS49" s="243"/>
      <c r="BT49" s="243"/>
      <c r="BU49" s="243"/>
      <c r="BV49" s="26">
        <f t="shared" si="69"/>
        <v>0</v>
      </c>
      <c r="BW49" s="46">
        <f t="shared" si="70"/>
        <v>0</v>
      </c>
      <c r="BX49" s="43">
        <f t="shared" si="71"/>
        <v>0.98499999999999999</v>
      </c>
      <c r="BY49" s="43">
        <f t="shared" si="72"/>
        <v>0.98599999999999999</v>
      </c>
      <c r="BZ49" s="43">
        <f t="shared" si="73"/>
        <v>0.98699999999999999</v>
      </c>
      <c r="CA49" s="43">
        <f t="shared" si="74"/>
        <v>0.98799999999999999</v>
      </c>
      <c r="CB49" s="43">
        <f t="shared" si="75"/>
        <v>0.98899999999999999</v>
      </c>
      <c r="CC49" s="43">
        <f t="shared" si="76"/>
        <v>0.99</v>
      </c>
      <c r="CD49" s="43">
        <f t="shared" si="77"/>
        <v>0.99099999999999999</v>
      </c>
      <c r="CE49" s="43">
        <f t="shared" si="78"/>
        <v>0.99199999999999999</v>
      </c>
      <c r="CF49" s="43">
        <f t="shared" si="79"/>
        <v>0.99299999999999999</v>
      </c>
      <c r="CG49" s="43">
        <f t="shared" si="80"/>
        <v>0.99399999999999999</v>
      </c>
      <c r="CH49" s="43">
        <f t="shared" si="81"/>
        <v>0.995</v>
      </c>
      <c r="CI49" s="43">
        <f t="shared" si="82"/>
        <v>0.996</v>
      </c>
      <c r="CJ49" s="43">
        <f t="shared" si="83"/>
        <v>0.997</v>
      </c>
      <c r="CK49" s="43">
        <f t="shared" si="84"/>
        <v>0</v>
      </c>
      <c r="CL49" s="43">
        <f t="shared" si="85"/>
        <v>0.998</v>
      </c>
      <c r="CM49" s="43">
        <f t="shared" si="86"/>
        <v>0.999</v>
      </c>
      <c r="CN49" s="43">
        <f t="shared" si="87"/>
        <v>1</v>
      </c>
      <c r="CO49" s="239">
        <f t="shared" si="88"/>
        <v>0</v>
      </c>
      <c r="CP49" s="239">
        <f t="shared" si="89"/>
        <v>0</v>
      </c>
      <c r="CQ49" s="239">
        <f t="shared" si="90"/>
        <v>0</v>
      </c>
    </row>
    <row r="50" spans="1:95" ht="12.75" customHeight="1" x14ac:dyDescent="0.25">
      <c r="A50" s="479"/>
      <c r="B50" s="28" t="s">
        <v>9</v>
      </c>
      <c r="C50" s="7">
        <v>40</v>
      </c>
      <c r="D50" s="37">
        <v>1075230.2047875901</v>
      </c>
      <c r="E50" s="151"/>
      <c r="F50" s="152">
        <v>828035.68623603997</v>
      </c>
      <c r="G50" s="87">
        <v>0</v>
      </c>
      <c r="H50" s="88"/>
      <c r="I50" s="127"/>
      <c r="J50" s="88"/>
      <c r="K50" s="89">
        <v>0</v>
      </c>
      <c r="L50" s="90"/>
      <c r="M50" s="153"/>
      <c r="N50" s="91"/>
      <c r="O50" s="95">
        <v>0</v>
      </c>
      <c r="P50" s="93"/>
      <c r="Q50" s="94"/>
      <c r="R50" s="93"/>
      <c r="S50" s="154">
        <v>0</v>
      </c>
      <c r="T50" s="183"/>
      <c r="U50" s="154"/>
      <c r="V50" s="155"/>
      <c r="W50" s="58">
        <v>0</v>
      </c>
      <c r="X50" s="58">
        <v>0</v>
      </c>
      <c r="Y50" s="58"/>
      <c r="Z50" s="59"/>
      <c r="AA50" s="76">
        <v>26826.639999999999</v>
      </c>
      <c r="AB50" s="156">
        <v>0</v>
      </c>
      <c r="AC50" s="157"/>
      <c r="AD50" s="61"/>
      <c r="AE50" s="63">
        <v>0</v>
      </c>
      <c r="AF50" s="63">
        <v>0</v>
      </c>
      <c r="AG50" s="158"/>
      <c r="AH50" s="62"/>
      <c r="AI50" s="154">
        <v>0</v>
      </c>
      <c r="AJ50" s="154">
        <v>0</v>
      </c>
      <c r="AK50" s="154"/>
      <c r="AL50" s="155"/>
      <c r="AM50" s="49">
        <v>0</v>
      </c>
      <c r="AN50" s="49">
        <v>0</v>
      </c>
      <c r="AO50" s="49"/>
      <c r="AP50" s="184"/>
      <c r="AQ50" s="159">
        <v>0</v>
      </c>
      <c r="AR50" s="198">
        <v>0</v>
      </c>
      <c r="AS50" s="198"/>
      <c r="AT50" s="198"/>
      <c r="AU50" s="210">
        <v>0</v>
      </c>
      <c r="AV50" s="210">
        <v>0</v>
      </c>
      <c r="AW50" s="210"/>
      <c r="AX50" s="210"/>
      <c r="AY50" s="129">
        <v>0</v>
      </c>
      <c r="AZ50" s="129">
        <v>0</v>
      </c>
      <c r="BA50" s="129"/>
      <c r="BB50" s="129"/>
      <c r="BC50" s="146"/>
      <c r="BD50" s="136"/>
      <c r="BE50" s="136"/>
      <c r="BF50" s="136"/>
      <c r="BG50" s="252"/>
      <c r="BH50" s="252"/>
      <c r="BI50" s="252"/>
      <c r="BJ50" s="226"/>
      <c r="BK50" s="226"/>
      <c r="BL50" s="226"/>
      <c r="BM50" s="226"/>
      <c r="BN50" s="233"/>
      <c r="BO50" s="233"/>
      <c r="BP50" s="233"/>
      <c r="BQ50" s="233"/>
      <c r="BR50" s="243"/>
      <c r="BS50" s="243"/>
      <c r="BT50" s="243"/>
      <c r="BU50" s="243"/>
      <c r="BV50" s="26">
        <f t="shared" si="69"/>
        <v>1991.8040336868928</v>
      </c>
      <c r="BW50" s="43">
        <f t="shared" si="70"/>
        <v>0.3701008421723202</v>
      </c>
      <c r="BX50" s="43">
        <f t="shared" si="71"/>
        <v>0.625</v>
      </c>
      <c r="BY50" s="43">
        <f t="shared" si="72"/>
        <v>0.65</v>
      </c>
      <c r="BZ50" s="43">
        <f t="shared" si="73"/>
        <v>0.67500000000000004</v>
      </c>
      <c r="CA50" s="43">
        <f t="shared" si="74"/>
        <v>0.7</v>
      </c>
      <c r="CB50" s="43">
        <f t="shared" si="75"/>
        <v>0.72499999999999998</v>
      </c>
      <c r="CC50" s="43">
        <f t="shared" si="76"/>
        <v>0.75</v>
      </c>
      <c r="CD50" s="43">
        <f t="shared" si="77"/>
        <v>0.77500000000000002</v>
      </c>
      <c r="CE50" s="43">
        <f t="shared" si="78"/>
        <v>0.8</v>
      </c>
      <c r="CF50" s="43">
        <f t="shared" si="79"/>
        <v>0.82499999999999996</v>
      </c>
      <c r="CG50" s="43">
        <f t="shared" si="80"/>
        <v>0.85</v>
      </c>
      <c r="CH50" s="43">
        <f t="shared" si="81"/>
        <v>0.875</v>
      </c>
      <c r="CI50" s="43">
        <f t="shared" si="82"/>
        <v>0.9</v>
      </c>
      <c r="CJ50" s="43">
        <f t="shared" si="83"/>
        <v>0.92500000000000004</v>
      </c>
      <c r="CK50" s="43">
        <f t="shared" si="84"/>
        <v>0</v>
      </c>
      <c r="CL50" s="43">
        <f t="shared" si="85"/>
        <v>0.95</v>
      </c>
      <c r="CM50" s="43">
        <f t="shared" si="86"/>
        <v>0.97499999999999998</v>
      </c>
      <c r="CN50" s="43">
        <f t="shared" si="87"/>
        <v>1</v>
      </c>
      <c r="CO50" s="239">
        <f t="shared" si="88"/>
        <v>1094161.605459783</v>
      </c>
      <c r="CP50" s="239">
        <f t="shared" si="89"/>
        <v>0</v>
      </c>
      <c r="CQ50" s="239">
        <f t="shared" si="90"/>
        <v>413800.33168319252</v>
      </c>
    </row>
    <row r="51" spans="1:95" ht="12.75" customHeight="1" x14ac:dyDescent="0.25">
      <c r="A51" s="479"/>
      <c r="B51" s="28" t="s">
        <v>40</v>
      </c>
      <c r="C51" s="7">
        <v>22</v>
      </c>
      <c r="D51" s="37">
        <v>4570414.9220673665</v>
      </c>
      <c r="E51" s="151"/>
      <c r="F51" s="152">
        <v>3249798.252767378</v>
      </c>
      <c r="G51" s="87">
        <v>385845.48</v>
      </c>
      <c r="H51" s="88"/>
      <c r="I51" s="127"/>
      <c r="J51" s="88"/>
      <c r="K51" s="89">
        <v>452747.86</v>
      </c>
      <c r="L51" s="90"/>
      <c r="M51" s="153"/>
      <c r="N51" s="91"/>
      <c r="O51" s="95">
        <v>370817.32</v>
      </c>
      <c r="P51" s="93"/>
      <c r="Q51" s="94"/>
      <c r="R51" s="93"/>
      <c r="S51" s="154">
        <v>396757.73</v>
      </c>
      <c r="T51" s="183"/>
      <c r="U51" s="154"/>
      <c r="V51" s="155"/>
      <c r="W51" s="58">
        <v>291785.66999999993</v>
      </c>
      <c r="X51" s="58">
        <v>0</v>
      </c>
      <c r="Y51" s="58"/>
      <c r="Z51" s="59"/>
      <c r="AA51" s="76">
        <v>444306.60000000003</v>
      </c>
      <c r="AB51" s="156">
        <v>0</v>
      </c>
      <c r="AC51" s="157"/>
      <c r="AD51" s="61"/>
      <c r="AE51" s="63">
        <v>641039</v>
      </c>
      <c r="AF51" s="63">
        <v>0</v>
      </c>
      <c r="AG51" s="158"/>
      <c r="AH51" s="62"/>
      <c r="AI51" s="154">
        <v>528906.63000000012</v>
      </c>
      <c r="AJ51" s="154">
        <v>0</v>
      </c>
      <c r="AK51" s="154"/>
      <c r="AL51" s="155"/>
      <c r="AM51" s="49">
        <v>421950.02999999991</v>
      </c>
      <c r="AN51" s="49">
        <v>0</v>
      </c>
      <c r="AO51" s="49"/>
      <c r="AP51" s="223"/>
      <c r="AQ51" s="159">
        <v>401723.83</v>
      </c>
      <c r="AR51" s="198">
        <v>0</v>
      </c>
      <c r="AS51" s="198"/>
      <c r="AT51" s="198"/>
      <c r="AU51" s="210">
        <v>401731.13</v>
      </c>
      <c r="AV51" s="210">
        <v>0</v>
      </c>
      <c r="AW51" s="210"/>
      <c r="AX51" s="210"/>
      <c r="AY51" s="129">
        <v>555885.05319699994</v>
      </c>
      <c r="AZ51" s="129">
        <v>0</v>
      </c>
      <c r="BA51" s="129"/>
      <c r="BB51" s="129"/>
      <c r="BC51" s="146">
        <v>660890.24999999988</v>
      </c>
      <c r="BD51" s="136"/>
      <c r="BE51" s="136"/>
      <c r="BF51" s="136"/>
      <c r="BG51" s="252">
        <f>+BH51</f>
        <v>265555</v>
      </c>
      <c r="BH51" s="252">
        <v>265555</v>
      </c>
      <c r="BI51" s="252">
        <v>173348.46</v>
      </c>
      <c r="BJ51" s="226">
        <v>682413</v>
      </c>
      <c r="BK51" s="226"/>
      <c r="BL51" s="226"/>
      <c r="BM51" s="226"/>
      <c r="BN51" s="233">
        <v>805417.89999999991</v>
      </c>
      <c r="BO51" s="233"/>
      <c r="BP51" s="233"/>
      <c r="BQ51" s="233"/>
      <c r="BR51" s="243">
        <v>811234.00000000012</v>
      </c>
      <c r="BS51" s="243"/>
      <c r="BT51" s="243"/>
      <c r="BU51" s="243"/>
      <c r="BV51" s="26">
        <f t="shared" si="69"/>
        <v>1994.6431227317414</v>
      </c>
      <c r="BW51" s="43">
        <f t="shared" si="70"/>
        <v>0</v>
      </c>
      <c r="BX51" s="43">
        <f t="shared" si="71"/>
        <v>0.31818181818181823</v>
      </c>
      <c r="BY51" s="43">
        <f t="shared" si="72"/>
        <v>0.36363636363636365</v>
      </c>
      <c r="BZ51" s="43">
        <f t="shared" si="73"/>
        <v>0.40909090909090906</v>
      </c>
      <c r="CA51" s="43">
        <f t="shared" si="74"/>
        <v>0.45454545454545459</v>
      </c>
      <c r="CB51" s="43">
        <f t="shared" si="75"/>
        <v>0.5</v>
      </c>
      <c r="CC51" s="43">
        <f t="shared" si="76"/>
        <v>0.54545454545454541</v>
      </c>
      <c r="CD51" s="43">
        <f t="shared" si="77"/>
        <v>0.59090909090909083</v>
      </c>
      <c r="CE51" s="43">
        <f t="shared" si="78"/>
        <v>0.63636363636363635</v>
      </c>
      <c r="CF51" s="43">
        <f t="shared" si="79"/>
        <v>0.68181818181818188</v>
      </c>
      <c r="CG51" s="43">
        <f t="shared" si="80"/>
        <v>0.72727272727272729</v>
      </c>
      <c r="CH51" s="43">
        <f t="shared" si="81"/>
        <v>0.77272727272727271</v>
      </c>
      <c r="CI51" s="43">
        <f t="shared" si="82"/>
        <v>0.81818181818181812</v>
      </c>
      <c r="CJ51" s="43">
        <f t="shared" si="83"/>
        <v>0.86363636363636365</v>
      </c>
      <c r="CK51" s="43">
        <f t="shared" si="84"/>
        <v>0.5391416296230318</v>
      </c>
      <c r="CL51" s="43">
        <f t="shared" si="85"/>
        <v>0.90909090909090906</v>
      </c>
      <c r="CM51" s="43">
        <f t="shared" si="86"/>
        <v>0.95454545454545459</v>
      </c>
      <c r="CN51" s="43">
        <f t="shared" si="87"/>
        <v>1</v>
      </c>
      <c r="CO51" s="239">
        <f t="shared" si="88"/>
        <v>11549349.715811007</v>
      </c>
      <c r="CP51" s="239">
        <f t="shared" si="89"/>
        <v>4570414.9220673647</v>
      </c>
      <c r="CQ51" s="239">
        <f t="shared" si="90"/>
        <v>4790466.8749338649</v>
      </c>
    </row>
    <row r="52" spans="1:95" ht="12.75" customHeight="1" x14ac:dyDescent="0.25">
      <c r="A52" s="479"/>
      <c r="B52" s="28" t="s">
        <v>54</v>
      </c>
      <c r="C52" s="7">
        <v>22</v>
      </c>
      <c r="D52" s="37">
        <v>0</v>
      </c>
      <c r="E52" s="151"/>
      <c r="F52" s="152">
        <v>0</v>
      </c>
      <c r="G52" s="87">
        <v>0</v>
      </c>
      <c r="H52" s="88"/>
      <c r="I52" s="127"/>
      <c r="J52" s="88"/>
      <c r="K52" s="89">
        <v>0</v>
      </c>
      <c r="L52" s="90"/>
      <c r="M52" s="153"/>
      <c r="N52" s="91"/>
      <c r="O52" s="95">
        <v>0</v>
      </c>
      <c r="P52" s="93"/>
      <c r="Q52" s="94"/>
      <c r="R52" s="93"/>
      <c r="S52" s="154">
        <v>0</v>
      </c>
      <c r="T52" s="183"/>
      <c r="U52" s="154"/>
      <c r="V52" s="155"/>
      <c r="W52" s="58">
        <v>0</v>
      </c>
      <c r="X52" s="58">
        <v>0</v>
      </c>
      <c r="Y52" s="58"/>
      <c r="Z52" s="59"/>
      <c r="AA52" s="76">
        <v>0</v>
      </c>
      <c r="AB52" s="156">
        <v>0</v>
      </c>
      <c r="AC52" s="157"/>
      <c r="AD52" s="61"/>
      <c r="AE52" s="63">
        <v>0</v>
      </c>
      <c r="AF52" s="63">
        <v>0</v>
      </c>
      <c r="AG52" s="158"/>
      <c r="AH52" s="62"/>
      <c r="AI52" s="154">
        <v>0</v>
      </c>
      <c r="AJ52" s="154">
        <v>0</v>
      </c>
      <c r="AK52" s="154"/>
      <c r="AL52" s="155"/>
      <c r="AM52" s="49">
        <v>0</v>
      </c>
      <c r="AN52" s="49">
        <v>0</v>
      </c>
      <c r="AO52" s="49"/>
      <c r="AP52" s="184"/>
      <c r="AQ52" s="159">
        <v>0</v>
      </c>
      <c r="AR52" s="198">
        <v>0</v>
      </c>
      <c r="AS52" s="198"/>
      <c r="AT52" s="198"/>
      <c r="AU52" s="210">
        <v>0</v>
      </c>
      <c r="AV52" s="210">
        <v>0</v>
      </c>
      <c r="AW52" s="210"/>
      <c r="AX52" s="210"/>
      <c r="AY52" s="129">
        <v>0</v>
      </c>
      <c r="AZ52" s="129">
        <v>0</v>
      </c>
      <c r="BA52" s="129"/>
      <c r="BB52" s="129"/>
      <c r="BC52" s="146">
        <v>0</v>
      </c>
      <c r="BD52" s="136"/>
      <c r="BE52" s="136"/>
      <c r="BF52" s="136"/>
      <c r="BG52" s="252"/>
      <c r="BH52" s="252"/>
      <c r="BI52" s="252"/>
      <c r="BJ52" s="226">
        <v>0</v>
      </c>
      <c r="BK52" s="226"/>
      <c r="BL52" s="226"/>
      <c r="BM52" s="226"/>
      <c r="BN52" s="233">
        <v>0</v>
      </c>
      <c r="BO52" s="233"/>
      <c r="BP52" s="233"/>
      <c r="BQ52" s="233"/>
      <c r="BR52" s="243">
        <v>0</v>
      </c>
      <c r="BS52" s="243"/>
      <c r="BT52" s="243"/>
      <c r="BU52" s="243"/>
      <c r="BV52" s="26">
        <f t="shared" si="69"/>
        <v>0</v>
      </c>
      <c r="BW52" s="43">
        <f t="shared" si="70"/>
        <v>0</v>
      </c>
      <c r="BX52" s="43">
        <f t="shared" si="71"/>
        <v>0.31818181818181823</v>
      </c>
      <c r="BY52" s="43">
        <f t="shared" si="72"/>
        <v>0.36363636363636365</v>
      </c>
      <c r="BZ52" s="43">
        <f t="shared" si="73"/>
        <v>0.40909090909090906</v>
      </c>
      <c r="CA52" s="43">
        <f t="shared" si="74"/>
        <v>0.45454545454545459</v>
      </c>
      <c r="CB52" s="43">
        <f t="shared" si="75"/>
        <v>0.5</v>
      </c>
      <c r="CC52" s="43">
        <f t="shared" si="76"/>
        <v>0.54545454545454541</v>
      </c>
      <c r="CD52" s="43">
        <f t="shared" si="77"/>
        <v>0.59090909090909083</v>
      </c>
      <c r="CE52" s="43">
        <f t="shared" si="78"/>
        <v>0.63636363636363635</v>
      </c>
      <c r="CF52" s="43">
        <f t="shared" si="79"/>
        <v>0.68181818181818188</v>
      </c>
      <c r="CG52" s="43">
        <f t="shared" si="80"/>
        <v>0.72727272727272729</v>
      </c>
      <c r="CH52" s="43">
        <f t="shared" si="81"/>
        <v>0.77272727272727271</v>
      </c>
      <c r="CI52" s="43">
        <f t="shared" si="82"/>
        <v>0.81818181818181812</v>
      </c>
      <c r="CJ52" s="43">
        <f t="shared" si="83"/>
        <v>0.86363636363636365</v>
      </c>
      <c r="CK52" s="43">
        <f t="shared" si="84"/>
        <v>0</v>
      </c>
      <c r="CL52" s="43">
        <f t="shared" si="85"/>
        <v>0.90909090909090906</v>
      </c>
      <c r="CM52" s="43">
        <f t="shared" si="86"/>
        <v>0.95454545454545459</v>
      </c>
      <c r="CN52" s="43">
        <f t="shared" si="87"/>
        <v>1</v>
      </c>
      <c r="CO52" s="239">
        <f t="shared" si="88"/>
        <v>0</v>
      </c>
      <c r="CP52" s="239">
        <f t="shared" si="89"/>
        <v>0</v>
      </c>
      <c r="CQ52" s="239">
        <f t="shared" si="90"/>
        <v>0</v>
      </c>
    </row>
    <row r="53" spans="1:95" ht="12.75" customHeight="1" x14ac:dyDescent="0.25">
      <c r="A53" s="479"/>
      <c r="B53" s="28" t="s">
        <v>10</v>
      </c>
      <c r="C53" s="7">
        <v>7</v>
      </c>
      <c r="D53" s="37">
        <v>14383.151123919413</v>
      </c>
      <c r="E53" s="151"/>
      <c r="F53" s="152">
        <v>14250.373412526502</v>
      </c>
      <c r="G53" s="87">
        <v>0</v>
      </c>
      <c r="H53" s="88"/>
      <c r="I53" s="127"/>
      <c r="J53" s="88"/>
      <c r="K53" s="89">
        <v>0</v>
      </c>
      <c r="L53" s="90"/>
      <c r="M53" s="153"/>
      <c r="N53" s="91"/>
      <c r="O53" s="95">
        <v>0</v>
      </c>
      <c r="P53" s="93"/>
      <c r="Q53" s="94"/>
      <c r="R53" s="93"/>
      <c r="S53" s="154">
        <v>0</v>
      </c>
      <c r="T53" s="183"/>
      <c r="U53" s="154"/>
      <c r="V53" s="155"/>
      <c r="W53" s="58">
        <v>0</v>
      </c>
      <c r="X53" s="58">
        <v>0</v>
      </c>
      <c r="Y53" s="58"/>
      <c r="Z53" s="59"/>
      <c r="AA53" s="76">
        <v>0</v>
      </c>
      <c r="AB53" s="156">
        <v>0</v>
      </c>
      <c r="AC53" s="157"/>
      <c r="AD53" s="61"/>
      <c r="AE53" s="63">
        <v>0</v>
      </c>
      <c r="AF53" s="63">
        <v>0</v>
      </c>
      <c r="AG53" s="158"/>
      <c r="AH53" s="62"/>
      <c r="AI53" s="154">
        <v>0</v>
      </c>
      <c r="AJ53" s="154">
        <v>0</v>
      </c>
      <c r="AK53" s="154"/>
      <c r="AL53" s="155"/>
      <c r="AM53" s="49">
        <v>0</v>
      </c>
      <c r="AN53" s="49">
        <v>0</v>
      </c>
      <c r="AO53" s="49"/>
      <c r="AP53" s="184"/>
      <c r="AQ53" s="159">
        <v>0</v>
      </c>
      <c r="AR53" s="198">
        <v>0</v>
      </c>
      <c r="AS53" s="198"/>
      <c r="AT53" s="198"/>
      <c r="AU53" s="210">
        <v>0</v>
      </c>
      <c r="AV53" s="210">
        <v>0</v>
      </c>
      <c r="AW53" s="210"/>
      <c r="AX53" s="210"/>
      <c r="AY53" s="129">
        <v>0</v>
      </c>
      <c r="AZ53" s="129">
        <v>0</v>
      </c>
      <c r="BA53" s="129"/>
      <c r="BB53" s="129"/>
      <c r="BC53" s="146"/>
      <c r="BD53" s="136"/>
      <c r="BE53" s="136"/>
      <c r="BF53" s="136"/>
      <c r="BG53" s="252"/>
      <c r="BH53" s="252"/>
      <c r="BI53" s="252"/>
      <c r="BJ53" s="226"/>
      <c r="BK53" s="226"/>
      <c r="BL53" s="226"/>
      <c r="BM53" s="226"/>
      <c r="BN53" s="233"/>
      <c r="BO53" s="233"/>
      <c r="BP53" s="233"/>
      <c r="BQ53" s="233"/>
      <c r="BR53" s="243"/>
      <c r="BS53" s="243"/>
      <c r="BT53" s="243"/>
      <c r="BU53" s="243"/>
      <c r="BV53" s="26">
        <f t="shared" si="69"/>
        <v>2000.9353796694659</v>
      </c>
      <c r="BW53" s="43">
        <f t="shared" si="70"/>
        <v>0</v>
      </c>
      <c r="BX53" s="43">
        <f t="shared" si="71"/>
        <v>0</v>
      </c>
      <c r="BY53" s="43">
        <f t="shared" si="72"/>
        <v>0</v>
      </c>
      <c r="BZ53" s="43">
        <f t="shared" si="73"/>
        <v>0</v>
      </c>
      <c r="CA53" s="43">
        <f t="shared" si="74"/>
        <v>0</v>
      </c>
      <c r="CB53" s="43">
        <f t="shared" si="75"/>
        <v>0</v>
      </c>
      <c r="CC53" s="43">
        <f t="shared" si="76"/>
        <v>0</v>
      </c>
      <c r="CD53" s="43">
        <f t="shared" si="77"/>
        <v>0</v>
      </c>
      <c r="CE53" s="43">
        <f t="shared" si="78"/>
        <v>0</v>
      </c>
      <c r="CF53" s="43">
        <f t="shared" si="79"/>
        <v>0</v>
      </c>
      <c r="CG53" s="43">
        <f t="shared" si="80"/>
        <v>0.1428571428571429</v>
      </c>
      <c r="CH53" s="43">
        <f t="shared" si="81"/>
        <v>0.2857142857142857</v>
      </c>
      <c r="CI53" s="43">
        <f t="shared" si="82"/>
        <v>0.4285714285714286</v>
      </c>
      <c r="CJ53" s="43">
        <f t="shared" si="83"/>
        <v>0.5714285714285714</v>
      </c>
      <c r="CK53" s="43">
        <f t="shared" si="84"/>
        <v>0</v>
      </c>
      <c r="CL53" s="43">
        <f t="shared" si="85"/>
        <v>0.7142857142857143</v>
      </c>
      <c r="CM53" s="43">
        <f t="shared" si="86"/>
        <v>0.85714285714285721</v>
      </c>
      <c r="CN53" s="43">
        <f t="shared" si="87"/>
        <v>1</v>
      </c>
      <c r="CO53" s="239">
        <f t="shared" si="88"/>
        <v>14383.151123919413</v>
      </c>
      <c r="CP53" s="239">
        <f t="shared" si="89"/>
        <v>14383.151123919413</v>
      </c>
      <c r="CQ53" s="239">
        <f t="shared" si="90"/>
        <v>1029.0524809728684</v>
      </c>
    </row>
    <row r="54" spans="1:95" ht="12.75" customHeight="1" x14ac:dyDescent="0.25">
      <c r="A54" s="479"/>
      <c r="B54" s="28" t="s">
        <v>11</v>
      </c>
      <c r="C54" s="7">
        <v>4</v>
      </c>
      <c r="D54" s="37">
        <v>0</v>
      </c>
      <c r="E54" s="151"/>
      <c r="F54" s="152">
        <v>0</v>
      </c>
      <c r="G54" s="87">
        <v>0</v>
      </c>
      <c r="H54" s="88"/>
      <c r="I54" s="127"/>
      <c r="J54" s="88"/>
      <c r="K54" s="89">
        <v>0</v>
      </c>
      <c r="L54" s="90"/>
      <c r="M54" s="153"/>
      <c r="N54" s="91"/>
      <c r="O54" s="95">
        <v>0</v>
      </c>
      <c r="P54" s="93"/>
      <c r="Q54" s="94"/>
      <c r="R54" s="93"/>
      <c r="S54" s="154">
        <v>0</v>
      </c>
      <c r="T54" s="183"/>
      <c r="U54" s="154"/>
      <c r="V54" s="155"/>
      <c r="W54" s="58">
        <v>0</v>
      </c>
      <c r="X54" s="58">
        <v>0</v>
      </c>
      <c r="Y54" s="58"/>
      <c r="Z54" s="59"/>
      <c r="AA54" s="76">
        <v>0</v>
      </c>
      <c r="AB54" s="156">
        <v>0</v>
      </c>
      <c r="AC54" s="157"/>
      <c r="AD54" s="61"/>
      <c r="AE54" s="63">
        <v>0</v>
      </c>
      <c r="AF54" s="63">
        <v>0</v>
      </c>
      <c r="AG54" s="158"/>
      <c r="AH54" s="62"/>
      <c r="AI54" s="154">
        <v>0</v>
      </c>
      <c r="AJ54" s="154">
        <v>0</v>
      </c>
      <c r="AK54" s="154"/>
      <c r="AL54" s="155"/>
      <c r="AM54" s="49">
        <v>0</v>
      </c>
      <c r="AN54" s="49">
        <v>0</v>
      </c>
      <c r="AO54" s="49"/>
      <c r="AP54" s="184"/>
      <c r="AQ54" s="159">
        <v>0</v>
      </c>
      <c r="AR54" s="198">
        <v>0</v>
      </c>
      <c r="AS54" s="198"/>
      <c r="AT54" s="198"/>
      <c r="AU54" s="210">
        <v>0</v>
      </c>
      <c r="AV54" s="210">
        <v>0</v>
      </c>
      <c r="AW54" s="210"/>
      <c r="AX54" s="210"/>
      <c r="AY54" s="129">
        <v>0</v>
      </c>
      <c r="AZ54" s="129">
        <v>0</v>
      </c>
      <c r="BA54" s="129"/>
      <c r="BB54" s="129"/>
      <c r="BC54" s="146"/>
      <c r="BD54" s="136"/>
      <c r="BE54" s="136"/>
      <c r="BF54" s="136"/>
      <c r="BG54" s="252"/>
      <c r="BH54" s="252"/>
      <c r="BI54" s="252"/>
      <c r="BJ54" s="226"/>
      <c r="BK54" s="226"/>
      <c r="BL54" s="226"/>
      <c r="BM54" s="226"/>
      <c r="BN54" s="233"/>
      <c r="BO54" s="233"/>
      <c r="BP54" s="233"/>
      <c r="BQ54" s="233"/>
      <c r="BR54" s="243"/>
      <c r="BS54" s="243"/>
      <c r="BT54" s="243"/>
      <c r="BU54" s="243"/>
      <c r="BV54" s="26">
        <f t="shared" si="69"/>
        <v>0</v>
      </c>
      <c r="BW54" s="43">
        <f t="shared" si="70"/>
        <v>0</v>
      </c>
      <c r="BX54" s="43">
        <f t="shared" si="71"/>
        <v>0</v>
      </c>
      <c r="BY54" s="43">
        <f t="shared" si="72"/>
        <v>0</v>
      </c>
      <c r="BZ54" s="43">
        <f t="shared" si="73"/>
        <v>0</v>
      </c>
      <c r="CA54" s="43">
        <f t="shared" si="74"/>
        <v>0</v>
      </c>
      <c r="CB54" s="43">
        <f t="shared" si="75"/>
        <v>0</v>
      </c>
      <c r="CC54" s="43">
        <f t="shared" si="76"/>
        <v>0</v>
      </c>
      <c r="CD54" s="43">
        <f t="shared" si="77"/>
        <v>0</v>
      </c>
      <c r="CE54" s="43">
        <f t="shared" si="78"/>
        <v>0</v>
      </c>
      <c r="CF54" s="43">
        <f t="shared" si="79"/>
        <v>0</v>
      </c>
      <c r="CG54" s="43">
        <f t="shared" si="80"/>
        <v>0</v>
      </c>
      <c r="CH54" s="43">
        <f t="shared" si="81"/>
        <v>0</v>
      </c>
      <c r="CI54" s="43">
        <f t="shared" si="82"/>
        <v>0</v>
      </c>
      <c r="CJ54" s="43">
        <f t="shared" si="83"/>
        <v>0.25</v>
      </c>
      <c r="CK54" s="43">
        <f t="shared" si="84"/>
        <v>0</v>
      </c>
      <c r="CL54" s="43">
        <f t="shared" si="85"/>
        <v>0.5</v>
      </c>
      <c r="CM54" s="43">
        <f t="shared" si="86"/>
        <v>0.75</v>
      </c>
      <c r="CN54" s="43">
        <f t="shared" si="87"/>
        <v>1</v>
      </c>
      <c r="CO54" s="239">
        <f t="shared" si="88"/>
        <v>0</v>
      </c>
      <c r="CP54" s="239">
        <f t="shared" si="89"/>
        <v>0</v>
      </c>
      <c r="CQ54" s="239">
        <f t="shared" si="90"/>
        <v>0</v>
      </c>
    </row>
    <row r="55" spans="1:95" ht="12.75" customHeight="1" x14ac:dyDescent="0.25">
      <c r="A55" s="479"/>
      <c r="B55" s="28" t="s">
        <v>12</v>
      </c>
      <c r="C55" s="7">
        <v>5</v>
      </c>
      <c r="D55" s="37">
        <v>0</v>
      </c>
      <c r="E55" s="151"/>
      <c r="F55" s="152">
        <v>0</v>
      </c>
      <c r="G55" s="87">
        <v>0</v>
      </c>
      <c r="H55" s="88"/>
      <c r="I55" s="127"/>
      <c r="J55" s="88"/>
      <c r="K55" s="89">
        <v>0</v>
      </c>
      <c r="L55" s="90"/>
      <c r="M55" s="153"/>
      <c r="N55" s="91"/>
      <c r="O55" s="95">
        <v>0</v>
      </c>
      <c r="P55" s="93"/>
      <c r="Q55" s="94"/>
      <c r="R55" s="93"/>
      <c r="S55" s="154">
        <v>0</v>
      </c>
      <c r="T55" s="183"/>
      <c r="U55" s="154"/>
      <c r="V55" s="155"/>
      <c r="W55" s="58">
        <v>0</v>
      </c>
      <c r="X55" s="58">
        <v>0</v>
      </c>
      <c r="Y55" s="58"/>
      <c r="Z55" s="59"/>
      <c r="AA55" s="76">
        <v>0</v>
      </c>
      <c r="AB55" s="156">
        <v>0</v>
      </c>
      <c r="AC55" s="157"/>
      <c r="AD55" s="61"/>
      <c r="AE55" s="63">
        <v>0</v>
      </c>
      <c r="AF55" s="63">
        <v>0</v>
      </c>
      <c r="AG55" s="158"/>
      <c r="AH55" s="62"/>
      <c r="AI55" s="154">
        <v>0</v>
      </c>
      <c r="AJ55" s="154">
        <v>0</v>
      </c>
      <c r="AK55" s="154"/>
      <c r="AL55" s="155"/>
      <c r="AM55" s="49">
        <v>0</v>
      </c>
      <c r="AN55" s="49">
        <v>0</v>
      </c>
      <c r="AO55" s="49"/>
      <c r="AP55" s="184"/>
      <c r="AQ55" s="159">
        <v>0</v>
      </c>
      <c r="AR55" s="198">
        <v>0</v>
      </c>
      <c r="AS55" s="198"/>
      <c r="AT55" s="198"/>
      <c r="AU55" s="210">
        <v>0</v>
      </c>
      <c r="AV55" s="210">
        <v>0</v>
      </c>
      <c r="AW55" s="210"/>
      <c r="AX55" s="210"/>
      <c r="AY55" s="129">
        <v>0</v>
      </c>
      <c r="AZ55" s="129">
        <v>0</v>
      </c>
      <c r="BA55" s="129"/>
      <c r="BB55" s="129"/>
      <c r="BC55" s="146"/>
      <c r="BD55" s="136"/>
      <c r="BE55" s="136"/>
      <c r="BF55" s="136"/>
      <c r="BG55" s="252"/>
      <c r="BH55" s="252"/>
      <c r="BI55" s="252"/>
      <c r="BJ55" s="226"/>
      <c r="BK55" s="226"/>
      <c r="BL55" s="226"/>
      <c r="BM55" s="226"/>
      <c r="BN55" s="233"/>
      <c r="BO55" s="233"/>
      <c r="BP55" s="233"/>
      <c r="BQ55" s="233"/>
      <c r="BR55" s="243"/>
      <c r="BS55" s="243"/>
      <c r="BT55" s="243"/>
      <c r="BU55" s="243"/>
      <c r="BV55" s="26">
        <f t="shared" si="69"/>
        <v>0</v>
      </c>
      <c r="BW55" s="43">
        <f t="shared" si="70"/>
        <v>0</v>
      </c>
      <c r="BX55" s="43">
        <f t="shared" si="71"/>
        <v>0</v>
      </c>
      <c r="BY55" s="43">
        <f t="shared" si="72"/>
        <v>0</v>
      </c>
      <c r="BZ55" s="43">
        <f t="shared" si="73"/>
        <v>0</v>
      </c>
      <c r="CA55" s="43">
        <f t="shared" si="74"/>
        <v>0</v>
      </c>
      <c r="CB55" s="43">
        <f t="shared" si="75"/>
        <v>0</v>
      </c>
      <c r="CC55" s="43">
        <f t="shared" si="76"/>
        <v>0</v>
      </c>
      <c r="CD55" s="43">
        <f t="shared" si="77"/>
        <v>0</v>
      </c>
      <c r="CE55" s="43">
        <f t="shared" si="78"/>
        <v>0</v>
      </c>
      <c r="CF55" s="43">
        <f t="shared" si="79"/>
        <v>0</v>
      </c>
      <c r="CG55" s="43">
        <f t="shared" si="80"/>
        <v>0</v>
      </c>
      <c r="CH55" s="43">
        <f t="shared" si="81"/>
        <v>0</v>
      </c>
      <c r="CI55" s="43">
        <f t="shared" si="82"/>
        <v>0.19999999999999996</v>
      </c>
      <c r="CJ55" s="43">
        <f t="shared" si="83"/>
        <v>0.4</v>
      </c>
      <c r="CK55" s="43">
        <f t="shared" si="84"/>
        <v>0</v>
      </c>
      <c r="CL55" s="43">
        <f t="shared" si="85"/>
        <v>0.6</v>
      </c>
      <c r="CM55" s="43">
        <f t="shared" si="86"/>
        <v>0.8</v>
      </c>
      <c r="CN55" s="43">
        <f t="shared" si="87"/>
        <v>1</v>
      </c>
      <c r="CO55" s="239">
        <f t="shared" si="88"/>
        <v>0</v>
      </c>
      <c r="CP55" s="239">
        <f t="shared" si="89"/>
        <v>0</v>
      </c>
      <c r="CQ55" s="239">
        <f t="shared" si="90"/>
        <v>0</v>
      </c>
    </row>
    <row r="56" spans="1:95" ht="12.75" customHeight="1" x14ac:dyDescent="0.25">
      <c r="A56" s="479"/>
      <c r="B56" s="28" t="s">
        <v>13</v>
      </c>
      <c r="C56" s="7">
        <v>8</v>
      </c>
      <c r="D56" s="37">
        <v>0</v>
      </c>
      <c r="E56" s="151"/>
      <c r="F56" s="152">
        <v>0</v>
      </c>
      <c r="G56" s="87">
        <v>0</v>
      </c>
      <c r="H56" s="88"/>
      <c r="I56" s="127"/>
      <c r="J56" s="88"/>
      <c r="K56" s="89">
        <v>0</v>
      </c>
      <c r="L56" s="90"/>
      <c r="M56" s="153"/>
      <c r="N56" s="91"/>
      <c r="O56" s="95">
        <v>0</v>
      </c>
      <c r="P56" s="93"/>
      <c r="Q56" s="94"/>
      <c r="R56" s="93"/>
      <c r="S56" s="154">
        <v>0</v>
      </c>
      <c r="T56" s="183"/>
      <c r="U56" s="154"/>
      <c r="V56" s="155"/>
      <c r="W56" s="58">
        <v>0</v>
      </c>
      <c r="X56" s="58">
        <v>0</v>
      </c>
      <c r="Y56" s="58"/>
      <c r="Z56" s="59"/>
      <c r="AA56" s="76">
        <v>0</v>
      </c>
      <c r="AB56" s="156">
        <v>0</v>
      </c>
      <c r="AC56" s="157"/>
      <c r="AD56" s="61"/>
      <c r="AE56" s="63">
        <v>0</v>
      </c>
      <c r="AF56" s="63">
        <v>0</v>
      </c>
      <c r="AG56" s="158"/>
      <c r="AH56" s="62"/>
      <c r="AI56" s="154">
        <v>0</v>
      </c>
      <c r="AJ56" s="154">
        <v>0</v>
      </c>
      <c r="AK56" s="154"/>
      <c r="AL56" s="155"/>
      <c r="AM56" s="49">
        <v>0</v>
      </c>
      <c r="AN56" s="49">
        <v>0</v>
      </c>
      <c r="AO56" s="49"/>
      <c r="AP56" s="184"/>
      <c r="AQ56" s="159">
        <v>0</v>
      </c>
      <c r="AR56" s="198">
        <v>0</v>
      </c>
      <c r="AS56" s="198"/>
      <c r="AT56" s="198"/>
      <c r="AU56" s="210">
        <v>0</v>
      </c>
      <c r="AV56" s="210">
        <v>0</v>
      </c>
      <c r="AW56" s="210"/>
      <c r="AX56" s="210"/>
      <c r="AY56" s="129">
        <v>0</v>
      </c>
      <c r="AZ56" s="129">
        <v>0</v>
      </c>
      <c r="BA56" s="129"/>
      <c r="BB56" s="129"/>
      <c r="BC56" s="146"/>
      <c r="BD56" s="136"/>
      <c r="BE56" s="136"/>
      <c r="BF56" s="136"/>
      <c r="BG56" s="252"/>
      <c r="BH56" s="252"/>
      <c r="BI56" s="252"/>
      <c r="BJ56" s="226"/>
      <c r="BK56" s="226"/>
      <c r="BL56" s="226"/>
      <c r="BM56" s="226"/>
      <c r="BN56" s="233"/>
      <c r="BO56" s="233"/>
      <c r="BP56" s="233"/>
      <c r="BQ56" s="233"/>
      <c r="BR56" s="243"/>
      <c r="BS56" s="243"/>
      <c r="BT56" s="243"/>
      <c r="BU56" s="243"/>
      <c r="BV56" s="26">
        <f t="shared" si="69"/>
        <v>0</v>
      </c>
      <c r="BW56" s="43">
        <f t="shared" si="70"/>
        <v>0</v>
      </c>
      <c r="BX56" s="43">
        <f t="shared" si="71"/>
        <v>0</v>
      </c>
      <c r="BY56" s="43">
        <f t="shared" si="72"/>
        <v>0</v>
      </c>
      <c r="BZ56" s="43">
        <f t="shared" si="73"/>
        <v>0</v>
      </c>
      <c r="CA56" s="43">
        <f t="shared" si="74"/>
        <v>0</v>
      </c>
      <c r="CB56" s="43">
        <f t="shared" si="75"/>
        <v>0</v>
      </c>
      <c r="CC56" s="43">
        <f t="shared" si="76"/>
        <v>0</v>
      </c>
      <c r="CD56" s="43">
        <f t="shared" si="77"/>
        <v>0</v>
      </c>
      <c r="CE56" s="43">
        <f t="shared" si="78"/>
        <v>0</v>
      </c>
      <c r="CF56" s="43">
        <f t="shared" si="79"/>
        <v>0.125</v>
      </c>
      <c r="CG56" s="43">
        <f t="shared" si="80"/>
        <v>0.25</v>
      </c>
      <c r="CH56" s="43">
        <f t="shared" si="81"/>
        <v>0.375</v>
      </c>
      <c r="CI56" s="43">
        <f t="shared" si="82"/>
        <v>0.5</v>
      </c>
      <c r="CJ56" s="43">
        <f t="shared" si="83"/>
        <v>0.625</v>
      </c>
      <c r="CK56" s="43">
        <f t="shared" si="84"/>
        <v>0</v>
      </c>
      <c r="CL56" s="43">
        <f t="shared" si="85"/>
        <v>0.75</v>
      </c>
      <c r="CM56" s="43">
        <f t="shared" si="86"/>
        <v>0.875</v>
      </c>
      <c r="CN56" s="43">
        <f t="shared" si="87"/>
        <v>1</v>
      </c>
      <c r="CO56" s="239">
        <f t="shared" si="88"/>
        <v>0</v>
      </c>
      <c r="CP56" s="239">
        <f t="shared" si="89"/>
        <v>0</v>
      </c>
      <c r="CQ56" s="239">
        <f t="shared" si="90"/>
        <v>0</v>
      </c>
    </row>
    <row r="57" spans="1:95" ht="12.75" customHeight="1" thickBot="1" x14ac:dyDescent="0.3">
      <c r="A57" s="479"/>
      <c r="B57" s="29" t="s">
        <v>41</v>
      </c>
      <c r="C57" s="11">
        <v>17</v>
      </c>
      <c r="D57" s="41">
        <v>0</v>
      </c>
      <c r="E57" s="151"/>
      <c r="F57" s="162">
        <v>0</v>
      </c>
      <c r="G57" s="87">
        <v>0</v>
      </c>
      <c r="H57" s="96"/>
      <c r="I57" s="127"/>
      <c r="J57" s="96"/>
      <c r="K57" s="89">
        <v>0</v>
      </c>
      <c r="L57" s="97"/>
      <c r="M57" s="153"/>
      <c r="N57" s="98"/>
      <c r="O57" s="92">
        <v>0</v>
      </c>
      <c r="P57" s="99"/>
      <c r="Q57" s="94"/>
      <c r="R57" s="99"/>
      <c r="S57" s="173">
        <v>0</v>
      </c>
      <c r="T57" s="185"/>
      <c r="U57" s="154"/>
      <c r="V57" s="174"/>
      <c r="W57" s="58">
        <v>0</v>
      </c>
      <c r="X57" s="58">
        <v>0</v>
      </c>
      <c r="Y57" s="58"/>
      <c r="Z57" s="64"/>
      <c r="AA57" s="76">
        <v>0</v>
      </c>
      <c r="AB57" s="156">
        <v>0</v>
      </c>
      <c r="AC57" s="157"/>
      <c r="AD57" s="65"/>
      <c r="AE57" s="63">
        <v>0</v>
      </c>
      <c r="AF57" s="63">
        <v>0</v>
      </c>
      <c r="AG57" s="158"/>
      <c r="AH57" s="66"/>
      <c r="AI57" s="173">
        <v>0</v>
      </c>
      <c r="AJ57" s="154">
        <v>0</v>
      </c>
      <c r="AK57" s="154"/>
      <c r="AL57" s="174"/>
      <c r="AM57" s="49">
        <v>0</v>
      </c>
      <c r="AN57" s="49">
        <v>0</v>
      </c>
      <c r="AO57" s="49"/>
      <c r="AP57" s="186"/>
      <c r="AQ57" s="159">
        <v>0</v>
      </c>
      <c r="AR57" s="199">
        <v>0</v>
      </c>
      <c r="AS57" s="199"/>
      <c r="AT57" s="199"/>
      <c r="AU57" s="211">
        <v>0</v>
      </c>
      <c r="AV57" s="211">
        <v>0</v>
      </c>
      <c r="AW57" s="211"/>
      <c r="AX57" s="211"/>
      <c r="AY57" s="130">
        <v>0</v>
      </c>
      <c r="AZ57" s="130">
        <v>0</v>
      </c>
      <c r="BA57" s="130"/>
      <c r="BB57" s="130"/>
      <c r="BC57" s="146">
        <v>0</v>
      </c>
      <c r="BD57" s="137"/>
      <c r="BE57" s="137"/>
      <c r="BF57" s="137"/>
      <c r="BG57" s="253"/>
      <c r="BH57" s="253"/>
      <c r="BI57" s="253"/>
      <c r="BJ57" s="227">
        <v>0</v>
      </c>
      <c r="BK57" s="227"/>
      <c r="BL57" s="227"/>
      <c r="BM57" s="227"/>
      <c r="BN57" s="234">
        <v>0</v>
      </c>
      <c r="BO57" s="234"/>
      <c r="BP57" s="234"/>
      <c r="BQ57" s="234"/>
      <c r="BR57" s="244">
        <v>0</v>
      </c>
      <c r="BS57" s="244"/>
      <c r="BT57" s="244"/>
      <c r="BU57" s="244"/>
      <c r="BV57" s="26">
        <f t="shared" si="69"/>
        <v>0</v>
      </c>
      <c r="BW57" s="44">
        <f t="shared" si="70"/>
        <v>0</v>
      </c>
      <c r="BX57" s="43">
        <f t="shared" si="71"/>
        <v>0.11764705882352944</v>
      </c>
      <c r="BY57" s="43">
        <f t="shared" si="72"/>
        <v>0.17647058823529416</v>
      </c>
      <c r="BZ57" s="43">
        <f t="shared" si="73"/>
        <v>0.23529411764705888</v>
      </c>
      <c r="CA57" s="43">
        <f t="shared" si="74"/>
        <v>0.29411764705882348</v>
      </c>
      <c r="CB57" s="43">
        <f t="shared" si="75"/>
        <v>0.3529411764705882</v>
      </c>
      <c r="CC57" s="43">
        <f t="shared" si="76"/>
        <v>0.41176470588235292</v>
      </c>
      <c r="CD57" s="43">
        <f t="shared" si="77"/>
        <v>0.47058823529411764</v>
      </c>
      <c r="CE57" s="43">
        <f t="shared" si="78"/>
        <v>0.52941176470588236</v>
      </c>
      <c r="CF57" s="43">
        <f t="shared" si="79"/>
        <v>0.58823529411764708</v>
      </c>
      <c r="CG57" s="43">
        <f t="shared" si="80"/>
        <v>0.64705882352941169</v>
      </c>
      <c r="CH57" s="43">
        <f t="shared" si="81"/>
        <v>0.70588235294117641</v>
      </c>
      <c r="CI57" s="43">
        <f t="shared" si="82"/>
        <v>0.76470588235294112</v>
      </c>
      <c r="CJ57" s="43">
        <f t="shared" si="83"/>
        <v>0.82352941176470584</v>
      </c>
      <c r="CK57" s="43">
        <f t="shared" si="84"/>
        <v>0</v>
      </c>
      <c r="CL57" s="43">
        <f t="shared" si="85"/>
        <v>0.88235294117647056</v>
      </c>
      <c r="CM57" s="43">
        <f t="shared" si="86"/>
        <v>0.94117647058823528</v>
      </c>
      <c r="CN57" s="43">
        <f t="shared" si="87"/>
        <v>1</v>
      </c>
      <c r="CO57" s="239">
        <f t="shared" si="88"/>
        <v>0</v>
      </c>
      <c r="CP57" s="239">
        <f t="shared" si="89"/>
        <v>0</v>
      </c>
      <c r="CQ57" s="239">
        <f t="shared" si="90"/>
        <v>0</v>
      </c>
    </row>
    <row r="58" spans="1:95" s="1" customFormat="1" ht="12.75" customHeight="1" thickBot="1" x14ac:dyDescent="0.35">
      <c r="A58" s="481"/>
      <c r="B58" s="30" t="s">
        <v>42</v>
      </c>
      <c r="C58" s="31"/>
      <c r="D58" s="38">
        <v>5660028.2779788757</v>
      </c>
      <c r="E58" s="38"/>
      <c r="F58" s="38">
        <v>4092084.3124159449</v>
      </c>
      <c r="G58" s="67">
        <v>385845.48</v>
      </c>
      <c r="H58" s="67">
        <v>0</v>
      </c>
      <c r="I58" s="67"/>
      <c r="J58" s="67"/>
      <c r="K58" s="116">
        <v>452747.86</v>
      </c>
      <c r="L58" s="116">
        <v>0</v>
      </c>
      <c r="M58" s="116"/>
      <c r="N58" s="116"/>
      <c r="O58" s="68">
        <v>370817.32</v>
      </c>
      <c r="P58" s="68">
        <v>0</v>
      </c>
      <c r="Q58" s="68"/>
      <c r="R58" s="68"/>
      <c r="S58" s="123">
        <v>396757.73</v>
      </c>
      <c r="T58" s="124">
        <v>0</v>
      </c>
      <c r="U58" s="124"/>
      <c r="V58" s="125"/>
      <c r="W58" s="67">
        <v>291785.66999999993</v>
      </c>
      <c r="X58" s="67">
        <v>0</v>
      </c>
      <c r="Y58" s="67"/>
      <c r="Z58" s="67"/>
      <c r="AA58" s="116">
        <v>471133.24000000005</v>
      </c>
      <c r="AB58" s="116">
        <v>0</v>
      </c>
      <c r="AC58" s="126"/>
      <c r="AD58" s="116"/>
      <c r="AE58" s="68">
        <v>641039</v>
      </c>
      <c r="AF58" s="68">
        <v>0</v>
      </c>
      <c r="AG58" s="68"/>
      <c r="AH58" s="117"/>
      <c r="AI58" s="123">
        <v>528906.63000000012</v>
      </c>
      <c r="AJ58" s="124">
        <v>0</v>
      </c>
      <c r="AK58" s="124"/>
      <c r="AL58" s="125"/>
      <c r="AM58" s="52">
        <v>421950.02999999991</v>
      </c>
      <c r="AN58" s="52">
        <v>0</v>
      </c>
      <c r="AO58" s="52"/>
      <c r="AP58" s="52"/>
      <c r="AQ58" s="208">
        <v>401723.83</v>
      </c>
      <c r="AR58" s="203">
        <v>0</v>
      </c>
      <c r="AS58" s="203"/>
      <c r="AT58" s="203"/>
      <c r="AU58" s="215">
        <v>401723.83</v>
      </c>
      <c r="AV58" s="215">
        <v>0</v>
      </c>
      <c r="AW58" s="215"/>
      <c r="AX58" s="215"/>
      <c r="AY58" s="133">
        <v>555885.05319699994</v>
      </c>
      <c r="AZ58" s="133">
        <v>0</v>
      </c>
      <c r="BA58" s="133"/>
      <c r="BB58" s="133"/>
      <c r="BC58" s="148">
        <f>+SUM(BC48:BC57)</f>
        <v>660890.24999999988</v>
      </c>
      <c r="BD58" s="140"/>
      <c r="BE58" s="140"/>
      <c r="BF58" s="140"/>
      <c r="BG58" s="255">
        <f t="shared" ref="BG58:BU58" si="91">+SUM(BG48:BG57)</f>
        <v>265555</v>
      </c>
      <c r="BH58" s="255">
        <f t="shared" si="91"/>
        <v>265555</v>
      </c>
      <c r="BI58" s="255">
        <f t="shared" si="91"/>
        <v>173348.46</v>
      </c>
      <c r="BJ58" s="229">
        <f t="shared" si="91"/>
        <v>682413</v>
      </c>
      <c r="BK58" s="229">
        <f t="shared" si="91"/>
        <v>0</v>
      </c>
      <c r="BL58" s="229"/>
      <c r="BM58" s="229"/>
      <c r="BN58" s="235">
        <f t="shared" si="91"/>
        <v>805417.89999999991</v>
      </c>
      <c r="BO58" s="235">
        <f t="shared" si="91"/>
        <v>0</v>
      </c>
      <c r="BP58" s="235"/>
      <c r="BQ58" s="235"/>
      <c r="BR58" s="228">
        <f t="shared" si="91"/>
        <v>811234.00000000012</v>
      </c>
      <c r="BS58" s="228">
        <f t="shared" si="91"/>
        <v>0</v>
      </c>
      <c r="BT58" s="228"/>
      <c r="BU58" s="228">
        <f t="shared" si="91"/>
        <v>0</v>
      </c>
      <c r="BV58" s="54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240">
        <f>SUM(CO48:CO57)</f>
        <v>12657894.472394709</v>
      </c>
      <c r="CP58" s="240">
        <f>SUM(CP48:CP57)</f>
        <v>4584798.0731912842</v>
      </c>
      <c r="CQ58" s="240">
        <f>SUM(CQ48:CQ57)</f>
        <v>5205296.2590980306</v>
      </c>
    </row>
    <row r="59" spans="1:95" s="23" customFormat="1" ht="30" customHeight="1" x14ac:dyDescent="0.25">
      <c r="A59" s="2"/>
      <c r="B59" s="21" t="s">
        <v>43</v>
      </c>
      <c r="C59" s="22"/>
      <c r="D59" s="32">
        <v>80363913.342109516</v>
      </c>
      <c r="E59" s="32"/>
      <c r="F59" s="32">
        <v>45909466.481640987</v>
      </c>
      <c r="G59" s="25">
        <v>2297920.7887920002</v>
      </c>
      <c r="H59" s="25">
        <v>0</v>
      </c>
      <c r="I59" s="25"/>
      <c r="J59" s="25"/>
      <c r="K59" s="33">
        <v>3705380.7350740549</v>
      </c>
      <c r="L59" s="33">
        <v>315949</v>
      </c>
      <c r="M59" s="33"/>
      <c r="N59" s="33"/>
      <c r="O59" s="34">
        <v>3354159.6110609998</v>
      </c>
      <c r="P59" s="34">
        <v>0</v>
      </c>
      <c r="Q59" s="34"/>
      <c r="R59" s="34"/>
      <c r="S59" s="196">
        <v>3518386.36</v>
      </c>
      <c r="T59" s="196">
        <v>0</v>
      </c>
      <c r="U59" s="196"/>
      <c r="V59" s="196"/>
      <c r="W59" s="25">
        <v>3815993.5700000003</v>
      </c>
      <c r="X59" s="25">
        <v>0</v>
      </c>
      <c r="Y59" s="25"/>
      <c r="Z59" s="25"/>
      <c r="AA59" s="33">
        <v>5590315.4300000006</v>
      </c>
      <c r="AB59" s="33">
        <v>556386.07000000007</v>
      </c>
      <c r="AC59" s="33"/>
      <c r="AD59" s="33"/>
      <c r="AE59" s="36">
        <v>6630069.3099999996</v>
      </c>
      <c r="AF59" s="34">
        <v>0</v>
      </c>
      <c r="AG59" s="34"/>
      <c r="AH59" s="34"/>
      <c r="AI59" s="196">
        <v>8798937.4638769962</v>
      </c>
      <c r="AJ59" s="196">
        <v>0</v>
      </c>
      <c r="AK59" s="196"/>
      <c r="AL59" s="196"/>
      <c r="AM59" s="197">
        <v>6243081.9319999982</v>
      </c>
      <c r="AN59" s="197">
        <v>0</v>
      </c>
      <c r="AO59" s="194"/>
      <c r="AP59" s="197"/>
      <c r="AQ59" s="209">
        <v>7546107.3088913755</v>
      </c>
      <c r="AR59" s="205">
        <v>0</v>
      </c>
      <c r="AS59" s="205"/>
      <c r="AT59" s="205"/>
      <c r="AU59" s="217">
        <v>5992528.1899999967</v>
      </c>
      <c r="AV59" s="217">
        <v>0</v>
      </c>
      <c r="AW59" s="217"/>
      <c r="AX59" s="217"/>
      <c r="AY59" s="135">
        <v>9964863.5911969952</v>
      </c>
      <c r="AZ59" s="135">
        <v>0</v>
      </c>
      <c r="BA59" s="135"/>
      <c r="BB59" s="135"/>
      <c r="BC59" s="150">
        <f>+BC58+BC47+BC45+BC13</f>
        <v>11143773.309999999</v>
      </c>
      <c r="BD59" s="142"/>
      <c r="BE59" s="142"/>
      <c r="BF59" s="142"/>
      <c r="BG59" s="258">
        <f t="shared" ref="BG59:BU59" si="92">+BG58+BG47+BG45+BG13</f>
        <v>8136602.2479580687</v>
      </c>
      <c r="BH59" s="258">
        <f t="shared" si="92"/>
        <v>6029079.5579580693</v>
      </c>
      <c r="BI59" s="258">
        <f t="shared" si="92"/>
        <v>6021259.6799999988</v>
      </c>
      <c r="BJ59" s="232">
        <f t="shared" si="92"/>
        <v>12605720.15</v>
      </c>
      <c r="BK59" s="232">
        <f t="shared" si="92"/>
        <v>0</v>
      </c>
      <c r="BL59" s="232"/>
      <c r="BM59" s="232"/>
      <c r="BN59" s="238">
        <f t="shared" si="92"/>
        <v>25963295.499999996</v>
      </c>
      <c r="BO59" s="238">
        <f t="shared" si="92"/>
        <v>0</v>
      </c>
      <c r="BP59" s="238"/>
      <c r="BQ59" s="238"/>
      <c r="BR59" s="247">
        <f t="shared" si="92"/>
        <v>19553374.009999998</v>
      </c>
      <c r="BS59" s="247">
        <f t="shared" si="92"/>
        <v>65610.73</v>
      </c>
      <c r="BT59" s="247"/>
      <c r="BU59" s="247">
        <f t="shared" si="92"/>
        <v>0</v>
      </c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242">
        <f>CO13+CO45+CO47+CO58</f>
        <v>202577588.09796336</v>
      </c>
      <c r="CP59" s="242">
        <f>CP13+CP45+CP47+CP58</f>
        <v>20875551.21969939</v>
      </c>
      <c r="CQ59" s="242">
        <f>CQ13+CQ45+CQ47+CQ58</f>
        <v>97634396.647008449</v>
      </c>
    </row>
    <row r="60" spans="1:95" ht="12.75" customHeight="1" x14ac:dyDescent="0.25">
      <c r="A60" s="482" t="s">
        <v>46</v>
      </c>
      <c r="B60" s="483" t="s">
        <v>6</v>
      </c>
      <c r="C60" s="483"/>
      <c r="D60" s="473">
        <v>1</v>
      </c>
      <c r="E60" s="474"/>
      <c r="F60" s="475"/>
      <c r="G60" s="458">
        <v>0.73425935745407456</v>
      </c>
      <c r="H60" s="459"/>
      <c r="I60" s="459"/>
      <c r="J60" s="460"/>
      <c r="K60" s="461">
        <v>0.7223278986436179</v>
      </c>
      <c r="L60" s="462"/>
      <c r="M60" s="462"/>
      <c r="N60" s="463"/>
      <c r="O60" s="464">
        <v>0.80446415375460911</v>
      </c>
      <c r="P60" s="465"/>
      <c r="Q60" s="465"/>
      <c r="R60" s="466"/>
      <c r="S60" s="467">
        <v>0.6</v>
      </c>
      <c r="T60" s="468"/>
      <c r="U60" s="468"/>
      <c r="V60" s="469"/>
      <c r="W60" s="458">
        <v>0.88619671568982039</v>
      </c>
      <c r="X60" s="459"/>
      <c r="Y60" s="459"/>
      <c r="Z60" s="460"/>
      <c r="AA60" s="458">
        <v>0.83739907628684485</v>
      </c>
      <c r="AB60" s="459"/>
      <c r="AC60" s="459"/>
      <c r="AD60" s="460"/>
      <c r="AE60" s="458">
        <v>0.85489205145403468</v>
      </c>
      <c r="AF60" s="459"/>
      <c r="AG60" s="459"/>
      <c r="AH60" s="460"/>
      <c r="AI60" s="458">
        <v>0.860049343536328</v>
      </c>
      <c r="AJ60" s="459"/>
      <c r="AK60" s="459"/>
      <c r="AL60" s="460"/>
      <c r="AM60" s="470">
        <v>1</v>
      </c>
      <c r="AN60" s="471">
        <v>0</v>
      </c>
      <c r="AO60" s="471">
        <v>0</v>
      </c>
      <c r="AP60" s="472">
        <v>0</v>
      </c>
      <c r="AQ60" s="438">
        <v>0.96450748585106127</v>
      </c>
      <c r="AR60" s="439">
        <v>0</v>
      </c>
      <c r="AS60" s="439">
        <v>0</v>
      </c>
      <c r="AT60" s="440">
        <v>0</v>
      </c>
      <c r="AU60" s="441">
        <v>0</v>
      </c>
      <c r="AV60" s="442">
        <v>0</v>
      </c>
      <c r="AW60" s="442">
        <v>0</v>
      </c>
      <c r="AX60" s="443">
        <v>0</v>
      </c>
      <c r="AY60" s="455">
        <v>1</v>
      </c>
      <c r="AZ60" s="456">
        <v>0</v>
      </c>
      <c r="BA60" s="456">
        <v>0</v>
      </c>
      <c r="BB60" s="457">
        <v>0</v>
      </c>
      <c r="BC60" s="444">
        <v>0.90074035778042882</v>
      </c>
      <c r="BD60" s="445"/>
      <c r="BE60" s="445"/>
      <c r="BF60" s="446"/>
      <c r="BG60" s="259"/>
      <c r="BH60" s="259"/>
      <c r="BI60" s="259"/>
      <c r="BJ60" s="546">
        <v>0.82138749486930474</v>
      </c>
      <c r="BK60" s="547"/>
      <c r="BL60" s="547"/>
      <c r="BM60" s="548"/>
      <c r="BN60" s="549">
        <v>0.89522906288268778</v>
      </c>
      <c r="BO60" s="550"/>
      <c r="BP60" s="550"/>
      <c r="BQ60" s="551"/>
      <c r="BR60" s="546">
        <v>0.93156588934484996</v>
      </c>
      <c r="BS60" s="547"/>
      <c r="BT60" s="547"/>
      <c r="BU60" s="548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</row>
    <row r="61" spans="1:95" x14ac:dyDescent="0.25">
      <c r="A61" s="482"/>
      <c r="B61" s="483" t="s">
        <v>16</v>
      </c>
      <c r="C61" s="483"/>
      <c r="D61" s="473">
        <v>1</v>
      </c>
      <c r="E61" s="474"/>
      <c r="F61" s="475"/>
      <c r="G61" s="458">
        <v>0.9125435465430991</v>
      </c>
      <c r="H61" s="459"/>
      <c r="I61" s="459"/>
      <c r="J61" s="460"/>
      <c r="K61" s="461">
        <v>0.92116040031093294</v>
      </c>
      <c r="L61" s="462"/>
      <c r="M61" s="462"/>
      <c r="N61" s="463"/>
      <c r="O61" s="464">
        <v>0.84394587985421521</v>
      </c>
      <c r="P61" s="465"/>
      <c r="Q61" s="465"/>
      <c r="R61" s="466"/>
      <c r="S61" s="467">
        <v>0.82853155879468665</v>
      </c>
      <c r="T61" s="468"/>
      <c r="U61" s="468"/>
      <c r="V61" s="469"/>
      <c r="W61" s="458">
        <v>0.8344632030650222</v>
      </c>
      <c r="X61" s="459"/>
      <c r="Y61" s="459"/>
      <c r="Z61" s="460"/>
      <c r="AA61" s="458">
        <v>0.86522075423483169</v>
      </c>
      <c r="AB61" s="459"/>
      <c r="AC61" s="459"/>
      <c r="AD61" s="460"/>
      <c r="AE61" s="458">
        <v>0.84869146746418234</v>
      </c>
      <c r="AF61" s="459"/>
      <c r="AG61" s="459"/>
      <c r="AH61" s="460"/>
      <c r="AI61" s="458">
        <v>0.85053297503209813</v>
      </c>
      <c r="AJ61" s="459"/>
      <c r="AK61" s="459"/>
      <c r="AL61" s="460"/>
      <c r="AM61" s="470">
        <v>0.70549685882258439</v>
      </c>
      <c r="AN61" s="471">
        <v>0</v>
      </c>
      <c r="AO61" s="471">
        <v>0</v>
      </c>
      <c r="AP61" s="472">
        <v>0</v>
      </c>
      <c r="AQ61" s="438">
        <v>0.81213323157668005</v>
      </c>
      <c r="AR61" s="439">
        <v>0</v>
      </c>
      <c r="AS61" s="439">
        <v>0</v>
      </c>
      <c r="AT61" s="440">
        <v>0</v>
      </c>
      <c r="AU61" s="441">
        <v>0.81704104295630753</v>
      </c>
      <c r="AV61" s="442">
        <v>0</v>
      </c>
      <c r="AW61" s="442">
        <v>0</v>
      </c>
      <c r="AX61" s="443">
        <v>0</v>
      </c>
      <c r="AY61" s="455">
        <v>0.57641338517467222</v>
      </c>
      <c r="AZ61" s="456">
        <v>0</v>
      </c>
      <c r="BA61" s="456">
        <v>0</v>
      </c>
      <c r="BB61" s="457">
        <v>0</v>
      </c>
      <c r="BC61" s="444">
        <v>0.82689288467073041</v>
      </c>
      <c r="BD61" s="445"/>
      <c r="BE61" s="445"/>
      <c r="BF61" s="446"/>
      <c r="BG61" s="259"/>
      <c r="BH61" s="259"/>
      <c r="BI61" s="259"/>
      <c r="BJ61" s="546">
        <v>0.82678611162921223</v>
      </c>
      <c r="BK61" s="547"/>
      <c r="BL61" s="547"/>
      <c r="BM61" s="548"/>
      <c r="BN61" s="549">
        <v>0.87441558026888644</v>
      </c>
      <c r="BO61" s="550"/>
      <c r="BP61" s="550"/>
      <c r="BQ61" s="551"/>
      <c r="BR61" s="546">
        <v>0.87663763477212842</v>
      </c>
      <c r="BS61" s="547"/>
      <c r="BT61" s="547"/>
      <c r="BU61" s="548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</row>
    <row r="62" spans="1:95" x14ac:dyDescent="0.25">
      <c r="A62" s="482"/>
      <c r="B62" s="483" t="s">
        <v>35</v>
      </c>
      <c r="C62" s="483"/>
      <c r="D62" s="473">
        <v>1</v>
      </c>
      <c r="E62" s="474"/>
      <c r="F62" s="475"/>
      <c r="G62" s="458">
        <v>1</v>
      </c>
      <c r="H62" s="459"/>
      <c r="I62" s="459"/>
      <c r="J62" s="460"/>
      <c r="K62" s="461">
        <v>1</v>
      </c>
      <c r="L62" s="462"/>
      <c r="M62" s="462"/>
      <c r="N62" s="463"/>
      <c r="O62" s="464">
        <v>1</v>
      </c>
      <c r="P62" s="465"/>
      <c r="Q62" s="465"/>
      <c r="R62" s="466"/>
      <c r="S62" s="467">
        <v>1</v>
      </c>
      <c r="T62" s="468"/>
      <c r="U62" s="468"/>
      <c r="V62" s="469"/>
      <c r="W62" s="458">
        <v>0.92</v>
      </c>
      <c r="X62" s="459"/>
      <c r="Y62" s="459"/>
      <c r="Z62" s="460"/>
      <c r="AA62" s="458">
        <v>0.92000000000000015</v>
      </c>
      <c r="AB62" s="459"/>
      <c r="AC62" s="459"/>
      <c r="AD62" s="460"/>
      <c r="AE62" s="458">
        <v>0.91999999999999993</v>
      </c>
      <c r="AF62" s="459"/>
      <c r="AG62" s="459"/>
      <c r="AH62" s="460"/>
      <c r="AI62" s="458">
        <v>0.92</v>
      </c>
      <c r="AJ62" s="459"/>
      <c r="AK62" s="459"/>
      <c r="AL62" s="460"/>
      <c r="AM62" s="470">
        <v>1</v>
      </c>
      <c r="AN62" s="471">
        <v>0</v>
      </c>
      <c r="AO62" s="471">
        <v>0</v>
      </c>
      <c r="AP62" s="472">
        <v>0</v>
      </c>
      <c r="AQ62" s="438">
        <v>1</v>
      </c>
      <c r="AR62" s="439">
        <v>0</v>
      </c>
      <c r="AS62" s="439">
        <v>0</v>
      </c>
      <c r="AT62" s="440">
        <v>0</v>
      </c>
      <c r="AU62" s="441">
        <v>1</v>
      </c>
      <c r="AV62" s="442">
        <v>0</v>
      </c>
      <c r="AW62" s="442">
        <v>0</v>
      </c>
      <c r="AX62" s="443">
        <v>0</v>
      </c>
      <c r="AY62" s="455">
        <v>1</v>
      </c>
      <c r="AZ62" s="456">
        <v>0</v>
      </c>
      <c r="BA62" s="456">
        <v>0</v>
      </c>
      <c r="BB62" s="457">
        <v>0</v>
      </c>
      <c r="BC62" s="444">
        <v>0.89999999999999991</v>
      </c>
      <c r="BD62" s="445"/>
      <c r="BE62" s="445"/>
      <c r="BF62" s="446"/>
      <c r="BG62" s="259"/>
      <c r="BH62" s="259"/>
      <c r="BI62" s="259"/>
      <c r="BJ62" s="546">
        <v>0.9</v>
      </c>
      <c r="BK62" s="547"/>
      <c r="BL62" s="547"/>
      <c r="BM62" s="548"/>
      <c r="BN62" s="549">
        <v>0.9</v>
      </c>
      <c r="BO62" s="550"/>
      <c r="BP62" s="550"/>
      <c r="BQ62" s="551"/>
      <c r="BR62" s="546">
        <v>0.9</v>
      </c>
      <c r="BS62" s="547"/>
      <c r="BT62" s="547"/>
      <c r="BU62" s="548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</row>
    <row r="63" spans="1:95" x14ac:dyDescent="0.25">
      <c r="A63" s="482"/>
      <c r="B63" s="483" t="s">
        <v>44</v>
      </c>
      <c r="C63" s="483"/>
      <c r="D63" s="473">
        <v>1</v>
      </c>
      <c r="E63" s="474"/>
      <c r="F63" s="475"/>
      <c r="G63" s="458">
        <v>0.97071835077606705</v>
      </c>
      <c r="H63" s="459"/>
      <c r="I63" s="459"/>
      <c r="J63" s="460"/>
      <c r="K63" s="461">
        <v>0.94188477445260588</v>
      </c>
      <c r="L63" s="462"/>
      <c r="M63" s="462"/>
      <c r="N63" s="463"/>
      <c r="O63" s="464">
        <v>0.94459016099895221</v>
      </c>
      <c r="P63" s="465"/>
      <c r="Q63" s="465"/>
      <c r="R63" s="466"/>
      <c r="S63" s="467">
        <v>0.6</v>
      </c>
      <c r="T63" s="468"/>
      <c r="U63" s="468"/>
      <c r="V63" s="469"/>
      <c r="W63" s="458">
        <v>0.7</v>
      </c>
      <c r="X63" s="459"/>
      <c r="Y63" s="459"/>
      <c r="Z63" s="460"/>
      <c r="AA63" s="458">
        <v>0.70569406650229127</v>
      </c>
      <c r="AB63" s="459"/>
      <c r="AC63" s="459"/>
      <c r="AD63" s="460"/>
      <c r="AE63" s="458">
        <v>0.7</v>
      </c>
      <c r="AF63" s="459"/>
      <c r="AG63" s="459"/>
      <c r="AH63" s="460"/>
      <c r="AI63" s="458">
        <v>0.69999999999999984</v>
      </c>
      <c r="AJ63" s="459"/>
      <c r="AK63" s="459"/>
      <c r="AL63" s="460"/>
      <c r="AM63" s="470">
        <v>0.7296268273387243</v>
      </c>
      <c r="AN63" s="471">
        <v>0</v>
      </c>
      <c r="AO63" s="471">
        <v>0</v>
      </c>
      <c r="AP63" s="472">
        <v>0</v>
      </c>
      <c r="AQ63" s="438">
        <v>0.82679737994064006</v>
      </c>
      <c r="AR63" s="439">
        <v>0</v>
      </c>
      <c r="AS63" s="439">
        <v>0</v>
      </c>
      <c r="AT63" s="440">
        <v>0</v>
      </c>
      <c r="AU63" s="441">
        <v>0.84174754147591813</v>
      </c>
      <c r="AV63" s="442">
        <v>0</v>
      </c>
      <c r="AW63" s="442">
        <v>0</v>
      </c>
      <c r="AX63" s="443">
        <v>0</v>
      </c>
      <c r="AY63" s="455">
        <v>0.62097122171328334</v>
      </c>
      <c r="AZ63" s="456">
        <v>0</v>
      </c>
      <c r="BA63" s="456">
        <v>0</v>
      </c>
      <c r="BB63" s="457">
        <v>0</v>
      </c>
      <c r="BC63" s="444">
        <v>0.90000000000000013</v>
      </c>
      <c r="BD63" s="445"/>
      <c r="BE63" s="445"/>
      <c r="BF63" s="446"/>
      <c r="BG63" s="259"/>
      <c r="BH63" s="259"/>
      <c r="BI63" s="259"/>
      <c r="BJ63" s="546">
        <v>0.90000000000000013</v>
      </c>
      <c r="BK63" s="547"/>
      <c r="BL63" s="547"/>
      <c r="BM63" s="548"/>
      <c r="BN63" s="549">
        <v>0.90000000000000024</v>
      </c>
      <c r="BO63" s="550"/>
      <c r="BP63" s="550"/>
      <c r="BQ63" s="551"/>
      <c r="BR63" s="546">
        <v>0.9</v>
      </c>
      <c r="BS63" s="547"/>
      <c r="BT63" s="547"/>
      <c r="BU63" s="548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</row>
    <row r="64" spans="1:95" ht="12.75" customHeight="1" x14ac:dyDescent="0.25"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225"/>
      <c r="BN64" s="225"/>
      <c r="BO64" s="225"/>
      <c r="BP64" s="225"/>
      <c r="BQ64" s="225"/>
      <c r="BR64" s="225"/>
      <c r="BS64" s="225"/>
      <c r="BT64" s="225"/>
      <c r="BU64" s="225"/>
    </row>
    <row r="65" spans="4:73" x14ac:dyDescent="0.25"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</row>
    <row r="66" spans="4:73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5"/>
      <c r="BN66" s="225"/>
      <c r="BO66" s="225"/>
      <c r="BP66" s="225"/>
      <c r="BQ66" s="225"/>
      <c r="BR66" s="225"/>
      <c r="BS66" s="225"/>
      <c r="BT66" s="225"/>
      <c r="BU66" s="225"/>
    </row>
    <row r="67" spans="4:73" x14ac:dyDescent="0.25"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5"/>
      <c r="BN67" s="225"/>
      <c r="BO67" s="225"/>
      <c r="BP67" s="225"/>
      <c r="BQ67" s="225"/>
      <c r="BR67" s="225"/>
      <c r="BS67" s="225"/>
      <c r="BT67" s="225"/>
      <c r="BU67" s="225"/>
    </row>
    <row r="68" spans="4:73" ht="13.25" customHeight="1" x14ac:dyDescent="0.25"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5"/>
      <c r="BN68" s="225"/>
      <c r="BO68" s="225"/>
      <c r="BP68" s="225"/>
      <c r="BQ68" s="225"/>
      <c r="BR68" s="225"/>
      <c r="BS68" s="225"/>
      <c r="BT68" s="225"/>
      <c r="BU68" s="225"/>
    </row>
    <row r="69" spans="4:73" x14ac:dyDescent="0.25"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225"/>
      <c r="BN69" s="225"/>
      <c r="BO69" s="225"/>
      <c r="BP69" s="225"/>
      <c r="BQ69" s="225"/>
      <c r="BR69" s="225"/>
      <c r="BS69" s="225"/>
      <c r="BT69" s="225"/>
      <c r="BU69" s="225"/>
    </row>
    <row r="70" spans="4:73" ht="13.25" customHeight="1" x14ac:dyDescent="0.25">
      <c r="BC70" s="225"/>
      <c r="BD70" s="225"/>
      <c r="BE70" s="225"/>
      <c r="BF70" s="225"/>
      <c r="BG70" s="225"/>
      <c r="BH70" s="225"/>
      <c r="BI70" s="225"/>
      <c r="BJ70" s="225"/>
      <c r="BK70" s="225"/>
      <c r="BL70" s="225"/>
      <c r="BM70" s="225"/>
      <c r="BN70" s="225"/>
      <c r="BO70" s="225"/>
      <c r="BP70" s="225"/>
      <c r="BQ70" s="225"/>
      <c r="BR70" s="225"/>
      <c r="BS70" s="225"/>
      <c r="BT70" s="225"/>
      <c r="BU70" s="225"/>
    </row>
    <row r="71" spans="4:73" x14ac:dyDescent="0.25">
      <c r="BC71" s="225"/>
      <c r="BD71" s="225"/>
      <c r="BE71" s="225"/>
      <c r="BF71" s="225"/>
      <c r="BG71" s="225"/>
      <c r="BH71" s="225"/>
      <c r="BI71" s="225"/>
      <c r="BJ71" s="225"/>
      <c r="BK71" s="225"/>
      <c r="BL71" s="225"/>
      <c r="BM71" s="225"/>
      <c r="BN71" s="225"/>
      <c r="BO71" s="225"/>
      <c r="BP71" s="225"/>
      <c r="BQ71" s="225"/>
      <c r="BR71" s="225"/>
      <c r="BS71" s="225"/>
      <c r="BT71" s="225"/>
      <c r="BU71" s="225"/>
    </row>
    <row r="72" spans="4:73" x14ac:dyDescent="0.25">
      <c r="BC72" s="225"/>
      <c r="BD72" s="225"/>
      <c r="BE72" s="225"/>
      <c r="BF72" s="225"/>
      <c r="BG72" s="225"/>
      <c r="BH72" s="225"/>
      <c r="BI72" s="225"/>
      <c r="BJ72" s="225"/>
      <c r="BK72" s="225"/>
      <c r="BL72" s="225"/>
      <c r="BM72" s="225"/>
      <c r="BN72" s="225"/>
      <c r="BO72" s="225"/>
      <c r="BP72" s="225"/>
      <c r="BQ72" s="225"/>
      <c r="BR72" s="225"/>
      <c r="BS72" s="225"/>
      <c r="BT72" s="225"/>
      <c r="BU72" s="225"/>
    </row>
    <row r="73" spans="4:73" x14ac:dyDescent="0.25">
      <c r="BC73" s="225"/>
      <c r="BD73" s="225"/>
      <c r="BE73" s="225"/>
      <c r="BF73" s="225"/>
      <c r="BG73" s="225"/>
      <c r="BH73" s="225"/>
      <c r="BI73" s="225"/>
      <c r="BJ73" s="225"/>
      <c r="BK73" s="225"/>
      <c r="BL73" s="225"/>
      <c r="BM73" s="225"/>
      <c r="BN73" s="225"/>
      <c r="BO73" s="225"/>
      <c r="BP73" s="225"/>
      <c r="BQ73" s="225"/>
      <c r="BR73" s="225"/>
      <c r="BS73" s="225"/>
      <c r="BT73" s="225"/>
      <c r="BU73" s="225"/>
    </row>
    <row r="74" spans="4:73" x14ac:dyDescent="0.25">
      <c r="AU74" s="220"/>
      <c r="AV74" s="220"/>
      <c r="AW74" s="221"/>
      <c r="AX74" s="221"/>
      <c r="AY74" s="221"/>
      <c r="AZ74" s="221"/>
      <c r="BA74" s="221"/>
      <c r="BB74" s="221"/>
      <c r="BC74" s="225"/>
      <c r="BD74" s="225"/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</row>
    <row r="75" spans="4:73" x14ac:dyDescent="0.25">
      <c r="AU75" s="221"/>
      <c r="AV75" s="221"/>
      <c r="AW75" s="221"/>
      <c r="AX75" s="221"/>
      <c r="AY75" s="221"/>
      <c r="AZ75" s="221"/>
      <c r="BA75" s="221"/>
      <c r="BB75" s="221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</row>
    <row r="76" spans="4:73" x14ac:dyDescent="0.25">
      <c r="BC76" s="225"/>
      <c r="BD76" s="225"/>
      <c r="BE76" s="225"/>
      <c r="BF76" s="225"/>
      <c r="BG76" s="225"/>
      <c r="BH76" s="225"/>
      <c r="BI76" s="225"/>
      <c r="BJ76" s="225"/>
      <c r="BK76" s="225"/>
      <c r="BL76" s="225"/>
      <c r="BM76" s="225"/>
      <c r="BN76" s="225"/>
      <c r="BO76" s="225"/>
      <c r="BP76" s="225"/>
      <c r="BQ76" s="225"/>
      <c r="BR76" s="225"/>
      <c r="BS76" s="225"/>
      <c r="BT76" s="225"/>
      <c r="BU76" s="225"/>
    </row>
    <row r="77" spans="4:73" x14ac:dyDescent="0.25">
      <c r="BC77" s="225"/>
      <c r="BD77" s="225"/>
      <c r="BE77" s="225"/>
      <c r="BF77" s="225"/>
      <c r="BG77" s="225"/>
      <c r="BH77" s="225"/>
      <c r="BI77" s="225"/>
      <c r="BJ77" s="225"/>
      <c r="BK77" s="225"/>
      <c r="BL77" s="225"/>
      <c r="BM77" s="225"/>
      <c r="BN77" s="225"/>
      <c r="BO77" s="225"/>
      <c r="BP77" s="225"/>
      <c r="BQ77" s="225"/>
      <c r="BR77" s="225"/>
      <c r="BS77" s="225"/>
      <c r="BT77" s="225"/>
      <c r="BU77" s="225"/>
    </row>
    <row r="78" spans="4:73" x14ac:dyDescent="0.25">
      <c r="BC78" s="225"/>
      <c r="BD78" s="225"/>
      <c r="BE78" s="225"/>
      <c r="BF78" s="225"/>
      <c r="BG78" s="225"/>
      <c r="BH78" s="225"/>
      <c r="BI78" s="225"/>
      <c r="BJ78" s="225"/>
      <c r="BK78" s="225"/>
      <c r="BL78" s="225"/>
      <c r="BM78" s="225"/>
      <c r="BN78" s="225"/>
      <c r="BO78" s="225"/>
      <c r="BP78" s="225"/>
      <c r="BQ78" s="225"/>
      <c r="BR78" s="225"/>
      <c r="BS78" s="225"/>
      <c r="BT78" s="225"/>
      <c r="BU78" s="225"/>
    </row>
    <row r="79" spans="4:73" x14ac:dyDescent="0.25">
      <c r="BC79" s="225"/>
      <c r="BD79" s="225"/>
      <c r="BE79" s="225"/>
      <c r="BF79" s="225"/>
      <c r="BG79" s="225"/>
      <c r="BH79" s="225"/>
      <c r="BI79" s="225"/>
      <c r="BJ79" s="225"/>
      <c r="BK79" s="225"/>
      <c r="BL79" s="225"/>
      <c r="BM79" s="225"/>
      <c r="BN79" s="225"/>
      <c r="BO79" s="225"/>
      <c r="BP79" s="225"/>
      <c r="BQ79" s="225"/>
      <c r="BR79" s="225"/>
      <c r="BS79" s="225"/>
      <c r="BT79" s="225"/>
      <c r="BU79" s="225"/>
    </row>
    <row r="80" spans="4:73" x14ac:dyDescent="0.25">
      <c r="BC80" s="225"/>
      <c r="BD80" s="225"/>
      <c r="BE80" s="225"/>
      <c r="BF80" s="225"/>
      <c r="BG80" s="225"/>
      <c r="BH80" s="225"/>
      <c r="BI80" s="225"/>
      <c r="BJ80" s="225"/>
      <c r="BK80" s="225"/>
      <c r="BL80" s="225"/>
      <c r="BM80" s="225"/>
      <c r="BN80" s="225"/>
      <c r="BO80" s="225"/>
      <c r="BP80" s="225"/>
      <c r="BQ80" s="225"/>
      <c r="BR80" s="225"/>
      <c r="BS80" s="225"/>
      <c r="BT80" s="225"/>
      <c r="BU80" s="225"/>
    </row>
    <row r="81" spans="41:73" ht="13.25" customHeight="1" x14ac:dyDescent="0.25">
      <c r="AO81"/>
      <c r="AS81"/>
      <c r="BC81" s="225"/>
      <c r="BD81" s="225"/>
      <c r="BE81" s="225"/>
      <c r="BF81" s="225"/>
      <c r="BG81" s="225"/>
      <c r="BH81" s="225"/>
      <c r="BI81" s="225"/>
      <c r="BJ81" s="225"/>
      <c r="BK81" s="225"/>
      <c r="BL81" s="225"/>
      <c r="BM81" s="225"/>
      <c r="BN81" s="225"/>
      <c r="BO81" s="225"/>
      <c r="BP81" s="225"/>
      <c r="BQ81" s="225"/>
      <c r="BR81" s="225"/>
      <c r="BS81" s="225"/>
      <c r="BT81" s="225"/>
      <c r="BU81" s="225"/>
    </row>
    <row r="82" spans="41:73" x14ac:dyDescent="0.25">
      <c r="AO82"/>
      <c r="AS82"/>
      <c r="BC82" s="225"/>
      <c r="BD82" s="225"/>
      <c r="BE82" s="225"/>
      <c r="BF82" s="225"/>
      <c r="BG82" s="225"/>
      <c r="BH82" s="225"/>
      <c r="BI82" s="225"/>
      <c r="BJ82" s="225"/>
      <c r="BK82" s="225"/>
      <c r="BL82" s="225"/>
      <c r="BM82" s="225"/>
      <c r="BN82" s="225"/>
      <c r="BO82" s="225"/>
      <c r="BP82" s="225"/>
      <c r="BQ82" s="225"/>
      <c r="BR82" s="225"/>
      <c r="BS82" s="225"/>
      <c r="BT82" s="225"/>
      <c r="BU82" s="225"/>
    </row>
    <row r="83" spans="41:73" x14ac:dyDescent="0.25">
      <c r="AO83"/>
      <c r="AS83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225"/>
      <c r="BN83" s="225"/>
      <c r="BO83" s="225"/>
      <c r="BP83" s="225"/>
      <c r="BQ83" s="225"/>
      <c r="BR83" s="225"/>
      <c r="BS83" s="225"/>
      <c r="BT83" s="225"/>
      <c r="BU83" s="225"/>
    </row>
    <row r="84" spans="41:73" x14ac:dyDescent="0.25">
      <c r="AO84"/>
      <c r="AS84"/>
      <c r="BC84" s="225"/>
      <c r="BD84" s="225"/>
      <c r="BE84" s="225"/>
      <c r="BF84" s="225"/>
      <c r="BG84" s="225"/>
      <c r="BH84" s="225"/>
      <c r="BI84" s="225"/>
      <c r="BJ84" s="225"/>
      <c r="BK84" s="225"/>
      <c r="BL84" s="225"/>
      <c r="BM84" s="225"/>
      <c r="BN84" s="225"/>
      <c r="BO84" s="225"/>
      <c r="BP84" s="225"/>
      <c r="BQ84" s="225"/>
      <c r="BR84" s="225"/>
      <c r="BS84" s="225"/>
      <c r="BT84" s="225"/>
      <c r="BU84" s="225"/>
    </row>
    <row r="85" spans="41:73" x14ac:dyDescent="0.25">
      <c r="AO85"/>
      <c r="AS8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5"/>
      <c r="BN85" s="225"/>
      <c r="BO85" s="225"/>
      <c r="BP85" s="225"/>
      <c r="BQ85" s="225"/>
      <c r="BR85" s="225"/>
      <c r="BS85" s="225"/>
      <c r="BT85" s="225"/>
      <c r="BU85" s="225"/>
    </row>
    <row r="86" spans="41:73" x14ac:dyDescent="0.25">
      <c r="AO86"/>
      <c r="AS86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5"/>
      <c r="BN86" s="225"/>
      <c r="BO86" s="225"/>
      <c r="BP86" s="225"/>
      <c r="BQ86" s="225"/>
      <c r="BR86" s="225"/>
      <c r="BS86" s="225"/>
      <c r="BT86" s="225"/>
      <c r="BU86" s="225"/>
    </row>
    <row r="87" spans="41:73" x14ac:dyDescent="0.25">
      <c r="AO87"/>
      <c r="AS87"/>
      <c r="BC87" s="225"/>
      <c r="BD87" s="225"/>
      <c r="BE87" s="225"/>
      <c r="BF87" s="225"/>
      <c r="BG87" s="225"/>
      <c r="BH87" s="225"/>
      <c r="BI87" s="225"/>
      <c r="BJ87" s="225"/>
      <c r="BK87" s="225"/>
      <c r="BL87" s="225"/>
      <c r="BM87" s="225"/>
      <c r="BN87" s="225"/>
      <c r="BO87" s="225"/>
      <c r="BP87" s="225"/>
      <c r="BQ87" s="225"/>
      <c r="BR87" s="225"/>
      <c r="BS87" s="225"/>
      <c r="BT87" s="225"/>
      <c r="BU87" s="225"/>
    </row>
    <row r="88" spans="41:73" x14ac:dyDescent="0.25">
      <c r="AO88"/>
      <c r="AS88"/>
      <c r="BC88" s="225"/>
      <c r="BD88" s="225"/>
      <c r="BE88" s="225"/>
      <c r="BF88" s="225"/>
      <c r="BG88" s="225"/>
      <c r="BH88" s="225"/>
      <c r="BI88" s="225"/>
      <c r="BJ88" s="225"/>
      <c r="BK88" s="225"/>
      <c r="BL88" s="225"/>
      <c r="BM88" s="225"/>
      <c r="BN88" s="225"/>
      <c r="BO88" s="225"/>
      <c r="BP88" s="225"/>
      <c r="BQ88" s="225"/>
      <c r="BR88" s="225"/>
      <c r="BS88" s="225"/>
      <c r="BT88" s="225"/>
      <c r="BU88" s="225"/>
    </row>
    <row r="89" spans="41:73" x14ac:dyDescent="0.25">
      <c r="AO89"/>
      <c r="AS89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</row>
    <row r="90" spans="41:73" x14ac:dyDescent="0.25">
      <c r="AO90"/>
      <c r="AS90"/>
      <c r="BC90" s="225"/>
      <c r="BD90" s="225"/>
      <c r="BE90" s="225"/>
      <c r="BF90" s="225"/>
      <c r="BG90" s="225"/>
      <c r="BH90" s="225"/>
      <c r="BI90" s="225"/>
      <c r="BJ90" s="225"/>
      <c r="BK90" s="225"/>
      <c r="BL90" s="225"/>
      <c r="BM90" s="225"/>
      <c r="BN90" s="225"/>
      <c r="BO90" s="225"/>
      <c r="BP90" s="225"/>
      <c r="BQ90" s="225"/>
      <c r="BR90" s="225"/>
      <c r="BS90" s="225"/>
      <c r="BT90" s="225"/>
      <c r="BU90" s="225"/>
    </row>
    <row r="91" spans="41:73" x14ac:dyDescent="0.25">
      <c r="AO91"/>
      <c r="AS91"/>
      <c r="BC91" s="225"/>
      <c r="BD91" s="225"/>
      <c r="BE91" s="225"/>
      <c r="BF91" s="225"/>
      <c r="BG91" s="225"/>
      <c r="BH91" s="225"/>
      <c r="BI91" s="225"/>
      <c r="BJ91" s="225"/>
      <c r="BK91" s="225"/>
      <c r="BL91" s="225"/>
      <c r="BM91" s="225"/>
      <c r="BN91" s="225"/>
      <c r="BO91" s="225"/>
      <c r="BP91" s="225"/>
      <c r="BQ91" s="225"/>
      <c r="BR91" s="225"/>
      <c r="BS91" s="225"/>
      <c r="BT91" s="225"/>
      <c r="BU91" s="225"/>
    </row>
    <row r="92" spans="41:73" x14ac:dyDescent="0.25">
      <c r="AO92"/>
      <c r="AS92"/>
      <c r="BC92" s="225"/>
      <c r="BD92" s="225"/>
      <c r="BE92" s="225"/>
      <c r="BF92" s="225"/>
      <c r="BG92" s="225"/>
      <c r="BH92" s="225"/>
      <c r="BI92" s="225"/>
      <c r="BJ92" s="225"/>
      <c r="BK92" s="225"/>
      <c r="BL92" s="225"/>
      <c r="BM92" s="225"/>
      <c r="BN92" s="225"/>
      <c r="BO92" s="225"/>
      <c r="BP92" s="225"/>
      <c r="BQ92" s="225"/>
      <c r="BR92" s="225"/>
      <c r="BS92" s="225"/>
      <c r="BT92" s="225"/>
      <c r="BU92" s="225"/>
    </row>
    <row r="93" spans="41:73" x14ac:dyDescent="0.25">
      <c r="AO93"/>
      <c r="AS93"/>
      <c r="BC93" s="225"/>
      <c r="BD93" s="225"/>
      <c r="BE93" s="225"/>
      <c r="BF93" s="225"/>
      <c r="BG93" s="225"/>
      <c r="BH93" s="225"/>
      <c r="BI93" s="225"/>
      <c r="BJ93" s="225"/>
      <c r="BK93" s="225"/>
      <c r="BL93" s="225"/>
      <c r="BM93" s="225"/>
      <c r="BN93" s="225"/>
      <c r="BO93" s="225"/>
      <c r="BP93" s="225"/>
      <c r="BQ93" s="225"/>
      <c r="BR93" s="225"/>
      <c r="BS93" s="225"/>
      <c r="BT93" s="225"/>
      <c r="BU93" s="225"/>
    </row>
    <row r="94" spans="41:73" x14ac:dyDescent="0.25">
      <c r="AO94"/>
      <c r="AS94"/>
      <c r="BC94" s="225"/>
      <c r="BD94" s="225"/>
      <c r="BE94" s="225"/>
      <c r="BF94" s="225"/>
      <c r="BG94" s="225"/>
      <c r="BH94" s="225"/>
      <c r="BI94" s="225"/>
      <c r="BJ94" s="225"/>
      <c r="BK94" s="225"/>
      <c r="BL94" s="225"/>
      <c r="BM94" s="225"/>
      <c r="BN94" s="225"/>
      <c r="BO94" s="225"/>
      <c r="BP94" s="225"/>
      <c r="BQ94" s="225"/>
      <c r="BR94" s="225"/>
      <c r="BS94" s="225"/>
      <c r="BT94" s="225"/>
      <c r="BU94" s="225"/>
    </row>
    <row r="95" spans="41:73" x14ac:dyDescent="0.25">
      <c r="AO95"/>
      <c r="AS95"/>
      <c r="BC95" s="225"/>
      <c r="BD95" s="225"/>
      <c r="BE95" s="225"/>
      <c r="BF95" s="225"/>
      <c r="BG95" s="225"/>
      <c r="BH95" s="225"/>
      <c r="BI95" s="225"/>
      <c r="BJ95" s="225"/>
      <c r="BK95" s="225"/>
      <c r="BL95" s="225"/>
      <c r="BM95" s="225"/>
      <c r="BN95" s="225"/>
      <c r="BO95" s="225"/>
      <c r="BP95" s="225"/>
      <c r="BQ95" s="225"/>
      <c r="BR95" s="225"/>
      <c r="BS95" s="225"/>
      <c r="BT95" s="225"/>
      <c r="BU95" s="225"/>
    </row>
    <row r="96" spans="41:73" x14ac:dyDescent="0.25">
      <c r="AO96"/>
      <c r="AS96"/>
      <c r="BC96" s="225"/>
      <c r="BD96" s="225"/>
      <c r="BE96" s="225"/>
      <c r="BF96" s="225"/>
      <c r="BG96" s="225"/>
      <c r="BH96" s="225"/>
      <c r="BI96" s="225"/>
      <c r="BJ96" s="225"/>
      <c r="BK96" s="225"/>
      <c r="BL96" s="225"/>
      <c r="BM96" s="225"/>
      <c r="BN96" s="225"/>
      <c r="BO96" s="225"/>
      <c r="BP96" s="225"/>
      <c r="BQ96" s="225"/>
      <c r="BR96" s="225"/>
      <c r="BS96" s="225"/>
      <c r="BT96" s="225"/>
      <c r="BU96" s="225"/>
    </row>
    <row r="97" spans="41:73" x14ac:dyDescent="0.25">
      <c r="AO97"/>
      <c r="AS97"/>
      <c r="BC97" s="225"/>
      <c r="BD97" s="225"/>
      <c r="BE97" s="225"/>
      <c r="BF97" s="225"/>
      <c r="BG97" s="225"/>
      <c r="BH97" s="225"/>
      <c r="BI97" s="225"/>
      <c r="BJ97" s="225"/>
      <c r="BK97" s="225"/>
      <c r="BL97" s="225"/>
      <c r="BM97" s="225"/>
      <c r="BN97" s="225"/>
      <c r="BO97" s="225"/>
      <c r="BP97" s="225"/>
      <c r="BQ97" s="225"/>
      <c r="BR97" s="225"/>
      <c r="BS97" s="225"/>
      <c r="BT97" s="225"/>
      <c r="BU97" s="225"/>
    </row>
    <row r="98" spans="41:73" x14ac:dyDescent="0.25">
      <c r="AO98"/>
      <c r="AS98"/>
      <c r="BC98" s="225"/>
      <c r="BD98" s="225"/>
      <c r="BE98" s="225"/>
      <c r="BF98" s="225"/>
      <c r="BG98" s="225"/>
      <c r="BH98" s="225"/>
      <c r="BI98" s="225"/>
      <c r="BJ98" s="225"/>
      <c r="BK98" s="225"/>
      <c r="BL98" s="225"/>
      <c r="BM98" s="225"/>
      <c r="BN98" s="225"/>
      <c r="BO98" s="225"/>
      <c r="BP98" s="225"/>
      <c r="BQ98" s="225"/>
      <c r="BR98" s="225"/>
      <c r="BS98" s="225"/>
      <c r="BT98" s="225"/>
      <c r="BU98" s="225"/>
    </row>
    <row r="99" spans="41:73" x14ac:dyDescent="0.25">
      <c r="AO99"/>
      <c r="AS99"/>
      <c r="BC99" s="225"/>
      <c r="BD99" s="225"/>
      <c r="BE99" s="225"/>
      <c r="BF99" s="225"/>
      <c r="BG99" s="225"/>
      <c r="BH99" s="225"/>
      <c r="BI99" s="225"/>
      <c r="BJ99" s="225"/>
      <c r="BK99" s="225"/>
      <c r="BL99" s="225"/>
      <c r="BM99" s="225"/>
      <c r="BN99" s="225"/>
      <c r="BO99" s="225"/>
      <c r="BP99" s="225"/>
      <c r="BQ99" s="225"/>
      <c r="BR99" s="225"/>
      <c r="BS99" s="225"/>
      <c r="BT99" s="225"/>
      <c r="BU99" s="225"/>
    </row>
    <row r="100" spans="41:73" x14ac:dyDescent="0.25">
      <c r="AO100"/>
      <c r="AS100"/>
      <c r="BC100" s="225"/>
      <c r="BD100" s="225"/>
      <c r="BE100" s="225"/>
      <c r="BF100" s="225"/>
      <c r="BG100" s="225"/>
      <c r="BH100" s="225"/>
      <c r="BI100" s="225"/>
      <c r="BJ100" s="225"/>
      <c r="BK100" s="225"/>
      <c r="BL100" s="225"/>
      <c r="BM100" s="225"/>
      <c r="BN100" s="225"/>
      <c r="BO100" s="225"/>
      <c r="BP100" s="225"/>
      <c r="BQ100" s="225"/>
      <c r="BR100" s="225"/>
      <c r="BS100" s="225"/>
      <c r="BT100" s="225"/>
      <c r="BU100" s="225"/>
    </row>
    <row r="101" spans="41:73" x14ac:dyDescent="0.25">
      <c r="AO101"/>
      <c r="AS101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</row>
    <row r="102" spans="41:73" x14ac:dyDescent="0.25">
      <c r="AO102"/>
      <c r="AS102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  <c r="BR102" s="225"/>
      <c r="BS102" s="225"/>
      <c r="BT102" s="225"/>
      <c r="BU102" s="225"/>
    </row>
    <row r="103" spans="41:73" x14ac:dyDescent="0.25">
      <c r="AO103"/>
      <c r="AS103"/>
      <c r="BC103" s="225"/>
      <c r="BD103" s="225"/>
      <c r="BE103" s="225"/>
      <c r="BF103" s="225"/>
      <c r="BG103" s="225"/>
      <c r="BH103" s="225"/>
      <c r="BI103" s="225"/>
      <c r="BJ103" s="225"/>
      <c r="BK103" s="225"/>
      <c r="BL103" s="225"/>
      <c r="BM103" s="225"/>
      <c r="BN103" s="225"/>
      <c r="BO103" s="225"/>
      <c r="BP103" s="225"/>
      <c r="BQ103" s="225"/>
      <c r="BR103" s="225"/>
      <c r="BS103" s="225"/>
      <c r="BT103" s="225"/>
      <c r="BU103" s="225"/>
    </row>
    <row r="104" spans="41:73" x14ac:dyDescent="0.25">
      <c r="AO104"/>
      <c r="AS104"/>
      <c r="BC104" s="225"/>
      <c r="BD104" s="225"/>
      <c r="BE104" s="225"/>
      <c r="BF104" s="225"/>
      <c r="BG104" s="225"/>
      <c r="BH104" s="225"/>
      <c r="BI104" s="225"/>
      <c r="BJ104" s="225"/>
      <c r="BK104" s="225"/>
      <c r="BL104" s="225"/>
      <c r="BM104" s="225"/>
      <c r="BN104" s="225"/>
      <c r="BO104" s="225"/>
      <c r="BP104" s="225"/>
      <c r="BQ104" s="225"/>
      <c r="BR104" s="225"/>
      <c r="BS104" s="225"/>
      <c r="BT104" s="225"/>
      <c r="BU104" s="225"/>
    </row>
    <row r="105" spans="41:73" x14ac:dyDescent="0.25">
      <c r="AO105"/>
      <c r="AS105"/>
      <c r="BC105" s="225"/>
      <c r="BD105" s="225"/>
      <c r="BE105" s="225"/>
      <c r="BF105" s="225"/>
      <c r="BG105" s="225"/>
      <c r="BH105" s="225"/>
      <c r="BI105" s="225"/>
      <c r="BJ105" s="225"/>
      <c r="BK105" s="225"/>
      <c r="BL105" s="225"/>
      <c r="BM105" s="225"/>
      <c r="BN105" s="225"/>
      <c r="BO105" s="225"/>
      <c r="BP105" s="225"/>
      <c r="BQ105" s="225"/>
      <c r="BR105" s="225"/>
      <c r="BS105" s="225"/>
      <c r="BT105" s="225"/>
      <c r="BU105" s="225"/>
    </row>
    <row r="106" spans="41:73" x14ac:dyDescent="0.25">
      <c r="AO106"/>
      <c r="AS106"/>
      <c r="BC106" s="225"/>
      <c r="BD106" s="225"/>
      <c r="BE106" s="225"/>
      <c r="BF106" s="225"/>
      <c r="BG106" s="225"/>
      <c r="BH106" s="225"/>
      <c r="BI106" s="225"/>
      <c r="BJ106" s="225"/>
      <c r="BK106" s="225"/>
      <c r="BL106" s="225"/>
      <c r="BM106" s="225"/>
      <c r="BN106" s="225"/>
      <c r="BO106" s="225"/>
      <c r="BP106" s="225"/>
      <c r="BQ106" s="225"/>
      <c r="BR106" s="225"/>
      <c r="BS106" s="225"/>
      <c r="BT106" s="225"/>
      <c r="BU106" s="225"/>
    </row>
    <row r="107" spans="41:73" x14ac:dyDescent="0.25">
      <c r="AO107"/>
      <c r="AS107"/>
      <c r="BC107" s="225"/>
      <c r="BD107" s="225"/>
      <c r="BE107" s="225"/>
      <c r="BF107" s="225"/>
      <c r="BG107" s="225"/>
      <c r="BH107" s="225"/>
      <c r="BI107" s="225"/>
      <c r="BJ107" s="225"/>
      <c r="BK107" s="225"/>
      <c r="BL107" s="225"/>
      <c r="BM107" s="225"/>
      <c r="BN107" s="225"/>
      <c r="BO107" s="225"/>
      <c r="BP107" s="225"/>
      <c r="BQ107" s="225"/>
      <c r="BR107" s="225"/>
      <c r="BS107" s="225"/>
      <c r="BT107" s="225"/>
      <c r="BU107" s="225"/>
    </row>
    <row r="108" spans="41:73" x14ac:dyDescent="0.25">
      <c r="AO108"/>
      <c r="AS108"/>
      <c r="BC108" s="225"/>
      <c r="BD108" s="225"/>
      <c r="BE108" s="225"/>
      <c r="BF108" s="225"/>
      <c r="BG108" s="225"/>
      <c r="BH108" s="225"/>
      <c r="BI108" s="225"/>
      <c r="BJ108" s="225"/>
      <c r="BK108" s="225"/>
      <c r="BL108" s="225"/>
      <c r="BM108" s="225"/>
      <c r="BN108" s="225"/>
      <c r="BO108" s="225"/>
      <c r="BP108" s="225"/>
      <c r="BQ108" s="225"/>
      <c r="BR108" s="225"/>
      <c r="BS108" s="225"/>
      <c r="BT108" s="225"/>
      <c r="BU108" s="225"/>
    </row>
    <row r="109" spans="41:73" x14ac:dyDescent="0.25">
      <c r="AO109"/>
      <c r="AS109"/>
      <c r="BC109" s="225"/>
      <c r="BD109" s="225"/>
      <c r="BE109" s="225"/>
      <c r="BF109" s="225"/>
      <c r="BG109" s="225"/>
      <c r="BH109" s="225"/>
      <c r="BI109" s="225"/>
      <c r="BJ109" s="225"/>
      <c r="BK109" s="225"/>
      <c r="BL109" s="225"/>
      <c r="BM109" s="225"/>
      <c r="BN109" s="225"/>
      <c r="BO109" s="225"/>
      <c r="BP109" s="225"/>
      <c r="BQ109" s="225"/>
      <c r="BR109" s="225"/>
      <c r="BS109" s="225"/>
      <c r="BT109" s="225"/>
      <c r="BU109" s="225"/>
    </row>
    <row r="110" spans="41:73" x14ac:dyDescent="0.25">
      <c r="AO110"/>
      <c r="AS110"/>
      <c r="BC110" s="225"/>
      <c r="BD110" s="225"/>
      <c r="BE110" s="225"/>
      <c r="BF110" s="225"/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5"/>
      <c r="BQ110" s="225"/>
      <c r="BR110" s="225"/>
      <c r="BS110" s="225"/>
      <c r="BT110" s="225"/>
      <c r="BU110" s="225"/>
    </row>
    <row r="111" spans="41:73" x14ac:dyDescent="0.25">
      <c r="AO111"/>
      <c r="AS111"/>
      <c r="BC111" s="225"/>
      <c r="BD111" s="225"/>
      <c r="BE111" s="225"/>
      <c r="BF111" s="225"/>
      <c r="BG111" s="225"/>
      <c r="BH111" s="225"/>
      <c r="BI111" s="225"/>
      <c r="BJ111" s="225"/>
      <c r="BK111" s="225"/>
      <c r="BL111" s="225"/>
      <c r="BM111" s="225"/>
      <c r="BN111" s="225"/>
      <c r="BO111" s="225"/>
      <c r="BP111" s="225"/>
      <c r="BQ111" s="225"/>
      <c r="BR111" s="225"/>
      <c r="BS111" s="225"/>
      <c r="BT111" s="225"/>
      <c r="BU111" s="225"/>
    </row>
    <row r="112" spans="41:73" x14ac:dyDescent="0.25">
      <c r="AO112"/>
      <c r="AS112"/>
      <c r="BC112" s="225"/>
      <c r="BD112" s="225"/>
      <c r="BE112" s="225"/>
      <c r="BF112" s="225"/>
      <c r="BG112" s="225"/>
      <c r="BH112" s="225"/>
      <c r="BI112" s="225"/>
      <c r="BJ112" s="225"/>
      <c r="BK112" s="225"/>
      <c r="BL112" s="225"/>
      <c r="BM112" s="225"/>
      <c r="BN112" s="225"/>
      <c r="BO112" s="225"/>
      <c r="BP112" s="225"/>
      <c r="BQ112" s="225"/>
      <c r="BR112" s="225"/>
      <c r="BS112" s="225"/>
      <c r="BT112" s="225"/>
      <c r="BU112" s="225"/>
    </row>
    <row r="113" spans="41:73" x14ac:dyDescent="0.25">
      <c r="AO113"/>
      <c r="AS113"/>
      <c r="BC113" s="225"/>
      <c r="BD113" s="225"/>
      <c r="BE113" s="225"/>
      <c r="BF113" s="225"/>
      <c r="BG113" s="225"/>
      <c r="BH113" s="225"/>
      <c r="BI113" s="225"/>
      <c r="BJ113" s="225"/>
      <c r="BK113" s="225"/>
      <c r="BL113" s="225"/>
      <c r="BM113" s="225"/>
      <c r="BN113" s="225"/>
      <c r="BO113" s="225"/>
      <c r="BP113" s="225"/>
      <c r="BQ113" s="225"/>
      <c r="BR113" s="225"/>
      <c r="BS113" s="225"/>
      <c r="BT113" s="225"/>
      <c r="BU113" s="225"/>
    </row>
    <row r="114" spans="41:73" x14ac:dyDescent="0.25">
      <c r="AO114"/>
      <c r="AS114"/>
      <c r="BC114" s="225"/>
      <c r="BD114" s="225"/>
      <c r="BE114" s="225"/>
      <c r="BF114" s="225"/>
      <c r="BG114" s="225"/>
      <c r="BH114" s="225"/>
      <c r="BI114" s="225"/>
      <c r="BJ114" s="225"/>
      <c r="BK114" s="225"/>
      <c r="BL114" s="225"/>
      <c r="BM114" s="225"/>
      <c r="BN114" s="225"/>
      <c r="BO114" s="225"/>
      <c r="BP114" s="225"/>
      <c r="BQ114" s="225"/>
      <c r="BR114" s="225"/>
      <c r="BS114" s="225"/>
      <c r="BT114" s="225"/>
      <c r="BU114" s="225"/>
    </row>
    <row r="115" spans="41:73" x14ac:dyDescent="0.25">
      <c r="AO115"/>
      <c r="AS115"/>
      <c r="BC115" s="225"/>
      <c r="BD115" s="225"/>
      <c r="BE115" s="225"/>
      <c r="BF115" s="225"/>
      <c r="BG115" s="225"/>
      <c r="BH115" s="225"/>
      <c r="BI115" s="225"/>
      <c r="BJ115" s="225"/>
      <c r="BK115" s="225"/>
      <c r="BL115" s="225"/>
      <c r="BM115" s="225"/>
      <c r="BN115" s="225"/>
      <c r="BO115" s="225"/>
      <c r="BP115" s="225"/>
      <c r="BQ115" s="225"/>
      <c r="BR115" s="225"/>
      <c r="BS115" s="225"/>
      <c r="BT115" s="225"/>
      <c r="BU115" s="225"/>
    </row>
    <row r="116" spans="41:73" x14ac:dyDescent="0.25">
      <c r="AO116"/>
      <c r="AS116"/>
      <c r="BC116" s="225"/>
      <c r="BD116" s="225"/>
      <c r="BE116" s="225"/>
      <c r="BF116" s="225"/>
      <c r="BG116" s="225"/>
      <c r="BH116" s="225"/>
      <c r="BI116" s="225"/>
      <c r="BJ116" s="225"/>
      <c r="BK116" s="225"/>
      <c r="BL116" s="225"/>
      <c r="BM116" s="225"/>
      <c r="BN116" s="225"/>
      <c r="BO116" s="225"/>
      <c r="BP116" s="225"/>
      <c r="BQ116" s="225"/>
      <c r="BR116" s="225"/>
      <c r="BS116" s="225"/>
      <c r="BT116" s="225"/>
      <c r="BU116" s="225"/>
    </row>
    <row r="117" spans="41:73" x14ac:dyDescent="0.25">
      <c r="AO117"/>
      <c r="AS117"/>
      <c r="BC117" s="225"/>
      <c r="BD117" s="225"/>
      <c r="BE117" s="225"/>
      <c r="BF117" s="225"/>
      <c r="BG117" s="225"/>
      <c r="BH117" s="225"/>
      <c r="BI117" s="225"/>
      <c r="BJ117" s="225"/>
      <c r="BK117" s="225"/>
      <c r="BL117" s="225"/>
      <c r="BM117" s="225"/>
      <c r="BN117" s="225"/>
      <c r="BO117" s="225"/>
      <c r="BP117" s="225"/>
      <c r="BQ117" s="225"/>
      <c r="BR117" s="225"/>
      <c r="BS117" s="225"/>
      <c r="BT117" s="225"/>
      <c r="BU117" s="225"/>
    </row>
    <row r="118" spans="41:73" x14ac:dyDescent="0.25">
      <c r="AO118"/>
      <c r="AS118"/>
      <c r="BC118" s="225"/>
      <c r="BD118" s="225"/>
      <c r="BE118" s="225"/>
      <c r="BF118" s="225"/>
      <c r="BG118" s="225"/>
      <c r="BH118" s="225"/>
      <c r="BI118" s="225"/>
      <c r="BJ118" s="225"/>
      <c r="BK118" s="225"/>
      <c r="BL118" s="225"/>
      <c r="BM118" s="225"/>
      <c r="BN118" s="225"/>
      <c r="BO118" s="225"/>
      <c r="BP118" s="225"/>
      <c r="BQ118" s="225"/>
      <c r="BR118" s="225"/>
      <c r="BS118" s="225"/>
      <c r="BT118" s="225"/>
      <c r="BU118" s="225"/>
    </row>
    <row r="119" spans="41:73" x14ac:dyDescent="0.25">
      <c r="AO119"/>
      <c r="AS119"/>
      <c r="BC119" s="225"/>
      <c r="BD119" s="225"/>
      <c r="BE119" s="225"/>
      <c r="BF119" s="225"/>
      <c r="BG119" s="225"/>
      <c r="BH119" s="225"/>
      <c r="BI119" s="225"/>
      <c r="BJ119" s="225"/>
      <c r="BK119" s="225"/>
      <c r="BL119" s="225"/>
      <c r="BM119" s="225"/>
      <c r="BN119" s="225"/>
      <c r="BO119" s="225"/>
      <c r="BP119" s="225"/>
      <c r="BQ119" s="225"/>
      <c r="BR119" s="225"/>
      <c r="BS119" s="225"/>
      <c r="BT119" s="225"/>
      <c r="BU119" s="225"/>
    </row>
    <row r="120" spans="41:73" x14ac:dyDescent="0.25">
      <c r="AO120"/>
      <c r="AS120"/>
      <c r="BC120" s="225"/>
      <c r="BD120" s="225"/>
      <c r="BE120" s="225"/>
      <c r="BF120" s="225"/>
      <c r="BG120" s="225"/>
      <c r="BH120" s="225"/>
      <c r="BI120" s="225"/>
      <c r="BJ120" s="225"/>
      <c r="BK120" s="225"/>
      <c r="BL120" s="225"/>
      <c r="BM120" s="225"/>
      <c r="BN120" s="225"/>
      <c r="BO120" s="225"/>
      <c r="BP120" s="225"/>
      <c r="BQ120" s="225"/>
      <c r="BR120" s="225"/>
      <c r="BS120" s="225"/>
      <c r="BT120" s="225"/>
      <c r="BU120" s="225"/>
    </row>
    <row r="121" spans="41:73" x14ac:dyDescent="0.25">
      <c r="AO121"/>
      <c r="AS121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5"/>
      <c r="BN121" s="225"/>
      <c r="BO121" s="225"/>
      <c r="BP121" s="225"/>
      <c r="BQ121" s="225"/>
      <c r="BR121" s="225"/>
      <c r="BS121" s="225"/>
      <c r="BT121" s="225"/>
      <c r="BU121" s="225"/>
    </row>
    <row r="122" spans="41:73" x14ac:dyDescent="0.25">
      <c r="AO122"/>
      <c r="AS122"/>
      <c r="BC122" s="225"/>
      <c r="BD122" s="225"/>
      <c r="BE122" s="225"/>
      <c r="BF122" s="225"/>
      <c r="BG122" s="225"/>
      <c r="BH122" s="225"/>
      <c r="BI122" s="225"/>
      <c r="BJ122" s="225"/>
      <c r="BK122" s="225"/>
      <c r="BL122" s="225"/>
      <c r="BM122" s="225"/>
      <c r="BN122" s="225"/>
      <c r="BO122" s="225"/>
      <c r="BP122" s="225"/>
      <c r="BQ122" s="225"/>
      <c r="BR122" s="225"/>
      <c r="BS122" s="225"/>
      <c r="BT122" s="225"/>
      <c r="BU122" s="225"/>
    </row>
    <row r="123" spans="41:73" x14ac:dyDescent="0.25">
      <c r="AO123"/>
      <c r="AS123"/>
      <c r="BC123" s="225"/>
      <c r="BD123" s="225"/>
      <c r="BE123" s="225"/>
      <c r="BF123" s="225"/>
      <c r="BG123" s="225"/>
      <c r="BH123" s="225"/>
      <c r="BI123" s="225"/>
      <c r="BJ123" s="225"/>
      <c r="BK123" s="225"/>
      <c r="BL123" s="225"/>
      <c r="BM123" s="225"/>
      <c r="BN123" s="225"/>
      <c r="BO123" s="225"/>
      <c r="BP123" s="225"/>
      <c r="BQ123" s="225"/>
      <c r="BR123" s="225"/>
      <c r="BS123" s="225"/>
      <c r="BT123" s="225"/>
      <c r="BU123" s="225"/>
    </row>
    <row r="124" spans="41:73" x14ac:dyDescent="0.25">
      <c r="AO124"/>
      <c r="AS124"/>
      <c r="BC124" s="225"/>
      <c r="BD124" s="225"/>
      <c r="BE124" s="225"/>
      <c r="BF124" s="225"/>
      <c r="BG124" s="225"/>
      <c r="BH124" s="225"/>
      <c r="BI124" s="225"/>
      <c r="BJ124" s="225"/>
      <c r="BK124" s="225"/>
      <c r="BL124" s="225"/>
      <c r="BM124" s="225"/>
      <c r="BN124" s="225"/>
      <c r="BO124" s="225"/>
      <c r="BP124" s="225"/>
      <c r="BQ124" s="225"/>
      <c r="BR124" s="225"/>
      <c r="BS124" s="225"/>
      <c r="BT124" s="225"/>
      <c r="BU124" s="225"/>
    </row>
    <row r="125" spans="41:73" x14ac:dyDescent="0.25">
      <c r="AO125"/>
      <c r="AS125"/>
      <c r="BC125" s="225"/>
      <c r="BD125" s="225"/>
      <c r="BE125" s="225"/>
      <c r="BF125" s="225"/>
      <c r="BG125" s="225"/>
      <c r="BH125" s="225"/>
      <c r="BI125" s="225"/>
      <c r="BJ125" s="225"/>
      <c r="BK125" s="225"/>
      <c r="BL125" s="225"/>
      <c r="BM125" s="225"/>
      <c r="BN125" s="225"/>
      <c r="BO125" s="225"/>
      <c r="BP125" s="225"/>
      <c r="BQ125" s="225"/>
      <c r="BR125" s="225"/>
      <c r="BS125" s="225"/>
      <c r="BT125" s="225"/>
      <c r="BU125" s="225"/>
    </row>
    <row r="126" spans="41:73" x14ac:dyDescent="0.25">
      <c r="AO126"/>
      <c r="AS126"/>
      <c r="BC126" s="225"/>
      <c r="BD126" s="225"/>
      <c r="BE126" s="225"/>
      <c r="BF126" s="225"/>
      <c r="BG126" s="225"/>
      <c r="BH126" s="225"/>
      <c r="BI126" s="225"/>
      <c r="BJ126" s="225"/>
      <c r="BK126" s="225"/>
      <c r="BL126" s="225"/>
      <c r="BM126" s="225"/>
      <c r="BN126" s="225"/>
      <c r="BO126" s="225"/>
      <c r="BP126" s="225"/>
      <c r="BQ126" s="225"/>
      <c r="BR126" s="225"/>
      <c r="BS126" s="225"/>
      <c r="BT126" s="225"/>
      <c r="BU126" s="225"/>
    </row>
    <row r="127" spans="41:73" x14ac:dyDescent="0.25">
      <c r="AO127"/>
      <c r="AS127"/>
      <c r="BC127" s="225"/>
      <c r="BD127" s="225"/>
      <c r="BE127" s="225"/>
      <c r="BF127" s="225"/>
      <c r="BG127" s="225"/>
      <c r="BH127" s="225"/>
      <c r="BI127" s="225"/>
      <c r="BJ127" s="225"/>
      <c r="BK127" s="225"/>
      <c r="BL127" s="225"/>
      <c r="BM127" s="225"/>
      <c r="BN127" s="225"/>
      <c r="BO127" s="225"/>
      <c r="BP127" s="225"/>
      <c r="BQ127" s="225"/>
      <c r="BR127" s="225"/>
      <c r="BS127" s="225"/>
      <c r="BT127" s="225"/>
      <c r="BU127" s="225"/>
    </row>
    <row r="128" spans="41:73" x14ac:dyDescent="0.25">
      <c r="AO128"/>
      <c r="AS128"/>
      <c r="BC128" s="225"/>
      <c r="BD128" s="225"/>
      <c r="BE128" s="225"/>
      <c r="BF128" s="225"/>
      <c r="BG128" s="225"/>
      <c r="BH128" s="225"/>
      <c r="BI128" s="225"/>
      <c r="BJ128" s="225"/>
      <c r="BK128" s="225"/>
      <c r="BL128" s="225"/>
      <c r="BM128" s="225"/>
      <c r="BN128" s="225"/>
      <c r="BO128" s="225"/>
      <c r="BP128" s="225"/>
      <c r="BQ128" s="225"/>
      <c r="BR128" s="225"/>
      <c r="BS128" s="225"/>
      <c r="BT128" s="225"/>
      <c r="BU128" s="225"/>
    </row>
    <row r="129" spans="41:73" x14ac:dyDescent="0.25">
      <c r="AO129"/>
      <c r="AS129"/>
      <c r="BC129" s="225"/>
      <c r="BD129" s="225"/>
      <c r="BE129" s="225"/>
      <c r="BF129" s="225"/>
      <c r="BG129" s="225"/>
      <c r="BH129" s="225"/>
      <c r="BI129" s="225"/>
      <c r="BJ129" s="225"/>
      <c r="BK129" s="225"/>
      <c r="BL129" s="225"/>
      <c r="BM129" s="225"/>
      <c r="BN129" s="225"/>
      <c r="BO129" s="225"/>
      <c r="BP129" s="225"/>
      <c r="BQ129" s="225"/>
      <c r="BR129" s="225"/>
      <c r="BS129" s="225"/>
      <c r="BT129" s="225"/>
      <c r="BU129" s="225"/>
    </row>
    <row r="130" spans="41:73" x14ac:dyDescent="0.25">
      <c r="AO130"/>
      <c r="AS130"/>
      <c r="BC130" s="225"/>
      <c r="BD130" s="225"/>
      <c r="BE130" s="225"/>
      <c r="BF130" s="225"/>
      <c r="BG130" s="225"/>
      <c r="BH130" s="225"/>
      <c r="BI130" s="225"/>
      <c r="BJ130" s="225"/>
      <c r="BK130" s="225"/>
      <c r="BL130" s="225"/>
      <c r="BM130" s="225"/>
      <c r="BN130" s="225"/>
      <c r="BO130" s="225"/>
      <c r="BP130" s="225"/>
      <c r="BQ130" s="225"/>
      <c r="BR130" s="225"/>
      <c r="BS130" s="225"/>
      <c r="BT130" s="225"/>
      <c r="BU130" s="225"/>
    </row>
    <row r="131" spans="41:73" x14ac:dyDescent="0.25">
      <c r="AO131"/>
      <c r="AS131"/>
      <c r="BC131" s="225"/>
      <c r="BD131" s="225"/>
      <c r="BE131" s="225"/>
      <c r="BF131" s="225"/>
      <c r="BG131" s="225"/>
      <c r="BH131" s="225"/>
      <c r="BI131" s="225"/>
      <c r="BJ131" s="225"/>
      <c r="BK131" s="225"/>
      <c r="BL131" s="225"/>
      <c r="BM131" s="225"/>
      <c r="BN131" s="225"/>
      <c r="BO131" s="225"/>
      <c r="BP131" s="225"/>
      <c r="BQ131" s="225"/>
      <c r="BR131" s="225"/>
      <c r="BS131" s="225"/>
      <c r="BT131" s="225"/>
      <c r="BU131" s="225"/>
    </row>
    <row r="132" spans="41:73" x14ac:dyDescent="0.25">
      <c r="AO132"/>
      <c r="AS132"/>
      <c r="BC132" s="225"/>
      <c r="BD132" s="225"/>
      <c r="BE132" s="225"/>
      <c r="BF132" s="225"/>
      <c r="BG132" s="225"/>
      <c r="BH132" s="225"/>
      <c r="BI132" s="225"/>
      <c r="BJ132" s="225"/>
      <c r="BK132" s="225"/>
      <c r="BL132" s="225"/>
      <c r="BM132" s="225"/>
      <c r="BN132" s="225"/>
      <c r="BO132" s="225"/>
      <c r="BP132" s="225"/>
      <c r="BQ132" s="225"/>
      <c r="BR132" s="225"/>
      <c r="BS132" s="225"/>
      <c r="BT132" s="225"/>
      <c r="BU132" s="225"/>
    </row>
    <row r="133" spans="41:73" x14ac:dyDescent="0.25">
      <c r="AO133"/>
      <c r="AS133"/>
      <c r="BC133" s="225"/>
      <c r="BD133" s="225"/>
      <c r="BE133" s="225"/>
      <c r="BF133" s="225"/>
      <c r="BG133" s="225"/>
      <c r="BH133" s="225"/>
      <c r="BI133" s="225"/>
      <c r="BJ133" s="225"/>
      <c r="BK133" s="225"/>
      <c r="BL133" s="225"/>
      <c r="BM133" s="225"/>
      <c r="BN133" s="225"/>
      <c r="BO133" s="225"/>
      <c r="BP133" s="225"/>
      <c r="BQ133" s="225"/>
      <c r="BR133" s="225"/>
      <c r="BS133" s="225"/>
      <c r="BT133" s="225"/>
      <c r="BU133" s="225"/>
    </row>
    <row r="134" spans="41:73" x14ac:dyDescent="0.25">
      <c r="AO134"/>
      <c r="AS134"/>
      <c r="BC134" s="225"/>
      <c r="BD134" s="225"/>
      <c r="BE134" s="225"/>
      <c r="BF134" s="225"/>
      <c r="BG134" s="225"/>
      <c r="BH134" s="225"/>
      <c r="BI134" s="225"/>
      <c r="BJ134" s="225"/>
      <c r="BK134" s="225"/>
      <c r="BL134" s="225"/>
      <c r="BM134" s="225"/>
      <c r="BN134" s="225"/>
      <c r="BO134" s="225"/>
      <c r="BP134" s="225"/>
      <c r="BQ134" s="225"/>
      <c r="BR134" s="225"/>
      <c r="BS134" s="225"/>
      <c r="BT134" s="225"/>
      <c r="BU134" s="225"/>
    </row>
    <row r="135" spans="41:73" x14ac:dyDescent="0.25">
      <c r="AO135"/>
      <c r="AS135"/>
      <c r="BC135" s="225"/>
      <c r="BD135" s="225"/>
      <c r="BE135" s="225"/>
      <c r="BF135" s="225"/>
      <c r="BG135" s="225"/>
      <c r="BH135" s="225"/>
      <c r="BI135" s="225"/>
      <c r="BJ135" s="225"/>
      <c r="BK135" s="225"/>
      <c r="BL135" s="225"/>
      <c r="BM135" s="225"/>
      <c r="BN135" s="225"/>
      <c r="BO135" s="225"/>
      <c r="BP135" s="225"/>
      <c r="BQ135" s="225"/>
      <c r="BR135" s="225"/>
      <c r="BS135" s="225"/>
      <c r="BT135" s="225"/>
      <c r="BU135" s="225"/>
    </row>
    <row r="136" spans="41:73" x14ac:dyDescent="0.25">
      <c r="AO136"/>
      <c r="AS136"/>
      <c r="BC136" s="225"/>
      <c r="BD136" s="225"/>
      <c r="BE136" s="225"/>
      <c r="BF136" s="225"/>
      <c r="BG136" s="225"/>
      <c r="BH136" s="225"/>
      <c r="BI136" s="225"/>
      <c r="BJ136" s="225"/>
      <c r="BK136" s="225"/>
      <c r="BL136" s="225"/>
      <c r="BM136" s="225"/>
      <c r="BN136" s="225"/>
      <c r="BO136" s="225"/>
      <c r="BP136" s="225"/>
      <c r="BQ136" s="225"/>
      <c r="BR136" s="225"/>
      <c r="BS136" s="225"/>
      <c r="BT136" s="225"/>
      <c r="BU136" s="225"/>
    </row>
    <row r="137" spans="41:73" x14ac:dyDescent="0.25">
      <c r="AO137"/>
      <c r="AS137"/>
      <c r="BC137" s="225"/>
      <c r="BD137" s="225"/>
      <c r="BE137" s="225"/>
      <c r="BF137" s="225"/>
      <c r="BG137" s="225"/>
      <c r="BH137" s="225"/>
      <c r="BI137" s="225"/>
      <c r="BJ137" s="225"/>
      <c r="BK137" s="225"/>
      <c r="BL137" s="225"/>
      <c r="BM137" s="225"/>
      <c r="BN137" s="225"/>
      <c r="BO137" s="225"/>
      <c r="BP137" s="225"/>
      <c r="BQ137" s="225"/>
      <c r="BR137" s="225"/>
      <c r="BS137" s="225"/>
      <c r="BT137" s="225"/>
      <c r="BU137" s="225"/>
    </row>
    <row r="138" spans="41:73" x14ac:dyDescent="0.25">
      <c r="AO138"/>
      <c r="AS138"/>
      <c r="BC138" s="225"/>
      <c r="BD138" s="225"/>
      <c r="BE138" s="225"/>
      <c r="BF138" s="225"/>
      <c r="BG138" s="225"/>
      <c r="BH138" s="225"/>
      <c r="BI138" s="225"/>
      <c r="BJ138" s="225"/>
      <c r="BK138" s="225"/>
      <c r="BL138" s="225"/>
      <c r="BM138" s="225"/>
      <c r="BN138" s="225"/>
      <c r="BO138" s="225"/>
      <c r="BP138" s="225"/>
      <c r="BQ138" s="225"/>
      <c r="BR138" s="225"/>
      <c r="BS138" s="225"/>
      <c r="BT138" s="225"/>
      <c r="BU138" s="225"/>
    </row>
    <row r="139" spans="41:73" x14ac:dyDescent="0.25">
      <c r="AO139"/>
      <c r="AS139"/>
      <c r="BC139" s="225"/>
      <c r="BD139" s="225"/>
      <c r="BE139" s="225"/>
      <c r="BF139" s="225"/>
      <c r="BG139" s="225"/>
      <c r="BH139" s="225"/>
      <c r="BI139" s="225"/>
      <c r="BJ139" s="225"/>
      <c r="BK139" s="225"/>
      <c r="BL139" s="225"/>
      <c r="BM139" s="225"/>
      <c r="BN139" s="225"/>
      <c r="BO139" s="225"/>
      <c r="BP139" s="225"/>
      <c r="BQ139" s="225"/>
      <c r="BR139" s="225"/>
      <c r="BS139" s="225"/>
      <c r="BT139" s="225"/>
      <c r="BU139" s="225"/>
    </row>
    <row r="140" spans="41:73" x14ac:dyDescent="0.25">
      <c r="AO140"/>
      <c r="AS140"/>
      <c r="BC140" s="225"/>
      <c r="BD140" s="225"/>
      <c r="BE140" s="225"/>
      <c r="BF140" s="225"/>
      <c r="BG140" s="225"/>
      <c r="BH140" s="225"/>
      <c r="BI140" s="225"/>
      <c r="BJ140" s="225"/>
      <c r="BK140" s="225"/>
      <c r="BL140" s="225"/>
      <c r="BM140" s="225"/>
      <c r="BN140" s="225"/>
      <c r="BO140" s="225"/>
      <c r="BP140" s="225"/>
      <c r="BQ140" s="225"/>
      <c r="BR140" s="225"/>
      <c r="BS140" s="225"/>
      <c r="BT140" s="225"/>
      <c r="BU140" s="225"/>
    </row>
    <row r="141" spans="41:73" x14ac:dyDescent="0.25">
      <c r="AO141"/>
      <c r="AS141"/>
      <c r="BC141" s="225"/>
      <c r="BD141" s="225"/>
      <c r="BE141" s="225"/>
      <c r="BF141" s="225"/>
      <c r="BG141" s="225"/>
      <c r="BH141" s="225"/>
      <c r="BI141" s="225"/>
      <c r="BJ141" s="225"/>
      <c r="BK141" s="225"/>
      <c r="BL141" s="225"/>
      <c r="BM141" s="225"/>
      <c r="BN141" s="225"/>
      <c r="BO141" s="225"/>
      <c r="BP141" s="225"/>
      <c r="BQ141" s="225"/>
      <c r="BR141" s="225"/>
      <c r="BS141" s="225"/>
      <c r="BT141" s="225"/>
      <c r="BU141" s="225"/>
    </row>
    <row r="142" spans="41:73" x14ac:dyDescent="0.25">
      <c r="AO142"/>
      <c r="AS142"/>
      <c r="BC142" s="225"/>
      <c r="BD142" s="225"/>
      <c r="BE142" s="225"/>
      <c r="BF142" s="225"/>
      <c r="BG142" s="225"/>
      <c r="BH142" s="225"/>
      <c r="BI142" s="225"/>
      <c r="BJ142" s="225"/>
      <c r="BK142" s="225"/>
      <c r="BL142" s="225"/>
      <c r="BM142" s="225"/>
      <c r="BN142" s="225"/>
      <c r="BO142" s="225"/>
      <c r="BP142" s="225"/>
      <c r="BQ142" s="225"/>
      <c r="BR142" s="225"/>
      <c r="BS142" s="225"/>
      <c r="BT142" s="225"/>
      <c r="BU142" s="225"/>
    </row>
    <row r="143" spans="41:73" x14ac:dyDescent="0.25">
      <c r="AO143"/>
      <c r="AS143"/>
      <c r="BC143" s="225"/>
      <c r="BD143" s="225"/>
      <c r="BE143" s="225"/>
      <c r="BF143" s="225"/>
      <c r="BG143" s="225"/>
      <c r="BH143" s="225"/>
      <c r="BI143" s="225"/>
      <c r="BJ143" s="225"/>
      <c r="BK143" s="225"/>
      <c r="BL143" s="225"/>
      <c r="BM143" s="225"/>
      <c r="BN143" s="225"/>
      <c r="BO143" s="225"/>
      <c r="BP143" s="225"/>
      <c r="BQ143" s="225"/>
      <c r="BR143" s="225"/>
      <c r="BS143" s="225"/>
      <c r="BT143" s="225"/>
      <c r="BU143" s="225"/>
    </row>
    <row r="144" spans="41:73" x14ac:dyDescent="0.25">
      <c r="AO144"/>
      <c r="AS144"/>
      <c r="BC144" s="225"/>
      <c r="BD144" s="225"/>
      <c r="BE144" s="225"/>
      <c r="BF144" s="225"/>
      <c r="BG144" s="225"/>
      <c r="BH144" s="225"/>
      <c r="BI144" s="225"/>
      <c r="BJ144" s="225"/>
      <c r="BK144" s="225"/>
      <c r="BL144" s="225"/>
      <c r="BM144" s="225"/>
      <c r="BN144" s="225"/>
      <c r="BO144" s="225"/>
      <c r="BP144" s="225"/>
      <c r="BQ144" s="225"/>
      <c r="BR144" s="225"/>
      <c r="BS144" s="225"/>
      <c r="BT144" s="225"/>
      <c r="BU144" s="225"/>
    </row>
    <row r="145" spans="41:73" x14ac:dyDescent="0.25">
      <c r="AO145"/>
      <c r="AS145"/>
      <c r="BC145" s="225"/>
      <c r="BD145" s="225"/>
      <c r="BE145" s="225"/>
      <c r="BF145" s="225"/>
      <c r="BG145" s="225"/>
      <c r="BH145" s="225"/>
      <c r="BI145" s="225"/>
      <c r="BJ145" s="225"/>
      <c r="BK145" s="225"/>
      <c r="BL145" s="225"/>
      <c r="BM145" s="225"/>
      <c r="BN145" s="225"/>
      <c r="BO145" s="225"/>
      <c r="BP145" s="225"/>
      <c r="BQ145" s="225"/>
      <c r="BR145" s="225"/>
      <c r="BS145" s="225"/>
      <c r="BT145" s="225"/>
      <c r="BU145" s="225"/>
    </row>
    <row r="146" spans="41:73" x14ac:dyDescent="0.25">
      <c r="AO146"/>
      <c r="AS146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5"/>
      <c r="BQ146" s="225"/>
      <c r="BR146" s="225"/>
      <c r="BS146" s="225"/>
      <c r="BT146" s="225"/>
      <c r="BU146" s="225"/>
    </row>
    <row r="147" spans="41:73" x14ac:dyDescent="0.25">
      <c r="AO147"/>
      <c r="AS147"/>
      <c r="BC147" s="225"/>
      <c r="BD147" s="225"/>
      <c r="BE147" s="225"/>
      <c r="BF147" s="225"/>
      <c r="BG147" s="225"/>
      <c r="BH147" s="225"/>
      <c r="BI147" s="225"/>
      <c r="BJ147" s="225"/>
      <c r="BK147" s="225"/>
      <c r="BL147" s="225"/>
      <c r="BM147" s="225"/>
      <c r="BN147" s="225"/>
      <c r="BO147" s="225"/>
      <c r="BP147" s="225"/>
      <c r="BQ147" s="225"/>
      <c r="BR147" s="225"/>
      <c r="BS147" s="225"/>
      <c r="BT147" s="225"/>
      <c r="BU147" s="225"/>
    </row>
    <row r="148" spans="41:73" x14ac:dyDescent="0.25">
      <c r="AO148"/>
      <c r="AS148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  <c r="BR148" s="225"/>
      <c r="BS148" s="225"/>
      <c r="BT148" s="225"/>
      <c r="BU148" s="225"/>
    </row>
    <row r="149" spans="41:73" x14ac:dyDescent="0.25">
      <c r="AO149"/>
      <c r="AS149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  <c r="BR149" s="225"/>
      <c r="BS149" s="225"/>
      <c r="BT149" s="225"/>
      <c r="BU149" s="225"/>
    </row>
    <row r="150" spans="41:73" x14ac:dyDescent="0.25">
      <c r="AO150"/>
      <c r="AS150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</row>
    <row r="151" spans="41:73" x14ac:dyDescent="0.25">
      <c r="AO151"/>
      <c r="AS151"/>
      <c r="BC151" s="225"/>
      <c r="BD151" s="225"/>
      <c r="BE151" s="225"/>
      <c r="BF151" s="225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5"/>
      <c r="BQ151" s="225"/>
      <c r="BR151" s="225"/>
      <c r="BS151" s="225"/>
      <c r="BT151" s="225"/>
      <c r="BU151" s="225"/>
    </row>
    <row r="152" spans="41:73" x14ac:dyDescent="0.25">
      <c r="AO152"/>
      <c r="AS152"/>
      <c r="BC152" s="225"/>
      <c r="BD152" s="225"/>
      <c r="BE152" s="225"/>
      <c r="BF152" s="225"/>
      <c r="BG152" s="225"/>
      <c r="BH152" s="225"/>
      <c r="BI152" s="225"/>
      <c r="BJ152" s="225"/>
      <c r="BK152" s="225"/>
      <c r="BL152" s="225"/>
      <c r="BM152" s="225"/>
      <c r="BN152" s="225"/>
      <c r="BO152" s="225"/>
      <c r="BP152" s="225"/>
      <c r="BQ152" s="225"/>
      <c r="BR152" s="225"/>
      <c r="BS152" s="225"/>
      <c r="BT152" s="225"/>
      <c r="BU152" s="225"/>
    </row>
    <row r="153" spans="41:73" x14ac:dyDescent="0.25">
      <c r="AO153"/>
      <c r="AS153"/>
      <c r="BC153" s="225"/>
      <c r="BD153" s="225"/>
      <c r="BE153" s="225"/>
      <c r="BF153" s="225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5"/>
      <c r="BQ153" s="225"/>
      <c r="BR153" s="225"/>
      <c r="BS153" s="225"/>
      <c r="BT153" s="225"/>
      <c r="BU153" s="225"/>
    </row>
    <row r="154" spans="41:73" x14ac:dyDescent="0.25">
      <c r="AO154"/>
      <c r="AS154"/>
      <c r="BC154" s="225"/>
      <c r="BD154" s="225"/>
      <c r="BE154" s="225"/>
      <c r="BF154" s="225"/>
      <c r="BG154" s="225"/>
      <c r="BH154" s="225"/>
      <c r="BI154" s="225"/>
      <c r="BJ154" s="225"/>
      <c r="BK154" s="225"/>
      <c r="BL154" s="225"/>
      <c r="BM154" s="225"/>
      <c r="BN154" s="225"/>
      <c r="BO154" s="225"/>
      <c r="BP154" s="225"/>
      <c r="BQ154" s="225"/>
      <c r="BR154" s="225"/>
      <c r="BS154" s="225"/>
      <c r="BT154" s="225"/>
      <c r="BU154" s="225"/>
    </row>
    <row r="155" spans="41:73" x14ac:dyDescent="0.25">
      <c r="AO155"/>
      <c r="AS155"/>
      <c r="BC155" s="225"/>
      <c r="BD155" s="225"/>
      <c r="BE155" s="225"/>
      <c r="BF155" s="225"/>
      <c r="BG155" s="225"/>
      <c r="BH155" s="225"/>
      <c r="BI155" s="225"/>
      <c r="BJ155" s="225"/>
      <c r="BK155" s="225"/>
      <c r="BL155" s="225"/>
      <c r="BM155" s="225"/>
      <c r="BN155" s="225"/>
      <c r="BO155" s="225"/>
      <c r="BP155" s="225"/>
      <c r="BQ155" s="225"/>
      <c r="BR155" s="225"/>
      <c r="BS155" s="225"/>
      <c r="BT155" s="225"/>
      <c r="BU155" s="225"/>
    </row>
    <row r="156" spans="41:73" x14ac:dyDescent="0.25">
      <c r="AO156"/>
      <c r="AS156"/>
      <c r="BC156" s="225"/>
      <c r="BD156" s="225"/>
      <c r="BE156" s="225"/>
      <c r="BF156" s="225"/>
      <c r="BG156" s="225"/>
      <c r="BH156" s="225"/>
      <c r="BI156" s="225"/>
      <c r="BJ156" s="225"/>
      <c r="BK156" s="225"/>
      <c r="BL156" s="225"/>
      <c r="BM156" s="225"/>
      <c r="BN156" s="225"/>
      <c r="BO156" s="225"/>
      <c r="BP156" s="225"/>
      <c r="BQ156" s="225"/>
      <c r="BR156" s="225"/>
      <c r="BS156" s="225"/>
      <c r="BT156" s="225"/>
      <c r="BU156" s="225"/>
    </row>
    <row r="157" spans="41:73" x14ac:dyDescent="0.25">
      <c r="AO157"/>
      <c r="AS157"/>
      <c r="BC157" s="225"/>
      <c r="BD157" s="225"/>
      <c r="BE157" s="225"/>
      <c r="BF157" s="225"/>
      <c r="BG157" s="225"/>
      <c r="BH157" s="225"/>
      <c r="BI157" s="225"/>
      <c r="BJ157" s="225"/>
      <c r="BK157" s="225"/>
      <c r="BL157" s="225"/>
      <c r="BM157" s="225"/>
      <c r="BN157" s="225"/>
      <c r="BO157" s="225"/>
      <c r="BP157" s="225"/>
      <c r="BQ157" s="225"/>
      <c r="BR157" s="225"/>
      <c r="BS157" s="225"/>
      <c r="BT157" s="225"/>
      <c r="BU157" s="225"/>
    </row>
    <row r="158" spans="41:73" x14ac:dyDescent="0.25">
      <c r="AO158"/>
      <c r="AS158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  <c r="BR158" s="225"/>
      <c r="BS158" s="225"/>
      <c r="BT158" s="225"/>
      <c r="BU158" s="225"/>
    </row>
    <row r="159" spans="41:73" x14ac:dyDescent="0.25">
      <c r="AO159"/>
      <c r="AS159"/>
      <c r="BC159" s="225"/>
      <c r="BD159" s="225"/>
      <c r="BE159" s="225"/>
      <c r="BF159" s="225"/>
      <c r="BG159" s="225"/>
      <c r="BH159" s="225"/>
      <c r="BI159" s="225"/>
      <c r="BJ159" s="225"/>
      <c r="BK159" s="225"/>
      <c r="BL159" s="225"/>
      <c r="BM159" s="225"/>
      <c r="BN159" s="225"/>
      <c r="BO159" s="225"/>
      <c r="BP159" s="225"/>
      <c r="BQ159" s="225"/>
      <c r="BR159" s="225"/>
      <c r="BS159" s="225"/>
      <c r="BT159" s="225"/>
      <c r="BU159" s="225"/>
    </row>
    <row r="160" spans="41:73" x14ac:dyDescent="0.25">
      <c r="AO160"/>
      <c r="AS160"/>
      <c r="BC160" s="225"/>
      <c r="BD160" s="225"/>
      <c r="BE160" s="225"/>
      <c r="BF160" s="225"/>
      <c r="BG160" s="225"/>
      <c r="BH160" s="225"/>
      <c r="BI160" s="225"/>
      <c r="BJ160" s="225"/>
      <c r="BK160" s="225"/>
      <c r="BL160" s="225"/>
      <c r="BM160" s="225"/>
      <c r="BN160" s="225"/>
      <c r="BO160" s="225"/>
      <c r="BP160" s="225"/>
      <c r="BQ160" s="225"/>
      <c r="BR160" s="225"/>
      <c r="BS160" s="225"/>
      <c r="BT160" s="225"/>
      <c r="BU160" s="225"/>
    </row>
    <row r="161" spans="41:73" x14ac:dyDescent="0.25">
      <c r="AO161"/>
      <c r="AS161"/>
      <c r="BC161" s="225"/>
      <c r="BD161" s="225"/>
      <c r="BE161" s="225"/>
      <c r="BF161" s="225"/>
      <c r="BG161" s="225"/>
      <c r="BH161" s="225"/>
      <c r="BI161" s="225"/>
      <c r="BJ161" s="225"/>
      <c r="BK161" s="225"/>
      <c r="BL161" s="225"/>
      <c r="BM161" s="225"/>
      <c r="BN161" s="225"/>
      <c r="BO161" s="225"/>
      <c r="BP161" s="225"/>
      <c r="BQ161" s="225"/>
      <c r="BR161" s="225"/>
      <c r="BS161" s="225"/>
      <c r="BT161" s="225"/>
      <c r="BU161" s="225"/>
    </row>
    <row r="162" spans="41:73" x14ac:dyDescent="0.25">
      <c r="AO162"/>
      <c r="AS162"/>
      <c r="BC162" s="225"/>
      <c r="BD162" s="225"/>
      <c r="BE162" s="225"/>
      <c r="BF162" s="225"/>
      <c r="BG162" s="225"/>
      <c r="BH162" s="225"/>
      <c r="BI162" s="225"/>
      <c r="BJ162" s="225"/>
      <c r="BK162" s="225"/>
      <c r="BL162" s="225"/>
      <c r="BM162" s="225"/>
      <c r="BN162" s="225"/>
      <c r="BO162" s="225"/>
      <c r="BP162" s="225"/>
      <c r="BQ162" s="225"/>
      <c r="BR162" s="225"/>
      <c r="BS162" s="225"/>
      <c r="BT162" s="225"/>
      <c r="BU162" s="225"/>
    </row>
    <row r="163" spans="41:73" x14ac:dyDescent="0.25">
      <c r="AO163"/>
      <c r="AS163"/>
      <c r="BC163" s="225"/>
      <c r="BD163" s="225"/>
      <c r="BE163" s="225"/>
      <c r="BF163" s="225"/>
      <c r="BG163" s="225"/>
      <c r="BH163" s="225"/>
      <c r="BI163" s="225"/>
      <c r="BJ163" s="225"/>
      <c r="BK163" s="225"/>
      <c r="BL163" s="225"/>
      <c r="BM163" s="225"/>
      <c r="BN163" s="225"/>
      <c r="BO163" s="225"/>
      <c r="BP163" s="225"/>
      <c r="BQ163" s="225"/>
      <c r="BR163" s="225"/>
      <c r="BS163" s="225"/>
      <c r="BT163" s="225"/>
      <c r="BU163" s="225"/>
    </row>
    <row r="164" spans="41:73" x14ac:dyDescent="0.25">
      <c r="AO164"/>
      <c r="AS164"/>
      <c r="BC164" s="225"/>
      <c r="BD164" s="225"/>
      <c r="BE164" s="225"/>
      <c r="BF164" s="225"/>
      <c r="BG164" s="225"/>
      <c r="BH164" s="225"/>
      <c r="BI164" s="225"/>
      <c r="BJ164" s="225"/>
      <c r="BK164" s="225"/>
      <c r="BL164" s="225"/>
      <c r="BM164" s="225"/>
      <c r="BN164" s="225"/>
      <c r="BO164" s="225"/>
      <c r="BP164" s="225"/>
      <c r="BQ164" s="225"/>
      <c r="BR164" s="225"/>
      <c r="BS164" s="225"/>
      <c r="BT164" s="225"/>
      <c r="BU164" s="225"/>
    </row>
    <row r="165" spans="41:73" x14ac:dyDescent="0.25">
      <c r="AO165"/>
      <c r="AS16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  <c r="BR165" s="225"/>
      <c r="BS165" s="225"/>
      <c r="BT165" s="225"/>
      <c r="BU165" s="225"/>
    </row>
    <row r="166" spans="41:73" x14ac:dyDescent="0.25">
      <c r="AO166"/>
      <c r="AS166"/>
      <c r="BC166" s="225"/>
      <c r="BD166" s="225"/>
      <c r="BE166" s="225"/>
      <c r="BF166" s="225"/>
      <c r="BG166" s="225"/>
      <c r="BH166" s="225"/>
      <c r="BI166" s="225"/>
      <c r="BJ166" s="225"/>
      <c r="BK166" s="225"/>
      <c r="BL166" s="225"/>
      <c r="BM166" s="225"/>
      <c r="BN166" s="225"/>
      <c r="BO166" s="225"/>
      <c r="BP166" s="225"/>
      <c r="BQ166" s="225"/>
      <c r="BR166" s="225"/>
      <c r="BS166" s="225"/>
      <c r="BT166" s="225"/>
      <c r="BU166" s="225"/>
    </row>
    <row r="167" spans="41:73" x14ac:dyDescent="0.25">
      <c r="AO167"/>
      <c r="AS167"/>
      <c r="BC167" s="225"/>
      <c r="BD167" s="225"/>
      <c r="BE167" s="225"/>
      <c r="BF167" s="225"/>
      <c r="BG167" s="225"/>
      <c r="BH167" s="225"/>
      <c r="BI167" s="225"/>
      <c r="BJ167" s="225"/>
      <c r="BK167" s="225"/>
      <c r="BL167" s="225"/>
      <c r="BM167" s="225"/>
      <c r="BN167" s="225"/>
      <c r="BO167" s="225"/>
      <c r="BP167" s="225"/>
      <c r="BQ167" s="225"/>
      <c r="BR167" s="225"/>
      <c r="BS167" s="225"/>
      <c r="BT167" s="225"/>
      <c r="BU167" s="225"/>
    </row>
    <row r="168" spans="41:73" x14ac:dyDescent="0.25">
      <c r="AO168"/>
      <c r="AS168"/>
      <c r="BC168" s="225"/>
      <c r="BD168" s="225"/>
      <c r="BE168" s="225"/>
      <c r="BF168" s="225"/>
      <c r="BG168" s="225"/>
      <c r="BH168" s="225"/>
      <c r="BI168" s="225"/>
      <c r="BJ168" s="225"/>
      <c r="BK168" s="225"/>
      <c r="BL168" s="225"/>
      <c r="BM168" s="225"/>
      <c r="BN168" s="225"/>
      <c r="BO168" s="225"/>
      <c r="BP168" s="225"/>
      <c r="BQ168" s="225"/>
      <c r="BR168" s="225"/>
      <c r="BS168" s="225"/>
      <c r="BT168" s="225"/>
      <c r="BU168" s="225"/>
    </row>
    <row r="169" spans="41:73" x14ac:dyDescent="0.25">
      <c r="AO169"/>
      <c r="AS169"/>
      <c r="BC169" s="225"/>
      <c r="BD169" s="225"/>
      <c r="BE169" s="225"/>
      <c r="BF169" s="225"/>
      <c r="BG169" s="225"/>
      <c r="BH169" s="225"/>
      <c r="BI169" s="225"/>
      <c r="BJ169" s="225"/>
      <c r="BK169" s="225"/>
      <c r="BL169" s="225"/>
      <c r="BM169" s="225"/>
      <c r="BN169" s="225"/>
      <c r="BO169" s="225"/>
      <c r="BP169" s="225"/>
      <c r="BQ169" s="225"/>
      <c r="BR169" s="225"/>
      <c r="BS169" s="225"/>
      <c r="BT169" s="225"/>
      <c r="BU169" s="225"/>
    </row>
    <row r="170" spans="41:73" x14ac:dyDescent="0.25">
      <c r="AO170"/>
      <c r="AS170"/>
      <c r="BC170" s="225"/>
      <c r="BD170" s="225"/>
      <c r="BE170" s="225"/>
      <c r="BF170" s="225"/>
      <c r="BG170" s="225"/>
      <c r="BH170" s="225"/>
      <c r="BI170" s="225"/>
      <c r="BJ170" s="225"/>
      <c r="BK170" s="225"/>
      <c r="BL170" s="225"/>
      <c r="BM170" s="225"/>
      <c r="BN170" s="225"/>
      <c r="BO170" s="225"/>
      <c r="BP170" s="225"/>
      <c r="BQ170" s="225"/>
      <c r="BR170" s="225"/>
      <c r="BS170" s="225"/>
      <c r="BT170" s="225"/>
      <c r="BU170" s="225"/>
    </row>
    <row r="171" spans="41:73" x14ac:dyDescent="0.25">
      <c r="AO171"/>
      <c r="AS171"/>
      <c r="BC171" s="225"/>
      <c r="BD171" s="225"/>
      <c r="BE171" s="225"/>
      <c r="BF171" s="225"/>
      <c r="BG171" s="225"/>
      <c r="BH171" s="225"/>
      <c r="BI171" s="225"/>
      <c r="BJ171" s="225"/>
      <c r="BK171" s="225"/>
      <c r="BL171" s="225"/>
      <c r="BM171" s="225"/>
      <c r="BN171" s="225"/>
      <c r="BO171" s="225"/>
      <c r="BP171" s="225"/>
      <c r="BQ171" s="225"/>
      <c r="BR171" s="225"/>
      <c r="BS171" s="225"/>
      <c r="BT171" s="225"/>
      <c r="BU171" s="225"/>
    </row>
    <row r="172" spans="41:73" x14ac:dyDescent="0.25">
      <c r="AO172"/>
      <c r="AS172"/>
      <c r="BC172" s="225"/>
      <c r="BD172" s="225"/>
      <c r="BE172" s="225"/>
      <c r="BF172" s="225"/>
      <c r="BG172" s="225"/>
      <c r="BH172" s="225"/>
      <c r="BI172" s="225"/>
      <c r="BJ172" s="225"/>
      <c r="BK172" s="225"/>
      <c r="BL172" s="225"/>
      <c r="BM172" s="225"/>
      <c r="BN172" s="225"/>
      <c r="BO172" s="225"/>
      <c r="BP172" s="225"/>
      <c r="BQ172" s="225"/>
      <c r="BR172" s="225"/>
      <c r="BS172" s="225"/>
      <c r="BT172" s="225"/>
      <c r="BU172" s="225"/>
    </row>
    <row r="173" spans="41:73" x14ac:dyDescent="0.25">
      <c r="AO173"/>
      <c r="AS173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  <c r="BN173" s="225"/>
      <c r="BO173" s="225"/>
      <c r="BP173" s="225"/>
      <c r="BQ173" s="225"/>
      <c r="BR173" s="225"/>
      <c r="BS173" s="225"/>
      <c r="BT173" s="225"/>
      <c r="BU173" s="225"/>
    </row>
    <row r="174" spans="41:73" x14ac:dyDescent="0.25">
      <c r="AO174"/>
      <c r="AS174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5"/>
      <c r="BP174" s="225"/>
      <c r="BQ174" s="225"/>
      <c r="BR174" s="225"/>
      <c r="BS174" s="225"/>
      <c r="BT174" s="225"/>
      <c r="BU174" s="225"/>
    </row>
    <row r="175" spans="41:73" x14ac:dyDescent="0.25">
      <c r="AO175"/>
      <c r="AS175"/>
      <c r="BC175" s="225"/>
      <c r="BD175" s="225"/>
      <c r="BE175" s="225"/>
      <c r="BF175" s="225"/>
      <c r="BG175" s="225"/>
      <c r="BH175" s="225"/>
      <c r="BI175" s="225"/>
      <c r="BJ175" s="225"/>
      <c r="BK175" s="225"/>
      <c r="BL175" s="225"/>
      <c r="BM175" s="225"/>
      <c r="BN175" s="225"/>
      <c r="BO175" s="225"/>
      <c r="BP175" s="225"/>
      <c r="BQ175" s="225"/>
      <c r="BR175" s="225"/>
      <c r="BS175" s="225"/>
      <c r="BT175" s="225"/>
      <c r="BU175" s="225"/>
    </row>
    <row r="176" spans="41:73" x14ac:dyDescent="0.25">
      <c r="AO176"/>
      <c r="AS176"/>
      <c r="BC176" s="225"/>
      <c r="BD176" s="225"/>
      <c r="BE176" s="225"/>
      <c r="BF176" s="225"/>
      <c r="BG176" s="225"/>
      <c r="BH176" s="225"/>
      <c r="BI176" s="225"/>
      <c r="BJ176" s="225"/>
      <c r="BK176" s="225"/>
      <c r="BL176" s="225"/>
      <c r="BM176" s="225"/>
      <c r="BN176" s="225"/>
      <c r="BO176" s="225"/>
      <c r="BP176" s="225"/>
      <c r="BQ176" s="225"/>
      <c r="BR176" s="225"/>
      <c r="BS176" s="225"/>
      <c r="BT176" s="225"/>
      <c r="BU176" s="225"/>
    </row>
    <row r="177" spans="41:73" x14ac:dyDescent="0.25">
      <c r="AO177"/>
      <c r="AS177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  <c r="BN177" s="225"/>
      <c r="BO177" s="225"/>
      <c r="BP177" s="225"/>
      <c r="BQ177" s="225"/>
      <c r="BR177" s="225"/>
      <c r="BS177" s="225"/>
      <c r="BT177" s="225"/>
      <c r="BU177" s="225"/>
    </row>
    <row r="178" spans="41:73" x14ac:dyDescent="0.25">
      <c r="AO178"/>
      <c r="AS178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  <c r="BN178" s="225"/>
      <c r="BO178" s="225"/>
      <c r="BP178" s="225"/>
      <c r="BQ178" s="225"/>
      <c r="BR178" s="225"/>
      <c r="BS178" s="225"/>
      <c r="BT178" s="225"/>
      <c r="BU178" s="225"/>
    </row>
    <row r="179" spans="41:73" x14ac:dyDescent="0.25">
      <c r="AO179"/>
      <c r="AS179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  <c r="BN179" s="225"/>
      <c r="BO179" s="225"/>
      <c r="BP179" s="225"/>
      <c r="BQ179" s="225"/>
      <c r="BR179" s="225"/>
      <c r="BS179" s="225"/>
      <c r="BT179" s="225"/>
      <c r="BU179" s="225"/>
    </row>
    <row r="180" spans="41:73" x14ac:dyDescent="0.25">
      <c r="AO180"/>
      <c r="AS180"/>
      <c r="BC180" s="225"/>
      <c r="BD180" s="225"/>
      <c r="BE180" s="225"/>
      <c r="BF180" s="225"/>
      <c r="BG180" s="225"/>
      <c r="BH180" s="225"/>
      <c r="BI180" s="225"/>
      <c r="BJ180" s="225"/>
      <c r="BK180" s="225"/>
      <c r="BL180" s="225"/>
      <c r="BM180" s="225"/>
      <c r="BN180" s="225"/>
      <c r="BO180" s="225"/>
      <c r="BP180" s="225"/>
      <c r="BQ180" s="225"/>
      <c r="BR180" s="225"/>
      <c r="BS180" s="225"/>
      <c r="BT180" s="225"/>
      <c r="BU180" s="225"/>
    </row>
    <row r="181" spans="41:73" x14ac:dyDescent="0.25">
      <c r="AO181"/>
      <c r="AS181"/>
      <c r="BC181" s="225"/>
      <c r="BD181" s="225"/>
      <c r="BE181" s="225"/>
      <c r="BF181" s="225"/>
      <c r="BG181" s="225"/>
      <c r="BH181" s="225"/>
      <c r="BI181" s="225"/>
      <c r="BJ181" s="225"/>
      <c r="BK181" s="225"/>
      <c r="BL181" s="225"/>
      <c r="BM181" s="225"/>
      <c r="BN181" s="225"/>
      <c r="BO181" s="225"/>
      <c r="BP181" s="225"/>
      <c r="BQ181" s="225"/>
      <c r="BR181" s="225"/>
      <c r="BS181" s="225"/>
      <c r="BT181" s="225"/>
      <c r="BU181" s="225"/>
    </row>
    <row r="182" spans="41:73" x14ac:dyDescent="0.25">
      <c r="AO182"/>
      <c r="AS182"/>
      <c r="BC182" s="225"/>
      <c r="BD182" s="225"/>
      <c r="BE182" s="225"/>
      <c r="BF182" s="225"/>
      <c r="BG182" s="225"/>
      <c r="BH182" s="225"/>
      <c r="BI182" s="225"/>
      <c r="BJ182" s="225"/>
      <c r="BK182" s="225"/>
      <c r="BL182" s="225"/>
      <c r="BM182" s="225"/>
      <c r="BN182" s="225"/>
      <c r="BO182" s="225"/>
      <c r="BP182" s="225"/>
      <c r="BQ182" s="225"/>
      <c r="BR182" s="225"/>
      <c r="BS182" s="225"/>
      <c r="BT182" s="225"/>
      <c r="BU182" s="225"/>
    </row>
    <row r="183" spans="41:73" x14ac:dyDescent="0.25">
      <c r="AO183"/>
      <c r="AS183"/>
      <c r="BC183" s="225"/>
      <c r="BD183" s="225"/>
      <c r="BE183" s="225"/>
      <c r="BF183" s="225"/>
      <c r="BG183" s="225"/>
      <c r="BH183" s="225"/>
      <c r="BI183" s="225"/>
      <c r="BJ183" s="225"/>
      <c r="BK183" s="225"/>
      <c r="BL183" s="225"/>
      <c r="BM183" s="225"/>
      <c r="BN183" s="225"/>
      <c r="BO183" s="225"/>
      <c r="BP183" s="225"/>
      <c r="BQ183" s="225"/>
      <c r="BR183" s="225"/>
      <c r="BS183" s="225"/>
      <c r="BT183" s="225"/>
      <c r="BU183" s="225"/>
    </row>
    <row r="184" spans="41:73" x14ac:dyDescent="0.25">
      <c r="AO184"/>
      <c r="AS184"/>
      <c r="BC184" s="225"/>
      <c r="BD184" s="225"/>
      <c r="BE184" s="225"/>
      <c r="BF184" s="225"/>
      <c r="BG184" s="225"/>
      <c r="BH184" s="225"/>
      <c r="BI184" s="225"/>
      <c r="BJ184" s="225"/>
      <c r="BK184" s="225"/>
      <c r="BL184" s="225"/>
      <c r="BM184" s="225"/>
      <c r="BN184" s="225"/>
      <c r="BO184" s="225"/>
      <c r="BP184" s="225"/>
      <c r="BQ184" s="225"/>
      <c r="BR184" s="225"/>
      <c r="BS184" s="225"/>
      <c r="BT184" s="225"/>
      <c r="BU184" s="225"/>
    </row>
    <row r="185" spans="41:73" x14ac:dyDescent="0.25">
      <c r="AO185"/>
      <c r="AS185"/>
      <c r="BC185" s="225"/>
      <c r="BD185" s="225"/>
      <c r="BE185" s="225"/>
      <c r="BF185" s="225"/>
      <c r="BG185" s="225"/>
      <c r="BH185" s="225"/>
      <c r="BI185" s="225"/>
      <c r="BJ185" s="225"/>
      <c r="BK185" s="225"/>
      <c r="BL185" s="225"/>
      <c r="BM185" s="225"/>
      <c r="BN185" s="225"/>
      <c r="BO185" s="225"/>
      <c r="BP185" s="225"/>
      <c r="BQ185" s="225"/>
      <c r="BR185" s="225"/>
      <c r="BS185" s="225"/>
      <c r="BT185" s="225"/>
      <c r="BU185" s="225"/>
    </row>
    <row r="186" spans="41:73" x14ac:dyDescent="0.25">
      <c r="AO186"/>
      <c r="AS186"/>
      <c r="BC186" s="225"/>
      <c r="BD186" s="225"/>
      <c r="BE186" s="225"/>
      <c r="BF186" s="225"/>
      <c r="BG186" s="225"/>
      <c r="BH186" s="225"/>
      <c r="BI186" s="225"/>
      <c r="BJ186" s="225"/>
      <c r="BK186" s="225"/>
      <c r="BL186" s="225"/>
      <c r="BM186" s="225"/>
      <c r="BN186" s="225"/>
      <c r="BO186" s="225"/>
      <c r="BP186" s="225"/>
      <c r="BQ186" s="225"/>
      <c r="BR186" s="225"/>
      <c r="BS186" s="225"/>
      <c r="BT186" s="225"/>
      <c r="BU186" s="225"/>
    </row>
    <row r="187" spans="41:73" x14ac:dyDescent="0.25">
      <c r="AO187"/>
      <c r="AS187"/>
      <c r="BC187" s="225"/>
      <c r="BD187" s="225"/>
      <c r="BE187" s="225"/>
      <c r="BF187" s="225"/>
      <c r="BG187" s="225"/>
      <c r="BH187" s="225"/>
      <c r="BI187" s="225"/>
      <c r="BJ187" s="225"/>
      <c r="BK187" s="225"/>
      <c r="BL187" s="225"/>
      <c r="BM187" s="225"/>
      <c r="BN187" s="225"/>
      <c r="BO187" s="225"/>
      <c r="BP187" s="225"/>
      <c r="BQ187" s="225"/>
      <c r="BR187" s="225"/>
      <c r="BS187" s="225"/>
      <c r="BT187" s="225"/>
      <c r="BU187" s="225"/>
    </row>
    <row r="188" spans="41:73" x14ac:dyDescent="0.25">
      <c r="AO188"/>
      <c r="AS188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  <c r="BN188" s="225"/>
      <c r="BO188" s="225"/>
      <c r="BP188" s="225"/>
      <c r="BQ188" s="225"/>
      <c r="BR188" s="225"/>
      <c r="BS188" s="225"/>
      <c r="BT188" s="225"/>
      <c r="BU188" s="225"/>
    </row>
    <row r="189" spans="41:73" x14ac:dyDescent="0.25">
      <c r="AO189"/>
      <c r="AS189"/>
      <c r="BC189" s="225"/>
      <c r="BD189" s="225"/>
      <c r="BE189" s="225"/>
      <c r="BF189" s="225"/>
      <c r="BG189" s="225"/>
      <c r="BH189" s="225"/>
      <c r="BI189" s="225"/>
      <c r="BJ189" s="225"/>
      <c r="BK189" s="225"/>
      <c r="BL189" s="225"/>
      <c r="BM189" s="225"/>
      <c r="BN189" s="225"/>
      <c r="BO189" s="225"/>
      <c r="BP189" s="225"/>
      <c r="BQ189" s="225"/>
      <c r="BR189" s="225"/>
      <c r="BS189" s="225"/>
      <c r="BT189" s="225"/>
      <c r="BU189" s="225"/>
    </row>
    <row r="190" spans="41:73" x14ac:dyDescent="0.25">
      <c r="AO190"/>
      <c r="AS190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5"/>
      <c r="BO190" s="225"/>
      <c r="BP190" s="225"/>
      <c r="BQ190" s="225"/>
      <c r="BR190" s="225"/>
      <c r="BS190" s="225"/>
      <c r="BT190" s="225"/>
      <c r="BU190" s="225"/>
    </row>
    <row r="191" spans="41:73" x14ac:dyDescent="0.25">
      <c r="AO191"/>
      <c r="AS191"/>
      <c r="BC191" s="225"/>
      <c r="BD191" s="225"/>
      <c r="BE191" s="225"/>
      <c r="BF191" s="225"/>
      <c r="BG191" s="225"/>
      <c r="BH191" s="225"/>
      <c r="BI191" s="225"/>
      <c r="BJ191" s="225"/>
      <c r="BK191" s="225"/>
      <c r="BL191" s="225"/>
      <c r="BM191" s="225"/>
      <c r="BN191" s="225"/>
      <c r="BO191" s="225"/>
      <c r="BP191" s="225"/>
      <c r="BQ191" s="225"/>
      <c r="BR191" s="225"/>
      <c r="BS191" s="225"/>
      <c r="BT191" s="225"/>
      <c r="BU191" s="225"/>
    </row>
    <row r="192" spans="41:73" x14ac:dyDescent="0.25">
      <c r="AO192"/>
      <c r="AS192"/>
      <c r="BC192" s="225"/>
      <c r="BD192" s="225"/>
      <c r="BE192" s="225"/>
      <c r="BF192" s="225"/>
      <c r="BG192" s="225"/>
      <c r="BH192" s="225"/>
      <c r="BI192" s="225"/>
      <c r="BJ192" s="225"/>
      <c r="BK192" s="225"/>
      <c r="BL192" s="225"/>
      <c r="BM192" s="225"/>
      <c r="BN192" s="225"/>
      <c r="BO192" s="225"/>
      <c r="BP192" s="225"/>
      <c r="BQ192" s="225"/>
      <c r="BR192" s="225"/>
      <c r="BS192" s="225"/>
      <c r="BT192" s="225"/>
      <c r="BU192" s="225"/>
    </row>
    <row r="193" spans="41:73" x14ac:dyDescent="0.25">
      <c r="AO193"/>
      <c r="AS193"/>
      <c r="BC193" s="225"/>
      <c r="BD193" s="225"/>
      <c r="BE193" s="225"/>
      <c r="BF193" s="225"/>
      <c r="BG193" s="225"/>
      <c r="BH193" s="225"/>
      <c r="BI193" s="225"/>
      <c r="BJ193" s="225"/>
      <c r="BK193" s="225"/>
      <c r="BL193" s="225"/>
      <c r="BM193" s="225"/>
      <c r="BN193" s="225"/>
      <c r="BO193" s="225"/>
      <c r="BP193" s="225"/>
      <c r="BQ193" s="225"/>
      <c r="BR193" s="225"/>
      <c r="BS193" s="225"/>
      <c r="BT193" s="225"/>
      <c r="BU193" s="225"/>
    </row>
    <row r="194" spans="41:73" x14ac:dyDescent="0.25">
      <c r="AO194"/>
      <c r="AS194"/>
      <c r="BC194" s="225"/>
      <c r="BD194" s="225"/>
      <c r="BE194" s="225"/>
      <c r="BF194" s="225"/>
      <c r="BG194" s="225"/>
      <c r="BH194" s="225"/>
      <c r="BI194" s="225"/>
      <c r="BJ194" s="225"/>
      <c r="BK194" s="225"/>
      <c r="BL194" s="225"/>
      <c r="BM194" s="225"/>
      <c r="BN194" s="225"/>
      <c r="BO194" s="225"/>
      <c r="BP194" s="225"/>
      <c r="BQ194" s="225"/>
      <c r="BR194" s="225"/>
      <c r="BS194" s="225"/>
      <c r="BT194" s="225"/>
      <c r="BU194" s="225"/>
    </row>
    <row r="195" spans="41:73" x14ac:dyDescent="0.25">
      <c r="AO195"/>
      <c r="AS195"/>
      <c r="BC195" s="225"/>
      <c r="BD195" s="225"/>
      <c r="BE195" s="225"/>
      <c r="BF195" s="225"/>
      <c r="BG195" s="225"/>
      <c r="BH195" s="225"/>
      <c r="BI195" s="225"/>
      <c r="BJ195" s="225"/>
      <c r="BK195" s="225"/>
      <c r="BL195" s="225"/>
      <c r="BM195" s="225"/>
      <c r="BN195" s="225"/>
      <c r="BO195" s="225"/>
      <c r="BP195" s="225"/>
      <c r="BQ195" s="225"/>
      <c r="BR195" s="225"/>
      <c r="BS195" s="225"/>
      <c r="BT195" s="225"/>
      <c r="BU195" s="225"/>
    </row>
    <row r="196" spans="41:73" x14ac:dyDescent="0.25">
      <c r="AO196"/>
      <c r="AS196"/>
      <c r="BC196" s="225"/>
      <c r="BD196" s="225"/>
      <c r="BE196" s="225"/>
      <c r="BF196" s="225"/>
      <c r="BG196" s="225"/>
      <c r="BH196" s="225"/>
      <c r="BI196" s="225"/>
      <c r="BJ196" s="225"/>
      <c r="BK196" s="225"/>
      <c r="BL196" s="225"/>
      <c r="BM196" s="225"/>
      <c r="BN196" s="225"/>
      <c r="BO196" s="225"/>
      <c r="BP196" s="225"/>
      <c r="BQ196" s="225"/>
      <c r="BR196" s="225"/>
      <c r="BS196" s="225"/>
      <c r="BT196" s="225"/>
      <c r="BU196" s="225"/>
    </row>
    <row r="197" spans="41:73" x14ac:dyDescent="0.25">
      <c r="AO197"/>
      <c r="AS197"/>
      <c r="BC197" s="225"/>
      <c r="BD197" s="225"/>
      <c r="BE197" s="225"/>
      <c r="BF197" s="225"/>
      <c r="BG197" s="225"/>
      <c r="BH197" s="225"/>
      <c r="BI197" s="225"/>
      <c r="BJ197" s="225"/>
      <c r="BK197" s="225"/>
      <c r="BL197" s="225"/>
      <c r="BM197" s="225"/>
      <c r="BN197" s="225"/>
      <c r="BO197" s="225"/>
      <c r="BP197" s="225"/>
      <c r="BQ197" s="225"/>
      <c r="BR197" s="225"/>
      <c r="BS197" s="225"/>
      <c r="BT197" s="225"/>
      <c r="BU197" s="225"/>
    </row>
    <row r="198" spans="41:73" x14ac:dyDescent="0.25">
      <c r="AO198"/>
      <c r="AS198"/>
      <c r="BC198" s="225"/>
      <c r="BD198" s="225"/>
      <c r="BE198" s="225"/>
      <c r="BF198" s="225"/>
      <c r="BG198" s="225"/>
      <c r="BH198" s="225"/>
      <c r="BI198" s="225"/>
      <c r="BJ198" s="225"/>
      <c r="BK198" s="225"/>
      <c r="BL198" s="225"/>
      <c r="BM198" s="225"/>
      <c r="BN198" s="225"/>
      <c r="BO198" s="225"/>
      <c r="BP198" s="225"/>
      <c r="BQ198" s="225"/>
      <c r="BR198" s="225"/>
      <c r="BS198" s="225"/>
      <c r="BT198" s="225"/>
      <c r="BU198" s="225"/>
    </row>
    <row r="199" spans="41:73" x14ac:dyDescent="0.25">
      <c r="AO199"/>
      <c r="AS199"/>
      <c r="BC199" s="225"/>
      <c r="BD199" s="225"/>
      <c r="BE199" s="225"/>
      <c r="BF199" s="225"/>
      <c r="BG199" s="225"/>
      <c r="BH199" s="225"/>
      <c r="BI199" s="225"/>
      <c r="BJ199" s="225"/>
      <c r="BK199" s="225"/>
      <c r="BL199" s="225"/>
      <c r="BM199" s="225"/>
      <c r="BN199" s="225"/>
      <c r="BO199" s="225"/>
      <c r="BP199" s="225"/>
      <c r="BQ199" s="225"/>
      <c r="BR199" s="225"/>
      <c r="BS199" s="225"/>
      <c r="BT199" s="225"/>
      <c r="BU199" s="225"/>
    </row>
    <row r="200" spans="41:73" x14ac:dyDescent="0.25">
      <c r="AO200"/>
      <c r="AS200"/>
      <c r="BC200" s="225"/>
      <c r="BD200" s="225"/>
      <c r="BE200" s="225"/>
      <c r="BF200" s="225"/>
      <c r="BG200" s="225"/>
      <c r="BH200" s="225"/>
      <c r="BI200" s="225"/>
      <c r="BJ200" s="225"/>
      <c r="BK200" s="225"/>
      <c r="BL200" s="225"/>
      <c r="BM200" s="225"/>
      <c r="BN200" s="225"/>
      <c r="BO200" s="225"/>
      <c r="BP200" s="225"/>
      <c r="BQ200" s="225"/>
      <c r="BR200" s="225"/>
      <c r="BS200" s="225"/>
      <c r="BT200" s="225"/>
      <c r="BU200" s="225"/>
    </row>
    <row r="201" spans="41:73" x14ac:dyDescent="0.25">
      <c r="AO201"/>
      <c r="AS201"/>
      <c r="BC201" s="225"/>
      <c r="BD201" s="225"/>
      <c r="BE201" s="225"/>
      <c r="BF201" s="225"/>
      <c r="BG201" s="225"/>
      <c r="BH201" s="225"/>
      <c r="BI201" s="225"/>
      <c r="BJ201" s="225"/>
      <c r="BK201" s="225"/>
      <c r="BL201" s="225"/>
      <c r="BM201" s="225"/>
      <c r="BN201" s="225"/>
      <c r="BO201" s="225"/>
      <c r="BP201" s="225"/>
      <c r="BQ201" s="225"/>
      <c r="BR201" s="225"/>
      <c r="BS201" s="225"/>
      <c r="BT201" s="225"/>
      <c r="BU201" s="225"/>
    </row>
    <row r="202" spans="41:73" x14ac:dyDescent="0.25">
      <c r="AO202"/>
      <c r="AS202"/>
      <c r="BC202" s="225"/>
      <c r="BD202" s="225"/>
      <c r="BE202" s="225"/>
      <c r="BF202" s="225"/>
      <c r="BG202" s="225"/>
      <c r="BH202" s="225"/>
      <c r="BI202" s="225"/>
      <c r="BJ202" s="225"/>
      <c r="BK202" s="225"/>
      <c r="BL202" s="225"/>
      <c r="BM202" s="225"/>
      <c r="BN202" s="225"/>
      <c r="BO202" s="225"/>
      <c r="BP202" s="225"/>
      <c r="BQ202" s="225"/>
      <c r="BR202" s="225"/>
      <c r="BS202" s="225"/>
      <c r="BT202" s="225"/>
      <c r="BU202" s="225"/>
    </row>
    <row r="203" spans="41:73" x14ac:dyDescent="0.25">
      <c r="AO203"/>
      <c r="AS203"/>
      <c r="BC203" s="225"/>
      <c r="BD203" s="225"/>
      <c r="BE203" s="225"/>
      <c r="BF203" s="225"/>
      <c r="BG203" s="225"/>
      <c r="BH203" s="225"/>
      <c r="BI203" s="225"/>
      <c r="BJ203" s="225"/>
      <c r="BK203" s="225"/>
      <c r="BL203" s="225"/>
      <c r="BM203" s="225"/>
      <c r="BN203" s="225"/>
      <c r="BO203" s="225"/>
      <c r="BP203" s="225"/>
      <c r="BQ203" s="225"/>
      <c r="BR203" s="225"/>
      <c r="BS203" s="225"/>
      <c r="BT203" s="225"/>
      <c r="BU203" s="225"/>
    </row>
    <row r="204" spans="41:73" x14ac:dyDescent="0.25">
      <c r="AO204"/>
      <c r="AS204"/>
      <c r="BC204" s="225"/>
      <c r="BD204" s="225"/>
      <c r="BE204" s="225"/>
      <c r="BF204" s="225"/>
      <c r="BG204" s="225"/>
      <c r="BH204" s="225"/>
      <c r="BI204" s="225"/>
      <c r="BJ204" s="225"/>
      <c r="BK204" s="225"/>
      <c r="BL204" s="225"/>
      <c r="BM204" s="225"/>
      <c r="BN204" s="225"/>
      <c r="BO204" s="225"/>
      <c r="BP204" s="225"/>
      <c r="BQ204" s="225"/>
      <c r="BR204" s="225"/>
      <c r="BS204" s="225"/>
      <c r="BT204" s="225"/>
      <c r="BU204" s="225"/>
    </row>
    <row r="205" spans="41:73" x14ac:dyDescent="0.25">
      <c r="AO205"/>
      <c r="AS205"/>
      <c r="BC205" s="225"/>
      <c r="BD205" s="225"/>
      <c r="BE205" s="225"/>
      <c r="BF205" s="225"/>
      <c r="BG205" s="225"/>
      <c r="BH205" s="225"/>
      <c r="BI205" s="225"/>
      <c r="BJ205" s="225"/>
      <c r="BK205" s="225"/>
      <c r="BL205" s="225"/>
      <c r="BM205" s="225"/>
      <c r="BN205" s="225"/>
      <c r="BO205" s="225"/>
      <c r="BP205" s="225"/>
      <c r="BQ205" s="225"/>
      <c r="BR205" s="225"/>
      <c r="BS205" s="225"/>
      <c r="BT205" s="225"/>
      <c r="BU205" s="225"/>
    </row>
    <row r="206" spans="41:73" x14ac:dyDescent="0.25">
      <c r="AO206"/>
      <c r="AS206"/>
      <c r="BC206" s="225"/>
      <c r="BD206" s="225"/>
      <c r="BE206" s="225"/>
      <c r="BF206" s="225"/>
      <c r="BG206" s="225"/>
      <c r="BH206" s="225"/>
      <c r="BI206" s="225"/>
      <c r="BJ206" s="225"/>
      <c r="BK206" s="225"/>
      <c r="BL206" s="225"/>
      <c r="BM206" s="225"/>
      <c r="BN206" s="225"/>
      <c r="BO206" s="225"/>
      <c r="BP206" s="225"/>
      <c r="BQ206" s="225"/>
      <c r="BR206" s="225"/>
      <c r="BS206" s="225"/>
      <c r="BT206" s="225"/>
      <c r="BU206" s="225"/>
    </row>
    <row r="207" spans="41:73" x14ac:dyDescent="0.25">
      <c r="AO207"/>
      <c r="AS207"/>
      <c r="BC207" s="225"/>
      <c r="BD207" s="225"/>
      <c r="BE207" s="225"/>
      <c r="BF207" s="225"/>
      <c r="BG207" s="225"/>
      <c r="BH207" s="225"/>
      <c r="BI207" s="225"/>
      <c r="BJ207" s="225"/>
      <c r="BK207" s="225"/>
      <c r="BL207" s="225"/>
      <c r="BM207" s="225"/>
      <c r="BN207" s="225"/>
      <c r="BO207" s="225"/>
      <c r="BP207" s="225"/>
      <c r="BQ207" s="225"/>
      <c r="BR207" s="225"/>
      <c r="BS207" s="225"/>
      <c r="BT207" s="225"/>
      <c r="BU207" s="225"/>
    </row>
    <row r="208" spans="41:73" x14ac:dyDescent="0.25">
      <c r="AO208"/>
      <c r="AS208"/>
      <c r="BC208" s="225"/>
      <c r="BD208" s="225"/>
      <c r="BE208" s="225"/>
      <c r="BF208" s="225"/>
      <c r="BG208" s="225"/>
      <c r="BH208" s="225"/>
      <c r="BI208" s="225"/>
      <c r="BJ208" s="225"/>
      <c r="BK208" s="225"/>
      <c r="BL208" s="225"/>
      <c r="BM208" s="225"/>
      <c r="BN208" s="225"/>
      <c r="BO208" s="225"/>
      <c r="BP208" s="225"/>
      <c r="BQ208" s="225"/>
      <c r="BR208" s="225"/>
      <c r="BS208" s="225"/>
      <c r="BT208" s="225"/>
      <c r="BU208" s="225"/>
    </row>
    <row r="209" spans="41:73" x14ac:dyDescent="0.25">
      <c r="AO209"/>
      <c r="AS209"/>
      <c r="BC209" s="225"/>
      <c r="BD209" s="225"/>
      <c r="BE209" s="225"/>
      <c r="BF209" s="225"/>
      <c r="BG209" s="225"/>
      <c r="BH209" s="225"/>
      <c r="BI209" s="225"/>
      <c r="BJ209" s="225"/>
      <c r="BK209" s="225"/>
      <c r="BL209" s="225"/>
      <c r="BM209" s="225"/>
      <c r="BN209" s="225"/>
      <c r="BO209" s="225"/>
      <c r="BP209" s="225"/>
      <c r="BQ209" s="225"/>
      <c r="BR209" s="225"/>
      <c r="BS209" s="225"/>
      <c r="BT209" s="225"/>
      <c r="BU209" s="225"/>
    </row>
    <row r="210" spans="41:73" x14ac:dyDescent="0.25">
      <c r="AO210"/>
      <c r="AS210"/>
      <c r="BC210" s="225"/>
      <c r="BD210" s="225"/>
      <c r="BE210" s="225"/>
      <c r="BF210" s="225"/>
      <c r="BG210" s="225"/>
      <c r="BH210" s="225"/>
      <c r="BI210" s="225"/>
      <c r="BJ210" s="225"/>
      <c r="BK210" s="225"/>
      <c r="BL210" s="225"/>
      <c r="BM210" s="225"/>
      <c r="BN210" s="225"/>
      <c r="BO210" s="225"/>
      <c r="BP210" s="225"/>
      <c r="BQ210" s="225"/>
      <c r="BR210" s="225"/>
      <c r="BS210" s="225"/>
      <c r="BT210" s="225"/>
      <c r="BU210" s="225"/>
    </row>
    <row r="211" spans="41:73" x14ac:dyDescent="0.25">
      <c r="AO211"/>
      <c r="AS211"/>
      <c r="BC211" s="225"/>
      <c r="BD211" s="225"/>
      <c r="BE211" s="225"/>
      <c r="BF211" s="225"/>
      <c r="BG211" s="225"/>
      <c r="BH211" s="225"/>
      <c r="BI211" s="225"/>
      <c r="BJ211" s="225"/>
      <c r="BK211" s="225"/>
      <c r="BL211" s="225"/>
      <c r="BM211" s="225"/>
      <c r="BN211" s="225"/>
      <c r="BO211" s="225"/>
      <c r="BP211" s="225"/>
      <c r="BQ211" s="225"/>
      <c r="BR211" s="225"/>
      <c r="BS211" s="225"/>
      <c r="BT211" s="225"/>
      <c r="BU211" s="225"/>
    </row>
    <row r="212" spans="41:73" x14ac:dyDescent="0.25">
      <c r="AO212"/>
      <c r="AS212"/>
      <c r="BC212" s="225"/>
      <c r="BD212" s="225"/>
      <c r="BE212" s="225"/>
      <c r="BF212" s="225"/>
      <c r="BG212" s="225"/>
      <c r="BH212" s="225"/>
      <c r="BI212" s="225"/>
      <c r="BJ212" s="225"/>
      <c r="BK212" s="225"/>
      <c r="BL212" s="225"/>
      <c r="BM212" s="225"/>
      <c r="BN212" s="225"/>
      <c r="BO212" s="225"/>
      <c r="BP212" s="225"/>
      <c r="BQ212" s="225"/>
      <c r="BR212" s="225"/>
      <c r="BS212" s="225"/>
      <c r="BT212" s="225"/>
      <c r="BU212" s="225"/>
    </row>
    <row r="213" spans="41:73" x14ac:dyDescent="0.25">
      <c r="AO213"/>
      <c r="AS213"/>
      <c r="BC213" s="225"/>
      <c r="BD213" s="225"/>
      <c r="BE213" s="225"/>
      <c r="BF213" s="225"/>
      <c r="BG213" s="225"/>
      <c r="BH213" s="225"/>
      <c r="BI213" s="225"/>
      <c r="BJ213" s="225"/>
      <c r="BK213" s="225"/>
      <c r="BL213" s="225"/>
      <c r="BM213" s="225"/>
      <c r="BN213" s="225"/>
      <c r="BO213" s="225"/>
      <c r="BP213" s="225"/>
      <c r="BQ213" s="225"/>
      <c r="BR213" s="225"/>
      <c r="BS213" s="225"/>
      <c r="BT213" s="225"/>
      <c r="BU213" s="225"/>
    </row>
    <row r="214" spans="41:73" x14ac:dyDescent="0.25">
      <c r="AO214"/>
      <c r="AS214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</row>
    <row r="215" spans="41:73" x14ac:dyDescent="0.25">
      <c r="AO215"/>
      <c r="AS21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</row>
    <row r="216" spans="41:73" x14ac:dyDescent="0.25">
      <c r="AO216"/>
      <c r="AS216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</row>
    <row r="217" spans="41:73" x14ac:dyDescent="0.25">
      <c r="AO217"/>
      <c r="AS217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</row>
    <row r="218" spans="41:73" x14ac:dyDescent="0.25">
      <c r="AO218"/>
      <c r="AS218"/>
      <c r="BC218" s="225"/>
      <c r="BD218" s="225"/>
      <c r="BE218" s="225"/>
      <c r="BF218" s="225"/>
      <c r="BG218" s="225"/>
      <c r="BH218" s="225"/>
      <c r="BI218" s="225"/>
      <c r="BJ218" s="225"/>
      <c r="BK218" s="225"/>
      <c r="BL218" s="225"/>
      <c r="BM218" s="225"/>
      <c r="BN218" s="225"/>
      <c r="BO218" s="225"/>
      <c r="BP218" s="225"/>
      <c r="BQ218" s="225"/>
      <c r="BR218" s="225"/>
      <c r="BS218" s="225"/>
      <c r="BT218" s="225"/>
      <c r="BU218" s="225"/>
    </row>
    <row r="219" spans="41:73" x14ac:dyDescent="0.25">
      <c r="AO219"/>
      <c r="AS219"/>
      <c r="BC219" s="225"/>
      <c r="BD219" s="225"/>
      <c r="BE219" s="225"/>
      <c r="BF219" s="225"/>
      <c r="BG219" s="225"/>
      <c r="BH219" s="225"/>
      <c r="BI219" s="225"/>
      <c r="BJ219" s="225"/>
      <c r="BK219" s="225"/>
      <c r="BL219" s="225"/>
      <c r="BM219" s="225"/>
      <c r="BN219" s="225"/>
      <c r="BO219" s="225"/>
      <c r="BP219" s="225"/>
      <c r="BQ219" s="225"/>
      <c r="BR219" s="225"/>
      <c r="BS219" s="225"/>
      <c r="BT219" s="225"/>
      <c r="BU219" s="225"/>
    </row>
    <row r="220" spans="41:73" x14ac:dyDescent="0.25">
      <c r="AO220"/>
      <c r="AS220"/>
      <c r="BC220" s="225"/>
      <c r="BD220" s="225"/>
      <c r="BE220" s="225"/>
      <c r="BF220" s="225"/>
      <c r="BG220" s="225"/>
      <c r="BH220" s="225"/>
      <c r="BI220" s="225"/>
      <c r="BJ220" s="225"/>
      <c r="BK220" s="225"/>
      <c r="BL220" s="225"/>
      <c r="BM220" s="225"/>
      <c r="BN220" s="225"/>
      <c r="BO220" s="225"/>
      <c r="BP220" s="225"/>
      <c r="BQ220" s="225"/>
      <c r="BR220" s="225"/>
      <c r="BS220" s="225"/>
      <c r="BT220" s="225"/>
      <c r="BU220" s="225"/>
    </row>
    <row r="221" spans="41:73" x14ac:dyDescent="0.25">
      <c r="AO221"/>
      <c r="AS221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</row>
    <row r="222" spans="41:73" x14ac:dyDescent="0.25">
      <c r="AO222"/>
      <c r="AS222"/>
      <c r="BC222" s="225"/>
      <c r="BD222" s="225"/>
      <c r="BE222" s="225"/>
      <c r="BF222" s="225"/>
      <c r="BG222" s="225"/>
      <c r="BH222" s="225"/>
      <c r="BI222" s="225"/>
      <c r="BJ222" s="225"/>
      <c r="BK222" s="225"/>
      <c r="BL222" s="225"/>
      <c r="BM222" s="225"/>
      <c r="BN222" s="225"/>
      <c r="BO222" s="225"/>
      <c r="BP222" s="225"/>
      <c r="BQ222" s="225"/>
      <c r="BR222" s="225"/>
      <c r="BS222" s="225"/>
      <c r="BT222" s="225"/>
      <c r="BU222" s="225"/>
    </row>
    <row r="223" spans="41:73" x14ac:dyDescent="0.25">
      <c r="AO223"/>
      <c r="AS223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</row>
    <row r="224" spans="41:73" x14ac:dyDescent="0.25">
      <c r="AO224"/>
      <c r="AS224"/>
      <c r="BC224" s="225"/>
      <c r="BD224" s="225"/>
      <c r="BE224" s="225"/>
      <c r="BF224" s="225"/>
      <c r="BG224" s="225"/>
      <c r="BH224" s="225"/>
      <c r="BI224" s="225"/>
      <c r="BJ224" s="225"/>
      <c r="BK224" s="225"/>
      <c r="BL224" s="225"/>
      <c r="BM224" s="225"/>
      <c r="BN224" s="225"/>
      <c r="BO224" s="225"/>
      <c r="BP224" s="225"/>
      <c r="BQ224" s="225"/>
      <c r="BR224" s="225"/>
      <c r="BS224" s="225"/>
      <c r="BT224" s="225"/>
      <c r="BU224" s="225"/>
    </row>
    <row r="225" spans="41:73" x14ac:dyDescent="0.25">
      <c r="AO225"/>
      <c r="AS225"/>
      <c r="BC225" s="225"/>
      <c r="BD225" s="225"/>
      <c r="BE225" s="225"/>
      <c r="BF225" s="225"/>
      <c r="BG225" s="225"/>
      <c r="BH225" s="225"/>
      <c r="BI225" s="225"/>
      <c r="BJ225" s="225"/>
      <c r="BK225" s="225"/>
      <c r="BL225" s="225"/>
      <c r="BM225" s="225"/>
      <c r="BN225" s="225"/>
      <c r="BO225" s="225"/>
      <c r="BP225" s="225"/>
      <c r="BQ225" s="225"/>
      <c r="BR225" s="225"/>
      <c r="BS225" s="225"/>
      <c r="BT225" s="225"/>
      <c r="BU225" s="225"/>
    </row>
    <row r="226" spans="41:73" x14ac:dyDescent="0.25">
      <c r="AO226"/>
      <c r="AS226"/>
      <c r="BC226" s="225"/>
      <c r="BD226" s="225"/>
      <c r="BE226" s="225"/>
      <c r="BF226" s="225"/>
      <c r="BG226" s="225"/>
      <c r="BH226" s="225"/>
      <c r="BI226" s="225"/>
      <c r="BJ226" s="225"/>
      <c r="BK226" s="225"/>
      <c r="BL226" s="225"/>
      <c r="BM226" s="225"/>
      <c r="BN226" s="225"/>
      <c r="BO226" s="225"/>
      <c r="BP226" s="225"/>
      <c r="BQ226" s="225"/>
      <c r="BR226" s="225"/>
      <c r="BS226" s="225"/>
      <c r="BT226" s="225"/>
      <c r="BU226" s="225"/>
    </row>
    <row r="227" spans="41:73" x14ac:dyDescent="0.25">
      <c r="AO227"/>
      <c r="AS227"/>
      <c r="BC227" s="225"/>
      <c r="BD227" s="225"/>
      <c r="BE227" s="225"/>
      <c r="BF227" s="225"/>
      <c r="BG227" s="225"/>
      <c r="BH227" s="225"/>
      <c r="BI227" s="225"/>
      <c r="BJ227" s="225"/>
      <c r="BK227" s="225"/>
      <c r="BL227" s="225"/>
      <c r="BM227" s="225"/>
      <c r="BN227" s="225"/>
      <c r="BO227" s="225"/>
      <c r="BP227" s="225"/>
      <c r="BQ227" s="225"/>
      <c r="BR227" s="225"/>
      <c r="BS227" s="225"/>
      <c r="BT227" s="225"/>
      <c r="BU227" s="225"/>
    </row>
    <row r="228" spans="41:73" x14ac:dyDescent="0.25">
      <c r="AO228"/>
      <c r="AS228"/>
      <c r="BC228" s="225"/>
      <c r="BD228" s="225"/>
      <c r="BE228" s="225"/>
      <c r="BF228" s="225"/>
      <c r="BG228" s="225"/>
      <c r="BH228" s="225"/>
      <c r="BI228" s="225"/>
      <c r="BJ228" s="225"/>
      <c r="BK228" s="225"/>
      <c r="BL228" s="225"/>
      <c r="BM228" s="225"/>
      <c r="BN228" s="225"/>
      <c r="BO228" s="225"/>
      <c r="BP228" s="225"/>
      <c r="BQ228" s="225"/>
      <c r="BR228" s="225"/>
      <c r="BS228" s="225"/>
      <c r="BT228" s="225"/>
      <c r="BU228" s="225"/>
    </row>
    <row r="229" spans="41:73" x14ac:dyDescent="0.25">
      <c r="AO229"/>
      <c r="AS229"/>
      <c r="BC229" s="225"/>
      <c r="BD229" s="225"/>
      <c r="BE229" s="225"/>
      <c r="BF229" s="225"/>
      <c r="BG229" s="225"/>
      <c r="BH229" s="225"/>
      <c r="BI229" s="225"/>
      <c r="BJ229" s="225"/>
      <c r="BK229" s="225"/>
      <c r="BL229" s="225"/>
      <c r="BM229" s="225"/>
      <c r="BN229" s="225"/>
      <c r="BO229" s="225"/>
      <c r="BP229" s="225"/>
      <c r="BQ229" s="225"/>
      <c r="BR229" s="225"/>
      <c r="BS229" s="225"/>
      <c r="BT229" s="225"/>
      <c r="BU229" s="225"/>
    </row>
    <row r="230" spans="41:73" x14ac:dyDescent="0.25">
      <c r="AO230"/>
      <c r="AS230"/>
      <c r="BC230" s="225"/>
      <c r="BD230" s="225"/>
      <c r="BE230" s="225"/>
      <c r="BF230" s="225"/>
      <c r="BG230" s="225"/>
      <c r="BH230" s="225"/>
      <c r="BI230" s="225"/>
      <c r="BJ230" s="225"/>
      <c r="BK230" s="225"/>
      <c r="BL230" s="225"/>
      <c r="BM230" s="225"/>
      <c r="BN230" s="225"/>
      <c r="BO230" s="225"/>
      <c r="BP230" s="225"/>
      <c r="BQ230" s="225"/>
      <c r="BR230" s="225"/>
      <c r="BS230" s="225"/>
      <c r="BT230" s="225"/>
      <c r="BU230" s="225"/>
    </row>
    <row r="231" spans="41:73" x14ac:dyDescent="0.25">
      <c r="AO231"/>
      <c r="AS231"/>
      <c r="BC231" s="225"/>
      <c r="BD231" s="225"/>
      <c r="BE231" s="225"/>
      <c r="BF231" s="225"/>
      <c r="BG231" s="225"/>
      <c r="BH231" s="225"/>
      <c r="BI231" s="225"/>
      <c r="BJ231" s="225"/>
      <c r="BK231" s="225"/>
      <c r="BL231" s="225"/>
      <c r="BM231" s="225"/>
      <c r="BN231" s="225"/>
      <c r="BO231" s="225"/>
      <c r="BP231" s="225"/>
      <c r="BQ231" s="225"/>
      <c r="BR231" s="225"/>
      <c r="BS231" s="225"/>
      <c r="BT231" s="225"/>
      <c r="BU231" s="225"/>
    </row>
    <row r="232" spans="41:73" x14ac:dyDescent="0.25">
      <c r="AO232"/>
      <c r="AS232"/>
      <c r="BC232" s="225"/>
      <c r="BD232" s="225"/>
      <c r="BE232" s="225"/>
      <c r="BF232" s="225"/>
      <c r="BG232" s="225"/>
      <c r="BH232" s="225"/>
      <c r="BI232" s="225"/>
      <c r="BJ232" s="225"/>
      <c r="BK232" s="225"/>
      <c r="BL232" s="225"/>
      <c r="BM232" s="225"/>
      <c r="BN232" s="225"/>
      <c r="BO232" s="225"/>
      <c r="BP232" s="225"/>
      <c r="BQ232" s="225"/>
      <c r="BR232" s="225"/>
      <c r="BS232" s="225"/>
      <c r="BT232" s="225"/>
      <c r="BU232" s="225"/>
    </row>
    <row r="233" spans="41:73" x14ac:dyDescent="0.25">
      <c r="AO233"/>
      <c r="AS233"/>
      <c r="BC233" s="225"/>
      <c r="BD233" s="225"/>
      <c r="BE233" s="225"/>
      <c r="BF233" s="225"/>
      <c r="BG233" s="225"/>
      <c r="BH233" s="225"/>
      <c r="BI233" s="225"/>
      <c r="BJ233" s="225"/>
      <c r="BK233" s="225"/>
      <c r="BL233" s="225"/>
      <c r="BM233" s="225"/>
      <c r="BN233" s="225"/>
      <c r="BO233" s="225"/>
      <c r="BP233" s="225"/>
      <c r="BQ233" s="225"/>
      <c r="BR233" s="225"/>
      <c r="BS233" s="225"/>
      <c r="BT233" s="225"/>
      <c r="BU233" s="225"/>
    </row>
    <row r="234" spans="41:73" x14ac:dyDescent="0.25">
      <c r="AO234"/>
      <c r="AS234"/>
      <c r="BC234" s="225"/>
      <c r="BD234" s="225"/>
      <c r="BE234" s="225"/>
      <c r="BF234" s="225"/>
      <c r="BG234" s="225"/>
      <c r="BH234" s="225"/>
      <c r="BI234" s="225"/>
      <c r="BJ234" s="225"/>
      <c r="BK234" s="225"/>
      <c r="BL234" s="225"/>
      <c r="BM234" s="225"/>
      <c r="BN234" s="225"/>
      <c r="BO234" s="225"/>
      <c r="BP234" s="225"/>
      <c r="BQ234" s="225"/>
      <c r="BR234" s="225"/>
      <c r="BS234" s="225"/>
      <c r="BT234" s="225"/>
      <c r="BU234" s="225"/>
    </row>
    <row r="235" spans="41:73" x14ac:dyDescent="0.25">
      <c r="AO235"/>
      <c r="AS235"/>
      <c r="BC235" s="225"/>
      <c r="BD235" s="225"/>
      <c r="BE235" s="225"/>
      <c r="BF235" s="225"/>
      <c r="BG235" s="225"/>
      <c r="BH235" s="225"/>
      <c r="BI235" s="225"/>
      <c r="BJ235" s="225"/>
      <c r="BK235" s="225"/>
      <c r="BL235" s="225"/>
      <c r="BM235" s="225"/>
      <c r="BN235" s="225"/>
      <c r="BO235" s="225"/>
      <c r="BP235" s="225"/>
      <c r="BQ235" s="225"/>
      <c r="BR235" s="225"/>
      <c r="BS235" s="225"/>
      <c r="BT235" s="225"/>
      <c r="BU235" s="225"/>
    </row>
    <row r="236" spans="41:73" x14ac:dyDescent="0.25">
      <c r="AO236"/>
      <c r="AS236"/>
      <c r="BC236" s="225"/>
      <c r="BD236" s="225"/>
      <c r="BE236" s="225"/>
      <c r="BF236" s="225"/>
      <c r="BG236" s="225"/>
      <c r="BH236" s="225"/>
      <c r="BI236" s="225"/>
      <c r="BJ236" s="225"/>
      <c r="BK236" s="225"/>
      <c r="BL236" s="225"/>
      <c r="BM236" s="225"/>
      <c r="BN236" s="225"/>
      <c r="BO236" s="225"/>
      <c r="BP236" s="225"/>
      <c r="BQ236" s="225"/>
      <c r="BR236" s="225"/>
      <c r="BS236" s="225"/>
      <c r="BT236" s="225"/>
      <c r="BU236" s="225"/>
    </row>
    <row r="237" spans="41:73" x14ac:dyDescent="0.25">
      <c r="AO237"/>
      <c r="AS237"/>
      <c r="BC237" s="225"/>
      <c r="BD237" s="225"/>
      <c r="BE237" s="225"/>
      <c r="BF237" s="225"/>
      <c r="BG237" s="225"/>
      <c r="BH237" s="225"/>
      <c r="BI237" s="225"/>
      <c r="BJ237" s="225"/>
      <c r="BK237" s="225"/>
      <c r="BL237" s="225"/>
      <c r="BM237" s="225"/>
      <c r="BN237" s="225"/>
      <c r="BO237" s="225"/>
      <c r="BP237" s="225"/>
      <c r="BQ237" s="225"/>
      <c r="BR237" s="225"/>
      <c r="BS237" s="225"/>
      <c r="BT237" s="225"/>
      <c r="BU237" s="225"/>
    </row>
    <row r="238" spans="41:73" x14ac:dyDescent="0.25">
      <c r="AO238"/>
      <c r="AS238"/>
      <c r="BC238" s="225"/>
      <c r="BD238" s="225"/>
      <c r="BE238" s="225"/>
      <c r="BF238" s="225"/>
      <c r="BG238" s="225"/>
      <c r="BH238" s="225"/>
      <c r="BI238" s="225"/>
      <c r="BJ238" s="225"/>
      <c r="BK238" s="225"/>
      <c r="BL238" s="225"/>
      <c r="BM238" s="225"/>
      <c r="BN238" s="225"/>
      <c r="BO238" s="225"/>
      <c r="BP238" s="225"/>
      <c r="BQ238" s="225"/>
      <c r="BR238" s="225"/>
      <c r="BS238" s="225"/>
      <c r="BT238" s="225"/>
      <c r="BU238" s="225"/>
    </row>
    <row r="239" spans="41:73" x14ac:dyDescent="0.25">
      <c r="AO239"/>
      <c r="AS239"/>
      <c r="BC239" s="225"/>
      <c r="BD239" s="225"/>
      <c r="BE239" s="225"/>
      <c r="BF239" s="225"/>
      <c r="BG239" s="225"/>
      <c r="BH239" s="225"/>
      <c r="BI239" s="225"/>
      <c r="BJ239" s="225"/>
      <c r="BK239" s="225"/>
      <c r="BL239" s="225"/>
      <c r="BM239" s="225"/>
      <c r="BN239" s="225"/>
      <c r="BO239" s="225"/>
      <c r="BP239" s="225"/>
      <c r="BQ239" s="225"/>
      <c r="BR239" s="225"/>
      <c r="BS239" s="225"/>
      <c r="BT239" s="225"/>
      <c r="BU239" s="225"/>
    </row>
    <row r="240" spans="41:73" x14ac:dyDescent="0.25">
      <c r="AO240"/>
      <c r="AS240"/>
      <c r="BC240" s="225"/>
      <c r="BD240" s="225"/>
      <c r="BE240" s="225"/>
      <c r="BF240" s="225"/>
      <c r="BG240" s="225"/>
      <c r="BH240" s="225"/>
      <c r="BI240" s="225"/>
      <c r="BJ240" s="225"/>
      <c r="BK240" s="225"/>
      <c r="BL240" s="225"/>
      <c r="BM240" s="225"/>
      <c r="BN240" s="225"/>
      <c r="BO240" s="225"/>
      <c r="BP240" s="225"/>
      <c r="BQ240" s="225"/>
      <c r="BR240" s="225"/>
      <c r="BS240" s="225"/>
      <c r="BT240" s="225"/>
      <c r="BU240" s="225"/>
    </row>
    <row r="241" spans="41:73" x14ac:dyDescent="0.25">
      <c r="AO241"/>
      <c r="AS241"/>
      <c r="BC241" s="225"/>
      <c r="BD241" s="225"/>
      <c r="BE241" s="225"/>
      <c r="BF241" s="225"/>
      <c r="BG241" s="225"/>
      <c r="BH241" s="225"/>
      <c r="BI241" s="225"/>
      <c r="BJ241" s="225"/>
      <c r="BK241" s="225"/>
      <c r="BL241" s="225"/>
      <c r="BM241" s="225"/>
      <c r="BN241" s="225"/>
      <c r="BO241" s="225"/>
      <c r="BP241" s="225"/>
      <c r="BQ241" s="225"/>
      <c r="BR241" s="225"/>
      <c r="BS241" s="225"/>
      <c r="BT241" s="225"/>
      <c r="BU241" s="225"/>
    </row>
    <row r="242" spans="41:73" x14ac:dyDescent="0.25">
      <c r="AO242"/>
      <c r="AS242"/>
      <c r="BC242" s="225"/>
      <c r="BD242" s="225"/>
      <c r="BE242" s="225"/>
      <c r="BF242" s="225"/>
      <c r="BG242" s="225"/>
      <c r="BH242" s="225"/>
      <c r="BI242" s="225"/>
      <c r="BJ242" s="225"/>
      <c r="BK242" s="225"/>
      <c r="BL242" s="225"/>
      <c r="BM242" s="225"/>
      <c r="BN242" s="225"/>
      <c r="BO242" s="225"/>
      <c r="BP242" s="225"/>
      <c r="BQ242" s="225"/>
      <c r="BR242" s="225"/>
      <c r="BS242" s="225"/>
      <c r="BT242" s="225"/>
      <c r="BU242" s="225"/>
    </row>
    <row r="243" spans="41:73" x14ac:dyDescent="0.25">
      <c r="AO243"/>
      <c r="AS243"/>
      <c r="BC243" s="225"/>
      <c r="BD243" s="225"/>
      <c r="BE243" s="225"/>
      <c r="BF243" s="225"/>
      <c r="BG243" s="225"/>
      <c r="BH243" s="225"/>
      <c r="BI243" s="225"/>
      <c r="BJ243" s="225"/>
      <c r="BK243" s="225"/>
      <c r="BL243" s="225"/>
      <c r="BM243" s="225"/>
      <c r="BN243" s="225"/>
      <c r="BO243" s="225"/>
      <c r="BP243" s="225"/>
      <c r="BQ243" s="225"/>
      <c r="BR243" s="225"/>
      <c r="BS243" s="225"/>
      <c r="BT243" s="225"/>
      <c r="BU243" s="225"/>
    </row>
    <row r="244" spans="41:73" x14ac:dyDescent="0.25">
      <c r="AO244"/>
      <c r="AS244"/>
      <c r="BC244" s="225"/>
      <c r="BD244" s="225"/>
      <c r="BE244" s="225"/>
      <c r="BF244" s="225"/>
      <c r="BG244" s="225"/>
      <c r="BH244" s="225"/>
      <c r="BI244" s="225"/>
      <c r="BJ244" s="225"/>
      <c r="BK244" s="225"/>
      <c r="BL244" s="225"/>
      <c r="BM244" s="225"/>
      <c r="BN244" s="225"/>
      <c r="BO244" s="225"/>
      <c r="BP244" s="225"/>
      <c r="BQ244" s="225"/>
      <c r="BR244" s="225"/>
      <c r="BS244" s="225"/>
      <c r="BT244" s="225"/>
      <c r="BU244" s="225"/>
    </row>
    <row r="245" spans="41:73" x14ac:dyDescent="0.25">
      <c r="AO245"/>
      <c r="AS245"/>
      <c r="BC245" s="225"/>
      <c r="BD245" s="225"/>
      <c r="BE245" s="225"/>
      <c r="BF245" s="225"/>
      <c r="BG245" s="225"/>
      <c r="BH245" s="225"/>
      <c r="BI245" s="225"/>
      <c r="BJ245" s="225"/>
      <c r="BK245" s="225"/>
      <c r="BL245" s="225"/>
      <c r="BM245" s="225"/>
      <c r="BN245" s="225"/>
      <c r="BO245" s="225"/>
      <c r="BP245" s="225"/>
      <c r="BQ245" s="225"/>
      <c r="BR245" s="225"/>
      <c r="BS245" s="225"/>
      <c r="BT245" s="225"/>
      <c r="BU245" s="225"/>
    </row>
    <row r="246" spans="41:73" x14ac:dyDescent="0.25">
      <c r="AO246"/>
      <c r="AS246"/>
      <c r="BC246" s="225"/>
      <c r="BD246" s="225"/>
      <c r="BE246" s="225"/>
      <c r="BF246" s="225"/>
      <c r="BG246" s="225"/>
      <c r="BH246" s="225"/>
      <c r="BI246" s="225"/>
      <c r="BJ246" s="225"/>
      <c r="BK246" s="225"/>
      <c r="BL246" s="225"/>
      <c r="BM246" s="225"/>
      <c r="BN246" s="225"/>
      <c r="BO246" s="225"/>
      <c r="BP246" s="225"/>
      <c r="BQ246" s="225"/>
      <c r="BR246" s="225"/>
      <c r="BS246" s="225"/>
      <c r="BT246" s="225"/>
      <c r="BU246" s="225"/>
    </row>
    <row r="247" spans="41:73" x14ac:dyDescent="0.25">
      <c r="AO247"/>
      <c r="AS247"/>
      <c r="BC247" s="225"/>
      <c r="BD247" s="225"/>
      <c r="BE247" s="225"/>
      <c r="BF247" s="225"/>
      <c r="BG247" s="225"/>
      <c r="BH247" s="225"/>
      <c r="BI247" s="225"/>
      <c r="BJ247" s="225"/>
      <c r="BK247" s="225"/>
      <c r="BL247" s="225"/>
      <c r="BM247" s="225"/>
      <c r="BN247" s="225"/>
      <c r="BO247" s="225"/>
      <c r="BP247" s="225"/>
      <c r="BQ247" s="225"/>
      <c r="BR247" s="225"/>
      <c r="BS247" s="225"/>
      <c r="BT247" s="225"/>
      <c r="BU247" s="225"/>
    </row>
    <row r="248" spans="41:73" x14ac:dyDescent="0.25">
      <c r="AO248"/>
      <c r="AS248"/>
      <c r="BC248" s="225"/>
      <c r="BD248" s="225"/>
      <c r="BE248" s="225"/>
      <c r="BF248" s="225"/>
      <c r="BG248" s="225"/>
      <c r="BH248" s="225"/>
      <c r="BI248" s="225"/>
      <c r="BJ248" s="225"/>
      <c r="BK248" s="225"/>
      <c r="BL248" s="225"/>
      <c r="BM248" s="225"/>
      <c r="BN248" s="225"/>
      <c r="BO248" s="225"/>
      <c r="BP248" s="225"/>
      <c r="BQ248" s="225"/>
      <c r="BR248" s="225"/>
      <c r="BS248" s="225"/>
      <c r="BT248" s="225"/>
      <c r="BU248" s="225"/>
    </row>
    <row r="249" spans="41:73" x14ac:dyDescent="0.25">
      <c r="AO249"/>
      <c r="AS249"/>
      <c r="BC249" s="225"/>
      <c r="BD249" s="225"/>
      <c r="BE249" s="225"/>
      <c r="BF249" s="225"/>
      <c r="BG249" s="225"/>
      <c r="BH249" s="225"/>
      <c r="BI249" s="225"/>
      <c r="BJ249" s="225"/>
      <c r="BK249" s="225"/>
      <c r="BL249" s="225"/>
      <c r="BM249" s="225"/>
      <c r="BN249" s="225"/>
      <c r="BO249" s="225"/>
      <c r="BP249" s="225"/>
      <c r="BQ249" s="225"/>
      <c r="BR249" s="225"/>
      <c r="BS249" s="225"/>
      <c r="BT249" s="225"/>
      <c r="BU249" s="225"/>
    </row>
    <row r="250" spans="41:73" x14ac:dyDescent="0.25">
      <c r="AO250"/>
      <c r="AS250"/>
      <c r="BC250" s="225"/>
      <c r="BD250" s="225"/>
      <c r="BE250" s="225"/>
      <c r="BF250" s="225"/>
      <c r="BG250" s="225"/>
      <c r="BH250" s="225"/>
      <c r="BI250" s="225"/>
      <c r="BJ250" s="225"/>
      <c r="BK250" s="225"/>
      <c r="BL250" s="225"/>
      <c r="BM250" s="225"/>
      <c r="BN250" s="225"/>
      <c r="BO250" s="225"/>
      <c r="BP250" s="225"/>
      <c r="BQ250" s="225"/>
      <c r="BR250" s="225"/>
      <c r="BS250" s="225"/>
      <c r="BT250" s="225"/>
      <c r="BU250" s="225"/>
    </row>
    <row r="251" spans="41:73" x14ac:dyDescent="0.25">
      <c r="AO251"/>
      <c r="AS251"/>
      <c r="BC251" s="225"/>
      <c r="BD251" s="225"/>
      <c r="BE251" s="225"/>
      <c r="BF251" s="225"/>
      <c r="BG251" s="225"/>
      <c r="BH251" s="225"/>
      <c r="BI251" s="225"/>
      <c r="BJ251" s="225"/>
      <c r="BK251" s="225"/>
      <c r="BL251" s="225"/>
      <c r="BM251" s="225"/>
      <c r="BN251" s="225"/>
      <c r="BO251" s="225"/>
      <c r="BP251" s="225"/>
      <c r="BQ251" s="225"/>
      <c r="BR251" s="225"/>
      <c r="BS251" s="225"/>
      <c r="BT251" s="225"/>
      <c r="BU251" s="225"/>
    </row>
    <row r="252" spans="41:73" x14ac:dyDescent="0.25">
      <c r="AO252"/>
      <c r="AS252"/>
      <c r="BC252" s="225"/>
      <c r="BD252" s="225"/>
      <c r="BE252" s="225"/>
      <c r="BF252" s="225"/>
      <c r="BG252" s="225"/>
      <c r="BH252" s="225"/>
      <c r="BI252" s="225"/>
      <c r="BJ252" s="225"/>
      <c r="BK252" s="225"/>
      <c r="BL252" s="225"/>
      <c r="BM252" s="225"/>
      <c r="BN252" s="225"/>
      <c r="BO252" s="225"/>
      <c r="BP252" s="225"/>
      <c r="BQ252" s="225"/>
      <c r="BR252" s="225"/>
      <c r="BS252" s="225"/>
      <c r="BT252" s="225"/>
      <c r="BU252" s="225"/>
    </row>
    <row r="253" spans="41:73" x14ac:dyDescent="0.25">
      <c r="AO253"/>
      <c r="AS253"/>
      <c r="BC253" s="225"/>
      <c r="BD253" s="225"/>
      <c r="BE253" s="225"/>
      <c r="BF253" s="225"/>
      <c r="BG253" s="225"/>
      <c r="BH253" s="225"/>
      <c r="BI253" s="225"/>
      <c r="BJ253" s="225"/>
      <c r="BK253" s="225"/>
      <c r="BL253" s="225"/>
      <c r="BM253" s="225"/>
      <c r="BN253" s="225"/>
      <c r="BO253" s="225"/>
      <c r="BP253" s="225"/>
      <c r="BQ253" s="225"/>
      <c r="BR253" s="225"/>
      <c r="BS253" s="225"/>
      <c r="BT253" s="225"/>
      <c r="BU253" s="225"/>
    </row>
    <row r="254" spans="41:73" x14ac:dyDescent="0.25">
      <c r="AO254"/>
      <c r="AS254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</row>
    <row r="255" spans="41:73" x14ac:dyDescent="0.25">
      <c r="AO255"/>
      <c r="AS25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</row>
    <row r="256" spans="41:73" x14ac:dyDescent="0.25">
      <c r="AO256"/>
      <c r="AS256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</row>
    <row r="257" spans="41:73" x14ac:dyDescent="0.25">
      <c r="AO257"/>
      <c r="AS257"/>
      <c r="BC257" s="225"/>
      <c r="BD257" s="225"/>
      <c r="BE257" s="225"/>
      <c r="BF257" s="225"/>
      <c r="BG257" s="225"/>
      <c r="BH257" s="225"/>
      <c r="BI257" s="225"/>
      <c r="BJ257" s="225"/>
      <c r="BK257" s="225"/>
      <c r="BL257" s="225"/>
      <c r="BM257" s="225"/>
      <c r="BN257" s="225"/>
      <c r="BO257" s="225"/>
      <c r="BP257" s="225"/>
      <c r="BQ257" s="225"/>
      <c r="BR257" s="225"/>
      <c r="BS257" s="225"/>
      <c r="BT257" s="225"/>
      <c r="BU257" s="225"/>
    </row>
    <row r="258" spans="41:73" x14ac:dyDescent="0.25">
      <c r="AO258"/>
      <c r="AS258"/>
      <c r="BC258" s="225"/>
      <c r="BD258" s="225"/>
      <c r="BE258" s="225"/>
      <c r="BF258" s="225"/>
      <c r="BG258" s="225"/>
      <c r="BH258" s="225"/>
      <c r="BI258" s="225"/>
      <c r="BJ258" s="225"/>
      <c r="BK258" s="225"/>
      <c r="BL258" s="225"/>
      <c r="BM258" s="225"/>
      <c r="BN258" s="225"/>
      <c r="BO258" s="225"/>
      <c r="BP258" s="225"/>
      <c r="BQ258" s="225"/>
      <c r="BR258" s="225"/>
      <c r="BS258" s="225"/>
      <c r="BT258" s="225"/>
      <c r="BU258" s="225"/>
    </row>
    <row r="259" spans="41:73" x14ac:dyDescent="0.25">
      <c r="AO259"/>
      <c r="AS259"/>
      <c r="BC259" s="225"/>
      <c r="BD259" s="225"/>
      <c r="BE259" s="225"/>
      <c r="BF259" s="225"/>
      <c r="BG259" s="225"/>
      <c r="BH259" s="225"/>
      <c r="BI259" s="225"/>
      <c r="BJ259" s="225"/>
      <c r="BK259" s="225"/>
      <c r="BL259" s="225"/>
      <c r="BM259" s="225"/>
      <c r="BN259" s="225"/>
      <c r="BO259" s="225"/>
      <c r="BP259" s="225"/>
      <c r="BQ259" s="225"/>
      <c r="BR259" s="225"/>
      <c r="BS259" s="225"/>
      <c r="BT259" s="225"/>
      <c r="BU259" s="225"/>
    </row>
    <row r="260" spans="41:73" x14ac:dyDescent="0.25">
      <c r="AO260"/>
      <c r="AS260"/>
      <c r="BC260" s="225"/>
      <c r="BD260" s="225"/>
      <c r="BE260" s="225"/>
      <c r="BF260" s="225"/>
      <c r="BG260" s="225"/>
      <c r="BH260" s="225"/>
      <c r="BI260" s="225"/>
      <c r="BJ260" s="225"/>
      <c r="BK260" s="225"/>
      <c r="BL260" s="225"/>
      <c r="BM260" s="225"/>
      <c r="BN260" s="225"/>
      <c r="BO260" s="225"/>
      <c r="BP260" s="225"/>
      <c r="BQ260" s="225"/>
      <c r="BR260" s="225"/>
      <c r="BS260" s="225"/>
      <c r="BT260" s="225"/>
      <c r="BU260" s="225"/>
    </row>
    <row r="261" spans="41:73" x14ac:dyDescent="0.25">
      <c r="AO261"/>
      <c r="AS261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</row>
    <row r="262" spans="41:73" x14ac:dyDescent="0.25">
      <c r="AO262"/>
      <c r="AS262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</row>
    <row r="263" spans="41:73" x14ac:dyDescent="0.25">
      <c r="AO263"/>
      <c r="AS263"/>
      <c r="BC263" s="225"/>
      <c r="BD263" s="225"/>
      <c r="BE263" s="225"/>
      <c r="BF263" s="225"/>
      <c r="BG263" s="225"/>
      <c r="BH263" s="225"/>
      <c r="BI263" s="225"/>
      <c r="BJ263" s="225"/>
      <c r="BK263" s="225"/>
      <c r="BL263" s="225"/>
      <c r="BM263" s="225"/>
      <c r="BN263" s="225"/>
      <c r="BO263" s="225"/>
      <c r="BP263" s="225"/>
      <c r="BQ263" s="225"/>
      <c r="BR263" s="225"/>
      <c r="BS263" s="225"/>
      <c r="BT263" s="225"/>
      <c r="BU263" s="225"/>
    </row>
    <row r="264" spans="41:73" x14ac:dyDescent="0.25">
      <c r="AO264"/>
      <c r="AS264"/>
      <c r="BC264" s="225"/>
      <c r="BD264" s="225"/>
      <c r="BE264" s="225"/>
      <c r="BF264" s="225"/>
      <c r="BG264" s="225"/>
      <c r="BH264" s="225"/>
      <c r="BI264" s="225"/>
      <c r="BJ264" s="225"/>
      <c r="BK264" s="225"/>
      <c r="BL264" s="225"/>
      <c r="BM264" s="225"/>
      <c r="BN264" s="225"/>
      <c r="BO264" s="225"/>
      <c r="BP264" s="225"/>
      <c r="BQ264" s="225"/>
      <c r="BR264" s="225"/>
      <c r="BS264" s="225"/>
      <c r="BT264" s="225"/>
      <c r="BU264" s="225"/>
    </row>
    <row r="265" spans="41:73" x14ac:dyDescent="0.25">
      <c r="AO265"/>
      <c r="AS265"/>
      <c r="BC265" s="225"/>
      <c r="BD265" s="225"/>
      <c r="BE265" s="225"/>
      <c r="BF265" s="225"/>
      <c r="BG265" s="225"/>
      <c r="BH265" s="225"/>
      <c r="BI265" s="225"/>
      <c r="BJ265" s="225"/>
      <c r="BK265" s="225"/>
      <c r="BL265" s="225"/>
      <c r="BM265" s="225"/>
      <c r="BN265" s="225"/>
      <c r="BO265" s="225"/>
      <c r="BP265" s="225"/>
      <c r="BQ265" s="225"/>
      <c r="BR265" s="225"/>
      <c r="BS265" s="225"/>
      <c r="BT265" s="225"/>
      <c r="BU265" s="225"/>
    </row>
    <row r="266" spans="41:73" x14ac:dyDescent="0.25">
      <c r="AO266"/>
      <c r="AS266"/>
      <c r="BC266" s="225"/>
      <c r="BD266" s="225"/>
      <c r="BE266" s="225"/>
      <c r="BF266" s="225"/>
      <c r="BG266" s="225"/>
      <c r="BH266" s="225"/>
      <c r="BI266" s="225"/>
      <c r="BJ266" s="225"/>
      <c r="BK266" s="225"/>
      <c r="BL266" s="225"/>
      <c r="BM266" s="225"/>
      <c r="BN266" s="225"/>
      <c r="BO266" s="225"/>
      <c r="BP266" s="225"/>
      <c r="BQ266" s="225"/>
      <c r="BR266" s="225"/>
      <c r="BS266" s="225"/>
      <c r="BT266" s="225"/>
      <c r="BU266" s="225"/>
    </row>
    <row r="267" spans="41:73" x14ac:dyDescent="0.25">
      <c r="AO267"/>
      <c r="AS267"/>
      <c r="BC267" s="225"/>
      <c r="BD267" s="225"/>
      <c r="BE267" s="225"/>
      <c r="BF267" s="225"/>
      <c r="BG267" s="225"/>
      <c r="BH267" s="225"/>
      <c r="BI267" s="225"/>
      <c r="BJ267" s="225"/>
      <c r="BK267" s="225"/>
      <c r="BL267" s="225"/>
      <c r="BM267" s="225"/>
      <c r="BN267" s="225"/>
      <c r="BO267" s="225"/>
      <c r="BP267" s="225"/>
      <c r="BQ267" s="225"/>
      <c r="BR267" s="225"/>
      <c r="BS267" s="225"/>
      <c r="BT267" s="225"/>
      <c r="BU267" s="225"/>
    </row>
    <row r="268" spans="41:73" x14ac:dyDescent="0.25">
      <c r="AO268"/>
      <c r="AS268"/>
      <c r="BC268" s="225"/>
      <c r="BD268" s="225"/>
      <c r="BE268" s="225"/>
      <c r="BF268" s="225"/>
      <c r="BG268" s="225"/>
      <c r="BH268" s="225"/>
      <c r="BI268" s="225"/>
      <c r="BJ268" s="225"/>
      <c r="BK268" s="225"/>
      <c r="BL268" s="225"/>
      <c r="BM268" s="225"/>
      <c r="BN268" s="225"/>
      <c r="BO268" s="225"/>
      <c r="BP268" s="225"/>
      <c r="BQ268" s="225"/>
      <c r="BR268" s="225"/>
      <c r="BS268" s="225"/>
      <c r="BT268" s="225"/>
      <c r="BU268" s="225"/>
    </row>
    <row r="269" spans="41:73" x14ac:dyDescent="0.25">
      <c r="AO269"/>
      <c r="AS269"/>
      <c r="BC269" s="225"/>
      <c r="BD269" s="225"/>
      <c r="BE269" s="225"/>
      <c r="BF269" s="225"/>
      <c r="BG269" s="225"/>
      <c r="BH269" s="225"/>
      <c r="BI269" s="225"/>
      <c r="BJ269" s="225"/>
      <c r="BK269" s="225"/>
      <c r="BL269" s="225"/>
      <c r="BM269" s="225"/>
      <c r="BN269" s="225"/>
      <c r="BO269" s="225"/>
      <c r="BP269" s="225"/>
      <c r="BQ269" s="225"/>
      <c r="BR269" s="225"/>
      <c r="BS269" s="225"/>
      <c r="BT269" s="225"/>
      <c r="BU269" s="225"/>
    </row>
    <row r="270" spans="41:73" x14ac:dyDescent="0.25">
      <c r="AO270"/>
      <c r="AS270"/>
      <c r="BC270" s="225"/>
      <c r="BD270" s="225"/>
      <c r="BE270" s="225"/>
      <c r="BF270" s="225"/>
      <c r="BG270" s="225"/>
      <c r="BH270" s="225"/>
      <c r="BI270" s="225"/>
      <c r="BJ270" s="225"/>
      <c r="BK270" s="225"/>
      <c r="BL270" s="225"/>
      <c r="BM270" s="225"/>
      <c r="BN270" s="225"/>
      <c r="BO270" s="225"/>
      <c r="BP270" s="225"/>
      <c r="BQ270" s="225"/>
      <c r="BR270" s="225"/>
      <c r="BS270" s="225"/>
      <c r="BT270" s="225"/>
      <c r="BU270" s="225"/>
    </row>
    <row r="271" spans="41:73" x14ac:dyDescent="0.25">
      <c r="AO271"/>
      <c r="AS271"/>
      <c r="BC271" s="225"/>
      <c r="BD271" s="225"/>
      <c r="BE271" s="225"/>
      <c r="BF271" s="225"/>
      <c r="BG271" s="225"/>
      <c r="BH271" s="225"/>
      <c r="BI271" s="225"/>
      <c r="BJ271" s="225"/>
      <c r="BK271" s="225"/>
      <c r="BL271" s="225"/>
      <c r="BM271" s="225"/>
      <c r="BN271" s="225"/>
      <c r="BO271" s="225"/>
      <c r="BP271" s="225"/>
      <c r="BQ271" s="225"/>
      <c r="BR271" s="225"/>
      <c r="BS271" s="225"/>
      <c r="BT271" s="225"/>
      <c r="BU271" s="225"/>
    </row>
    <row r="272" spans="41:73" x14ac:dyDescent="0.25">
      <c r="AO272"/>
      <c r="AS272"/>
      <c r="BC272" s="225"/>
      <c r="BD272" s="225"/>
      <c r="BE272" s="225"/>
      <c r="BF272" s="225"/>
      <c r="BG272" s="225"/>
      <c r="BH272" s="225"/>
      <c r="BI272" s="225"/>
      <c r="BJ272" s="225"/>
      <c r="BK272" s="225"/>
      <c r="BL272" s="225"/>
      <c r="BM272" s="225"/>
      <c r="BN272" s="225"/>
      <c r="BO272" s="225"/>
      <c r="BP272" s="225"/>
      <c r="BQ272" s="225"/>
      <c r="BR272" s="225"/>
      <c r="BS272" s="225"/>
      <c r="BT272" s="225"/>
      <c r="BU272" s="225"/>
    </row>
    <row r="273" spans="41:73" x14ac:dyDescent="0.25">
      <c r="AO273"/>
      <c r="AS273"/>
      <c r="BC273" s="225"/>
      <c r="BD273" s="225"/>
      <c r="BE273" s="225"/>
      <c r="BF273" s="225"/>
      <c r="BG273" s="225"/>
      <c r="BH273" s="225"/>
      <c r="BI273" s="225"/>
      <c r="BJ273" s="225"/>
      <c r="BK273" s="225"/>
      <c r="BL273" s="225"/>
      <c r="BM273" s="225"/>
      <c r="BN273" s="225"/>
      <c r="BO273" s="225"/>
      <c r="BP273" s="225"/>
      <c r="BQ273" s="225"/>
      <c r="BR273" s="225"/>
      <c r="BS273" s="225"/>
      <c r="BT273" s="225"/>
      <c r="BU273" s="225"/>
    </row>
    <row r="274" spans="41:73" x14ac:dyDescent="0.25">
      <c r="AO274"/>
      <c r="AS274"/>
      <c r="BC274" s="225"/>
      <c r="BD274" s="225"/>
      <c r="BE274" s="225"/>
      <c r="BF274" s="225"/>
      <c r="BG274" s="225"/>
      <c r="BH274" s="225"/>
      <c r="BI274" s="225"/>
      <c r="BJ274" s="225"/>
      <c r="BK274" s="225"/>
      <c r="BL274" s="225"/>
      <c r="BM274" s="225"/>
      <c r="BN274" s="225"/>
      <c r="BO274" s="225"/>
      <c r="BP274" s="225"/>
      <c r="BQ274" s="225"/>
      <c r="BR274" s="225"/>
      <c r="BS274" s="225"/>
      <c r="BT274" s="225"/>
      <c r="BU274" s="225"/>
    </row>
    <row r="275" spans="41:73" x14ac:dyDescent="0.25">
      <c r="AO275"/>
      <c r="AS275"/>
      <c r="BC275" s="225"/>
      <c r="BD275" s="225"/>
      <c r="BE275" s="225"/>
      <c r="BF275" s="225"/>
      <c r="BG275" s="225"/>
      <c r="BH275" s="225"/>
      <c r="BI275" s="225"/>
      <c r="BJ275" s="225"/>
      <c r="BK275" s="225"/>
      <c r="BL275" s="225"/>
      <c r="BM275" s="225"/>
      <c r="BN275" s="225"/>
      <c r="BO275" s="225"/>
      <c r="BP275" s="225"/>
      <c r="BQ275" s="225"/>
      <c r="BR275" s="225"/>
      <c r="BS275" s="225"/>
      <c r="BT275" s="225"/>
      <c r="BU275" s="225"/>
    </row>
    <row r="276" spans="41:73" x14ac:dyDescent="0.25">
      <c r="AO276"/>
      <c r="AS276"/>
      <c r="BC276" s="225"/>
      <c r="BD276" s="225"/>
      <c r="BE276" s="225"/>
      <c r="BF276" s="225"/>
      <c r="BG276" s="225"/>
      <c r="BH276" s="225"/>
      <c r="BI276" s="225"/>
      <c r="BJ276" s="225"/>
      <c r="BK276" s="225"/>
      <c r="BL276" s="225"/>
      <c r="BM276" s="225"/>
      <c r="BN276" s="225"/>
      <c r="BO276" s="225"/>
      <c r="BP276" s="225"/>
      <c r="BQ276" s="225"/>
      <c r="BR276" s="225"/>
      <c r="BS276" s="225"/>
      <c r="BT276" s="225"/>
      <c r="BU276" s="225"/>
    </row>
    <row r="277" spans="41:73" x14ac:dyDescent="0.25">
      <c r="AO277"/>
      <c r="AS277"/>
      <c r="BC277" s="225"/>
      <c r="BD277" s="225"/>
      <c r="BE277" s="225"/>
      <c r="BF277" s="225"/>
      <c r="BG277" s="225"/>
      <c r="BH277" s="225"/>
      <c r="BI277" s="225"/>
      <c r="BJ277" s="225"/>
      <c r="BK277" s="225"/>
      <c r="BL277" s="225"/>
      <c r="BM277" s="225"/>
      <c r="BN277" s="225"/>
      <c r="BO277" s="225"/>
      <c r="BP277" s="225"/>
      <c r="BQ277" s="225"/>
      <c r="BR277" s="225"/>
      <c r="BS277" s="225"/>
      <c r="BT277" s="225"/>
      <c r="BU277" s="225"/>
    </row>
    <row r="278" spans="41:73" x14ac:dyDescent="0.25">
      <c r="AO278"/>
      <c r="AS278"/>
      <c r="BC278" s="225"/>
      <c r="BD278" s="225"/>
      <c r="BE278" s="225"/>
      <c r="BF278" s="225"/>
      <c r="BG278" s="225"/>
      <c r="BH278" s="225"/>
      <c r="BI278" s="225"/>
      <c r="BJ278" s="225"/>
      <c r="BK278" s="225"/>
      <c r="BL278" s="225"/>
      <c r="BM278" s="225"/>
      <c r="BN278" s="225"/>
      <c r="BO278" s="225"/>
      <c r="BP278" s="225"/>
      <c r="BQ278" s="225"/>
      <c r="BR278" s="225"/>
      <c r="BS278" s="225"/>
      <c r="BT278" s="225"/>
      <c r="BU278" s="225"/>
    </row>
    <row r="279" spans="41:73" x14ac:dyDescent="0.25">
      <c r="AO279"/>
      <c r="AS279"/>
      <c r="BC279" s="225"/>
      <c r="BD279" s="225"/>
      <c r="BE279" s="225"/>
      <c r="BF279" s="225"/>
      <c r="BG279" s="225"/>
      <c r="BH279" s="225"/>
      <c r="BI279" s="225"/>
      <c r="BJ279" s="225"/>
      <c r="BK279" s="225"/>
      <c r="BL279" s="225"/>
      <c r="BM279" s="225"/>
      <c r="BN279" s="225"/>
      <c r="BO279" s="225"/>
      <c r="BP279" s="225"/>
      <c r="BQ279" s="225"/>
      <c r="BR279" s="225"/>
      <c r="BS279" s="225"/>
      <c r="BT279" s="225"/>
      <c r="BU279" s="225"/>
    </row>
    <row r="280" spans="41:73" x14ac:dyDescent="0.25">
      <c r="AO280"/>
      <c r="AS280"/>
      <c r="BC280" s="225"/>
      <c r="BD280" s="225"/>
      <c r="BE280" s="225"/>
      <c r="BF280" s="225"/>
      <c r="BG280" s="225"/>
      <c r="BH280" s="225"/>
      <c r="BI280" s="225"/>
      <c r="BJ280" s="225"/>
      <c r="BK280" s="225"/>
      <c r="BL280" s="225"/>
      <c r="BM280" s="225"/>
      <c r="BN280" s="225"/>
      <c r="BO280" s="225"/>
      <c r="BP280" s="225"/>
      <c r="BQ280" s="225"/>
      <c r="BR280" s="225"/>
      <c r="BS280" s="225"/>
      <c r="BT280" s="225"/>
      <c r="BU280" s="225"/>
    </row>
    <row r="281" spans="41:73" x14ac:dyDescent="0.25">
      <c r="AO281"/>
      <c r="AS281"/>
      <c r="BC281" s="225"/>
      <c r="BD281" s="225"/>
      <c r="BE281" s="225"/>
      <c r="BF281" s="225"/>
      <c r="BG281" s="225"/>
      <c r="BH281" s="225"/>
      <c r="BI281" s="225"/>
      <c r="BJ281" s="225"/>
      <c r="BK281" s="225"/>
      <c r="BL281" s="225"/>
      <c r="BM281" s="225"/>
      <c r="BN281" s="225"/>
      <c r="BO281" s="225"/>
      <c r="BP281" s="225"/>
      <c r="BQ281" s="225"/>
      <c r="BR281" s="225"/>
      <c r="BS281" s="225"/>
      <c r="BT281" s="225"/>
      <c r="BU281" s="225"/>
    </row>
    <row r="282" spans="41:73" x14ac:dyDescent="0.25">
      <c r="AO282"/>
      <c r="AS282"/>
      <c r="BC282" s="225"/>
      <c r="BD282" s="225"/>
      <c r="BE282" s="225"/>
      <c r="BF282" s="225"/>
      <c r="BG282" s="225"/>
      <c r="BH282" s="225"/>
      <c r="BI282" s="225"/>
      <c r="BJ282" s="225"/>
      <c r="BK282" s="225"/>
      <c r="BL282" s="225"/>
      <c r="BM282" s="225"/>
      <c r="BN282" s="225"/>
      <c r="BO282" s="225"/>
      <c r="BP282" s="225"/>
      <c r="BQ282" s="225"/>
      <c r="BR282" s="225"/>
      <c r="BS282" s="225"/>
      <c r="BT282" s="225"/>
      <c r="BU282" s="225"/>
    </row>
    <row r="283" spans="41:73" x14ac:dyDescent="0.25">
      <c r="AO283"/>
      <c r="AS283"/>
      <c r="BC283" s="225"/>
      <c r="BD283" s="225"/>
      <c r="BE283" s="225"/>
      <c r="BF283" s="225"/>
      <c r="BG283" s="225"/>
      <c r="BH283" s="225"/>
      <c r="BI283" s="225"/>
      <c r="BJ283" s="225"/>
      <c r="BK283" s="225"/>
      <c r="BL283" s="225"/>
      <c r="BM283" s="225"/>
      <c r="BN283" s="225"/>
      <c r="BO283" s="225"/>
      <c r="BP283" s="225"/>
      <c r="BQ283" s="225"/>
      <c r="BR283" s="225"/>
      <c r="BS283" s="225"/>
      <c r="BT283" s="225"/>
      <c r="BU283" s="225"/>
    </row>
    <row r="284" spans="41:73" x14ac:dyDescent="0.25">
      <c r="AO284"/>
      <c r="AS284"/>
      <c r="BC284" s="225"/>
      <c r="BD284" s="225"/>
      <c r="BE284" s="225"/>
      <c r="BF284" s="225"/>
      <c r="BG284" s="225"/>
      <c r="BH284" s="225"/>
      <c r="BI284" s="225"/>
      <c r="BJ284" s="225"/>
      <c r="BK284" s="225"/>
      <c r="BL284" s="225"/>
      <c r="BM284" s="225"/>
      <c r="BN284" s="225"/>
      <c r="BO284" s="225"/>
      <c r="BP284" s="225"/>
      <c r="BQ284" s="225"/>
      <c r="BR284" s="225"/>
      <c r="BS284" s="225"/>
      <c r="BT284" s="225"/>
      <c r="BU284" s="225"/>
    </row>
    <row r="285" spans="41:73" x14ac:dyDescent="0.25">
      <c r="AO285"/>
      <c r="AS285"/>
      <c r="BC285" s="225"/>
      <c r="BD285" s="225"/>
      <c r="BE285" s="225"/>
      <c r="BF285" s="225"/>
      <c r="BG285" s="225"/>
      <c r="BH285" s="225"/>
      <c r="BI285" s="225"/>
      <c r="BJ285" s="225"/>
      <c r="BK285" s="225"/>
      <c r="BL285" s="225"/>
      <c r="BM285" s="225"/>
      <c r="BN285" s="225"/>
      <c r="BO285" s="225"/>
      <c r="BP285" s="225"/>
      <c r="BQ285" s="225"/>
      <c r="BR285" s="225"/>
      <c r="BS285" s="225"/>
      <c r="BT285" s="225"/>
      <c r="BU285" s="225"/>
    </row>
    <row r="286" spans="41:73" x14ac:dyDescent="0.25">
      <c r="AO286"/>
      <c r="AS286"/>
      <c r="BC286" s="225"/>
      <c r="BD286" s="225"/>
      <c r="BE286" s="225"/>
      <c r="BF286" s="225"/>
      <c r="BG286" s="225"/>
      <c r="BH286" s="225"/>
      <c r="BI286" s="225"/>
      <c r="BJ286" s="225"/>
      <c r="BK286" s="225"/>
      <c r="BL286" s="225"/>
      <c r="BM286" s="225"/>
      <c r="BN286" s="225"/>
      <c r="BO286" s="225"/>
      <c r="BP286" s="225"/>
      <c r="BQ286" s="225"/>
      <c r="BR286" s="225"/>
      <c r="BS286" s="225"/>
      <c r="BT286" s="225"/>
      <c r="BU286" s="225"/>
    </row>
    <row r="287" spans="41:73" x14ac:dyDescent="0.25">
      <c r="AO287"/>
      <c r="AS287"/>
      <c r="BC287" s="225"/>
      <c r="BD287" s="225"/>
      <c r="BE287" s="225"/>
      <c r="BF287" s="225"/>
      <c r="BG287" s="225"/>
      <c r="BH287" s="225"/>
      <c r="BI287" s="225"/>
      <c r="BJ287" s="225"/>
      <c r="BK287" s="225"/>
      <c r="BL287" s="225"/>
      <c r="BM287" s="225"/>
      <c r="BN287" s="225"/>
      <c r="BO287" s="225"/>
      <c r="BP287" s="225"/>
      <c r="BQ287" s="225"/>
      <c r="BR287" s="225"/>
      <c r="BS287" s="225"/>
      <c r="BT287" s="225"/>
      <c r="BU287" s="225"/>
    </row>
    <row r="288" spans="41:73" x14ac:dyDescent="0.25">
      <c r="AO288"/>
      <c r="AS288"/>
      <c r="BC288" s="225"/>
      <c r="BD288" s="225"/>
      <c r="BE288" s="225"/>
      <c r="BF288" s="225"/>
      <c r="BG288" s="225"/>
      <c r="BH288" s="225"/>
      <c r="BI288" s="225"/>
      <c r="BJ288" s="225"/>
      <c r="BK288" s="225"/>
      <c r="BL288" s="225"/>
      <c r="BM288" s="225"/>
      <c r="BN288" s="225"/>
      <c r="BO288" s="225"/>
      <c r="BP288" s="225"/>
      <c r="BQ288" s="225"/>
      <c r="BR288" s="225"/>
      <c r="BS288" s="225"/>
      <c r="BT288" s="225"/>
      <c r="BU288" s="225"/>
    </row>
    <row r="289" spans="41:73" x14ac:dyDescent="0.25">
      <c r="AO289"/>
      <c r="AS289"/>
      <c r="BC289" s="225"/>
      <c r="BD289" s="225"/>
      <c r="BE289" s="225"/>
      <c r="BF289" s="225"/>
      <c r="BG289" s="225"/>
      <c r="BH289" s="225"/>
      <c r="BI289" s="225"/>
      <c r="BJ289" s="225"/>
      <c r="BK289" s="225"/>
      <c r="BL289" s="225"/>
      <c r="BM289" s="225"/>
      <c r="BN289" s="225"/>
      <c r="BO289" s="225"/>
      <c r="BP289" s="225"/>
      <c r="BQ289" s="225"/>
      <c r="BR289" s="225"/>
      <c r="BS289" s="225"/>
      <c r="BT289" s="225"/>
      <c r="BU289" s="225"/>
    </row>
    <row r="290" spans="41:73" x14ac:dyDescent="0.25">
      <c r="AO290"/>
      <c r="AS290"/>
      <c r="BC290" s="225"/>
      <c r="BD290" s="225"/>
      <c r="BE290" s="225"/>
      <c r="BF290" s="225"/>
      <c r="BG290" s="225"/>
      <c r="BH290" s="225"/>
      <c r="BI290" s="225"/>
      <c r="BJ290" s="225"/>
      <c r="BK290" s="225"/>
      <c r="BL290" s="225"/>
      <c r="BM290" s="225"/>
      <c r="BN290" s="225"/>
      <c r="BO290" s="225"/>
      <c r="BP290" s="225"/>
      <c r="BQ290" s="225"/>
      <c r="BR290" s="225"/>
      <c r="BS290" s="225"/>
      <c r="BT290" s="225"/>
      <c r="BU290" s="225"/>
    </row>
    <row r="291" spans="41:73" x14ac:dyDescent="0.25">
      <c r="AO291"/>
      <c r="AS291"/>
      <c r="BC291" s="225"/>
      <c r="BD291" s="225"/>
      <c r="BE291" s="225"/>
      <c r="BF291" s="225"/>
      <c r="BG291" s="225"/>
      <c r="BH291" s="225"/>
      <c r="BI291" s="225"/>
      <c r="BJ291" s="225"/>
      <c r="BK291" s="225"/>
      <c r="BL291" s="225"/>
      <c r="BM291" s="225"/>
      <c r="BN291" s="225"/>
      <c r="BO291" s="225"/>
      <c r="BP291" s="225"/>
      <c r="BQ291" s="225"/>
      <c r="BR291" s="225"/>
      <c r="BS291" s="225"/>
      <c r="BT291" s="225"/>
      <c r="BU291" s="225"/>
    </row>
    <row r="292" spans="41:73" x14ac:dyDescent="0.25">
      <c r="AO292"/>
      <c r="AS292"/>
      <c r="BC292" s="225"/>
      <c r="BD292" s="225"/>
      <c r="BE292" s="225"/>
      <c r="BF292" s="225"/>
      <c r="BG292" s="225"/>
      <c r="BH292" s="225"/>
      <c r="BI292" s="225"/>
      <c r="BJ292" s="225"/>
      <c r="BK292" s="225"/>
      <c r="BL292" s="225"/>
      <c r="BM292" s="225"/>
      <c r="BN292" s="225"/>
      <c r="BO292" s="225"/>
      <c r="BP292" s="225"/>
      <c r="BQ292" s="225"/>
      <c r="BR292" s="225"/>
      <c r="BS292" s="225"/>
      <c r="BT292" s="225"/>
      <c r="BU292" s="225"/>
    </row>
    <row r="293" spans="41:73" x14ac:dyDescent="0.25">
      <c r="AO293"/>
      <c r="AS293"/>
      <c r="BC293" s="225"/>
      <c r="BD293" s="225"/>
      <c r="BE293" s="225"/>
      <c r="BF293" s="225"/>
      <c r="BG293" s="225"/>
      <c r="BH293" s="225"/>
      <c r="BI293" s="225"/>
      <c r="BJ293" s="225"/>
      <c r="BK293" s="225"/>
      <c r="BL293" s="225"/>
      <c r="BM293" s="225"/>
      <c r="BN293" s="225"/>
      <c r="BO293" s="225"/>
      <c r="BP293" s="225"/>
      <c r="BQ293" s="225"/>
      <c r="BR293" s="225"/>
      <c r="BS293" s="225"/>
      <c r="BT293" s="225"/>
      <c r="BU293" s="225"/>
    </row>
    <row r="294" spans="41:73" x14ac:dyDescent="0.25">
      <c r="AO294"/>
      <c r="AS294"/>
      <c r="BC294" s="225"/>
      <c r="BD294" s="225"/>
      <c r="BE294" s="225"/>
      <c r="BF294" s="225"/>
      <c r="BG294" s="225"/>
      <c r="BH294" s="225"/>
      <c r="BI294" s="225"/>
      <c r="BJ294" s="225"/>
      <c r="BK294" s="225"/>
      <c r="BL294" s="225"/>
      <c r="BM294" s="225"/>
      <c r="BN294" s="225"/>
      <c r="BO294" s="225"/>
      <c r="BP294" s="225"/>
      <c r="BQ294" s="225"/>
      <c r="BR294" s="225"/>
      <c r="BS294" s="225"/>
      <c r="BT294" s="225"/>
      <c r="BU294" s="225"/>
    </row>
    <row r="295" spans="41:73" x14ac:dyDescent="0.25">
      <c r="AO295"/>
      <c r="AS295"/>
      <c r="BC295" s="225"/>
      <c r="BD295" s="225"/>
      <c r="BE295" s="225"/>
      <c r="BF295" s="225"/>
      <c r="BG295" s="225"/>
      <c r="BH295" s="225"/>
      <c r="BI295" s="225"/>
      <c r="BJ295" s="225"/>
      <c r="BK295" s="225"/>
      <c r="BL295" s="225"/>
      <c r="BM295" s="225"/>
      <c r="BN295" s="225"/>
      <c r="BO295" s="225"/>
      <c r="BP295" s="225"/>
      <c r="BQ295" s="225"/>
      <c r="BR295" s="225"/>
      <c r="BS295" s="225"/>
      <c r="BT295" s="225"/>
      <c r="BU295" s="225"/>
    </row>
    <row r="296" spans="41:73" x14ac:dyDescent="0.25">
      <c r="AO296"/>
      <c r="AS296"/>
      <c r="BC296" s="225"/>
      <c r="BD296" s="225"/>
      <c r="BE296" s="225"/>
      <c r="BF296" s="225"/>
      <c r="BG296" s="225"/>
      <c r="BH296" s="225"/>
      <c r="BI296" s="225"/>
      <c r="BJ296" s="225"/>
      <c r="BK296" s="225"/>
      <c r="BL296" s="225"/>
      <c r="BM296" s="225"/>
      <c r="BN296" s="225"/>
      <c r="BO296" s="225"/>
      <c r="BP296" s="225"/>
      <c r="BQ296" s="225"/>
      <c r="BR296" s="225"/>
      <c r="BS296" s="225"/>
      <c r="BT296" s="225"/>
      <c r="BU296" s="225"/>
    </row>
    <row r="297" spans="41:73" x14ac:dyDescent="0.25">
      <c r="AO297"/>
      <c r="AS297"/>
      <c r="BC297" s="225"/>
      <c r="BD297" s="225"/>
      <c r="BE297" s="225"/>
      <c r="BF297" s="225"/>
      <c r="BG297" s="225"/>
      <c r="BH297" s="225"/>
      <c r="BI297" s="225"/>
      <c r="BJ297" s="225"/>
      <c r="BK297" s="225"/>
      <c r="BL297" s="225"/>
      <c r="BM297" s="225"/>
      <c r="BN297" s="225"/>
      <c r="BO297" s="225"/>
      <c r="BP297" s="225"/>
      <c r="BQ297" s="225"/>
      <c r="BR297" s="225"/>
      <c r="BS297" s="225"/>
      <c r="BT297" s="225"/>
      <c r="BU297" s="225"/>
    </row>
    <row r="298" spans="41:73" x14ac:dyDescent="0.25">
      <c r="AO298"/>
      <c r="AS298"/>
      <c r="BC298" s="225"/>
      <c r="BD298" s="225"/>
      <c r="BE298" s="225"/>
      <c r="BF298" s="225"/>
      <c r="BG298" s="225"/>
      <c r="BH298" s="225"/>
      <c r="BI298" s="225"/>
      <c r="BJ298" s="225"/>
      <c r="BK298" s="225"/>
      <c r="BL298" s="225"/>
      <c r="BM298" s="225"/>
      <c r="BN298" s="225"/>
      <c r="BO298" s="225"/>
      <c r="BP298" s="225"/>
      <c r="BQ298" s="225"/>
      <c r="BR298" s="225"/>
      <c r="BS298" s="225"/>
      <c r="BT298" s="225"/>
      <c r="BU298" s="225"/>
    </row>
    <row r="299" spans="41:73" x14ac:dyDescent="0.25">
      <c r="AO299"/>
      <c r="AS299"/>
      <c r="BC299" s="225"/>
      <c r="BD299" s="225"/>
      <c r="BE299" s="225"/>
      <c r="BF299" s="225"/>
      <c r="BG299" s="225"/>
      <c r="BH299" s="225"/>
      <c r="BI299" s="225"/>
      <c r="BJ299" s="225"/>
      <c r="BK299" s="225"/>
      <c r="BL299" s="225"/>
      <c r="BM299" s="225"/>
      <c r="BN299" s="225"/>
      <c r="BO299" s="225"/>
      <c r="BP299" s="225"/>
      <c r="BQ299" s="225"/>
      <c r="BR299" s="225"/>
      <c r="BS299" s="225"/>
      <c r="BT299" s="225"/>
      <c r="BU299" s="225"/>
    </row>
    <row r="300" spans="41:73" x14ac:dyDescent="0.25">
      <c r="AO300"/>
      <c r="AS300"/>
      <c r="BC300" s="225"/>
      <c r="BD300" s="225"/>
      <c r="BE300" s="225"/>
      <c r="BF300" s="225"/>
      <c r="BG300" s="225"/>
      <c r="BH300" s="225"/>
      <c r="BI300" s="225"/>
      <c r="BJ300" s="225"/>
      <c r="BK300" s="225"/>
      <c r="BL300" s="225"/>
      <c r="BM300" s="225"/>
      <c r="BN300" s="225"/>
      <c r="BO300" s="225"/>
      <c r="BP300" s="225"/>
      <c r="BQ300" s="225"/>
      <c r="BR300" s="225"/>
      <c r="BS300" s="225"/>
      <c r="BT300" s="225"/>
      <c r="BU300" s="225"/>
    </row>
    <row r="301" spans="41:73" x14ac:dyDescent="0.25">
      <c r="AO301"/>
      <c r="AS301"/>
      <c r="BC301" s="225"/>
      <c r="BD301" s="225"/>
      <c r="BE301" s="225"/>
      <c r="BF301" s="225"/>
      <c r="BG301" s="225"/>
      <c r="BH301" s="225"/>
      <c r="BI301" s="225"/>
      <c r="BJ301" s="225"/>
      <c r="BK301" s="225"/>
      <c r="BL301" s="225"/>
      <c r="BM301" s="225"/>
      <c r="BN301" s="225"/>
      <c r="BO301" s="225"/>
      <c r="BP301" s="225"/>
      <c r="BQ301" s="225"/>
      <c r="BR301" s="225"/>
      <c r="BS301" s="225"/>
      <c r="BT301" s="225"/>
      <c r="BU301" s="225"/>
    </row>
    <row r="302" spans="41:73" x14ac:dyDescent="0.25">
      <c r="AO302"/>
      <c r="AS302"/>
      <c r="BC302" s="225"/>
      <c r="BD302" s="225"/>
      <c r="BE302" s="225"/>
      <c r="BF302" s="225"/>
      <c r="BG302" s="225"/>
      <c r="BH302" s="225"/>
      <c r="BI302" s="225"/>
      <c r="BJ302" s="225"/>
      <c r="BK302" s="225"/>
      <c r="BL302" s="225"/>
      <c r="BM302" s="225"/>
      <c r="BN302" s="225"/>
      <c r="BO302" s="225"/>
      <c r="BP302" s="225"/>
      <c r="BQ302" s="225"/>
      <c r="BR302" s="225"/>
      <c r="BS302" s="225"/>
      <c r="BT302" s="225"/>
      <c r="BU302" s="225"/>
    </row>
    <row r="303" spans="41:73" x14ac:dyDescent="0.25">
      <c r="AO303"/>
      <c r="AS303"/>
      <c r="BC303" s="225"/>
      <c r="BD303" s="225"/>
      <c r="BE303" s="225"/>
      <c r="BF303" s="225"/>
      <c r="BG303" s="225"/>
      <c r="BH303" s="225"/>
      <c r="BI303" s="225"/>
      <c r="BJ303" s="225"/>
      <c r="BK303" s="225"/>
      <c r="BL303" s="225"/>
      <c r="BM303" s="225"/>
      <c r="BN303" s="225"/>
      <c r="BO303" s="225"/>
      <c r="BP303" s="225"/>
      <c r="BQ303" s="225"/>
      <c r="BR303" s="225"/>
      <c r="BS303" s="225"/>
      <c r="BT303" s="225"/>
      <c r="BU303" s="225"/>
    </row>
    <row r="304" spans="41:73" x14ac:dyDescent="0.25">
      <c r="AO304"/>
      <c r="AS304"/>
      <c r="BC304" s="225"/>
      <c r="BD304" s="225"/>
      <c r="BE304" s="225"/>
      <c r="BF304" s="225"/>
      <c r="BG304" s="225"/>
      <c r="BH304" s="225"/>
      <c r="BI304" s="225"/>
      <c r="BJ304" s="225"/>
      <c r="BK304" s="225"/>
      <c r="BL304" s="225"/>
      <c r="BM304" s="225"/>
      <c r="BN304" s="225"/>
      <c r="BO304" s="225"/>
      <c r="BP304" s="225"/>
      <c r="BQ304" s="225"/>
      <c r="BR304" s="225"/>
      <c r="BS304" s="225"/>
      <c r="BT304" s="225"/>
      <c r="BU304" s="225"/>
    </row>
    <row r="305" spans="41:73" x14ac:dyDescent="0.25">
      <c r="AO305"/>
      <c r="AS305"/>
      <c r="BC305" s="225"/>
      <c r="BD305" s="225"/>
      <c r="BE305" s="225"/>
      <c r="BF305" s="225"/>
      <c r="BG305" s="225"/>
      <c r="BH305" s="225"/>
      <c r="BI305" s="225"/>
      <c r="BJ305" s="225"/>
      <c r="BK305" s="225"/>
      <c r="BL305" s="225"/>
      <c r="BM305" s="225"/>
      <c r="BN305" s="225"/>
      <c r="BO305" s="225"/>
      <c r="BP305" s="225"/>
      <c r="BQ305" s="225"/>
      <c r="BR305" s="225"/>
      <c r="BS305" s="225"/>
      <c r="BT305" s="225"/>
      <c r="BU305" s="225"/>
    </row>
    <row r="306" spans="41:73" x14ac:dyDescent="0.25">
      <c r="AO306"/>
      <c r="AS306"/>
      <c r="BC306" s="225"/>
      <c r="BD306" s="225"/>
      <c r="BE306" s="225"/>
      <c r="BF306" s="225"/>
      <c r="BG306" s="225"/>
      <c r="BH306" s="225"/>
      <c r="BI306" s="225"/>
      <c r="BJ306" s="225"/>
      <c r="BK306" s="225"/>
      <c r="BL306" s="225"/>
      <c r="BM306" s="225"/>
      <c r="BN306" s="225"/>
      <c r="BO306" s="225"/>
      <c r="BP306" s="225"/>
      <c r="BQ306" s="225"/>
      <c r="BR306" s="225"/>
      <c r="BS306" s="225"/>
      <c r="BT306" s="225"/>
      <c r="BU306" s="225"/>
    </row>
    <row r="307" spans="41:73" x14ac:dyDescent="0.25">
      <c r="AO307"/>
      <c r="AS307"/>
      <c r="BC307" s="225"/>
      <c r="BD307" s="225"/>
      <c r="BE307" s="225"/>
      <c r="BF307" s="225"/>
      <c r="BG307" s="225"/>
      <c r="BH307" s="225"/>
      <c r="BI307" s="225"/>
      <c r="BJ307" s="225"/>
      <c r="BK307" s="225"/>
      <c r="BL307" s="225"/>
      <c r="BM307" s="225"/>
      <c r="BN307" s="225"/>
      <c r="BO307" s="225"/>
      <c r="BP307" s="225"/>
      <c r="BQ307" s="225"/>
      <c r="BR307" s="225"/>
      <c r="BS307" s="225"/>
      <c r="BT307" s="225"/>
      <c r="BU307" s="225"/>
    </row>
    <row r="308" spans="41:73" x14ac:dyDescent="0.25">
      <c r="AO308"/>
      <c r="AS308"/>
      <c r="BC308" s="225"/>
      <c r="BD308" s="225"/>
      <c r="BE308" s="225"/>
      <c r="BF308" s="225"/>
      <c r="BG308" s="225"/>
      <c r="BH308" s="225"/>
      <c r="BI308" s="225"/>
      <c r="BJ308" s="225"/>
      <c r="BK308" s="225"/>
      <c r="BL308" s="225"/>
      <c r="BM308" s="225"/>
      <c r="BN308" s="225"/>
      <c r="BO308" s="225"/>
      <c r="BP308" s="225"/>
      <c r="BQ308" s="225"/>
      <c r="BR308" s="225"/>
      <c r="BS308" s="225"/>
      <c r="BT308" s="225"/>
      <c r="BU308" s="225"/>
    </row>
    <row r="309" spans="41:73" x14ac:dyDescent="0.25">
      <c r="AO309"/>
      <c r="AS309"/>
      <c r="BC309" s="225"/>
      <c r="BD309" s="225"/>
      <c r="BE309" s="225"/>
      <c r="BF309" s="225"/>
      <c r="BG309" s="225"/>
      <c r="BH309" s="225"/>
      <c r="BI309" s="225"/>
      <c r="BJ309" s="225"/>
      <c r="BK309" s="225"/>
      <c r="BL309" s="225"/>
      <c r="BM309" s="225"/>
      <c r="BN309" s="225"/>
      <c r="BO309" s="225"/>
      <c r="BP309" s="225"/>
      <c r="BQ309" s="225"/>
      <c r="BR309" s="225"/>
      <c r="BS309" s="225"/>
      <c r="BT309" s="225"/>
      <c r="BU309" s="225"/>
    </row>
    <row r="310" spans="41:73" x14ac:dyDescent="0.25">
      <c r="AO310"/>
      <c r="AS310"/>
      <c r="BC310" s="225"/>
      <c r="BD310" s="225"/>
      <c r="BE310" s="225"/>
      <c r="BF310" s="225"/>
      <c r="BG310" s="225"/>
      <c r="BH310" s="225"/>
      <c r="BI310" s="225"/>
      <c r="BJ310" s="225"/>
      <c r="BK310" s="225"/>
      <c r="BL310" s="225"/>
      <c r="BM310" s="225"/>
      <c r="BN310" s="225"/>
      <c r="BO310" s="225"/>
      <c r="BP310" s="225"/>
      <c r="BQ310" s="225"/>
      <c r="BR310" s="225"/>
      <c r="BS310" s="225"/>
      <c r="BT310" s="225"/>
      <c r="BU310" s="225"/>
    </row>
    <row r="311" spans="41:73" x14ac:dyDescent="0.25">
      <c r="AO311"/>
      <c r="AS311"/>
      <c r="BC311" s="225"/>
      <c r="BD311" s="225"/>
      <c r="BE311" s="225"/>
      <c r="BF311" s="225"/>
      <c r="BG311" s="225"/>
      <c r="BH311" s="225"/>
      <c r="BI311" s="225"/>
      <c r="BJ311" s="225"/>
      <c r="BK311" s="225"/>
      <c r="BL311" s="225"/>
      <c r="BM311" s="225"/>
      <c r="BN311" s="225"/>
      <c r="BO311" s="225"/>
      <c r="BP311" s="225"/>
      <c r="BQ311" s="225"/>
      <c r="BR311" s="225"/>
      <c r="BS311" s="225"/>
      <c r="BT311" s="225"/>
      <c r="BU311" s="225"/>
    </row>
    <row r="312" spans="41:73" x14ac:dyDescent="0.25">
      <c r="AO312"/>
      <c r="AS312"/>
      <c r="BC312" s="225"/>
      <c r="BD312" s="225"/>
      <c r="BE312" s="225"/>
      <c r="BF312" s="225"/>
      <c r="BG312" s="225"/>
      <c r="BH312" s="225"/>
      <c r="BI312" s="225"/>
      <c r="BJ312" s="225"/>
      <c r="BK312" s="225"/>
      <c r="BL312" s="225"/>
      <c r="BM312" s="225"/>
      <c r="BN312" s="225"/>
      <c r="BO312" s="225"/>
      <c r="BP312" s="225"/>
      <c r="BQ312" s="225"/>
      <c r="BR312" s="225"/>
      <c r="BS312" s="225"/>
      <c r="BT312" s="225"/>
      <c r="BU312" s="225"/>
    </row>
    <row r="313" spans="41:73" x14ac:dyDescent="0.25">
      <c r="AO313"/>
      <c r="AS313"/>
      <c r="BC313" s="225"/>
      <c r="BD313" s="225"/>
      <c r="BE313" s="225"/>
      <c r="BF313" s="225"/>
      <c r="BG313" s="225"/>
      <c r="BH313" s="225"/>
      <c r="BI313" s="225"/>
      <c r="BJ313" s="225"/>
      <c r="BK313" s="225"/>
      <c r="BL313" s="225"/>
      <c r="BM313" s="225"/>
      <c r="BN313" s="225"/>
      <c r="BO313" s="225"/>
      <c r="BP313" s="225"/>
      <c r="BQ313" s="225"/>
      <c r="BR313" s="225"/>
      <c r="BS313" s="225"/>
      <c r="BT313" s="225"/>
      <c r="BU313" s="225"/>
    </row>
    <row r="314" spans="41:73" x14ac:dyDescent="0.25">
      <c r="AO314"/>
      <c r="AS314"/>
      <c r="BC314" s="225"/>
      <c r="BD314" s="225"/>
      <c r="BE314" s="225"/>
      <c r="BF314" s="225"/>
      <c r="BG314" s="225"/>
      <c r="BH314" s="225"/>
      <c r="BI314" s="225"/>
      <c r="BJ314" s="225"/>
      <c r="BK314" s="225"/>
      <c r="BL314" s="225"/>
      <c r="BM314" s="225"/>
      <c r="BN314" s="225"/>
      <c r="BO314" s="225"/>
      <c r="BP314" s="225"/>
      <c r="BQ314" s="225"/>
      <c r="BR314" s="225"/>
      <c r="BS314" s="225"/>
      <c r="BT314" s="225"/>
      <c r="BU314" s="225"/>
    </row>
    <row r="315" spans="41:73" x14ac:dyDescent="0.25">
      <c r="AO315"/>
      <c r="AS315"/>
      <c r="BC315" s="225"/>
      <c r="BD315" s="225"/>
      <c r="BE315" s="225"/>
      <c r="BF315" s="225"/>
      <c r="BG315" s="225"/>
      <c r="BH315" s="225"/>
      <c r="BI315" s="225"/>
      <c r="BJ315" s="225"/>
      <c r="BK315" s="225"/>
      <c r="BL315" s="225"/>
      <c r="BM315" s="225"/>
      <c r="BN315" s="225"/>
      <c r="BO315" s="225"/>
      <c r="BP315" s="225"/>
      <c r="BQ315" s="225"/>
      <c r="BR315" s="225"/>
      <c r="BS315" s="225"/>
      <c r="BT315" s="225"/>
      <c r="BU315" s="225"/>
    </row>
    <row r="316" spans="41:73" x14ac:dyDescent="0.25">
      <c r="AO316"/>
      <c r="AS316"/>
      <c r="BC316" s="225"/>
      <c r="BD316" s="225"/>
      <c r="BE316" s="225"/>
      <c r="BF316" s="225"/>
      <c r="BG316" s="225"/>
      <c r="BH316" s="225"/>
      <c r="BI316" s="225"/>
      <c r="BJ316" s="225"/>
      <c r="BK316" s="225"/>
      <c r="BL316" s="225"/>
      <c r="BM316" s="225"/>
      <c r="BN316" s="225"/>
      <c r="BO316" s="225"/>
      <c r="BP316" s="225"/>
      <c r="BQ316" s="225"/>
      <c r="BR316" s="225"/>
      <c r="BS316" s="225"/>
      <c r="BT316" s="225"/>
      <c r="BU316" s="225"/>
    </row>
    <row r="317" spans="41:73" x14ac:dyDescent="0.25">
      <c r="AO317"/>
      <c r="AS317"/>
      <c r="BC317" s="225"/>
      <c r="BD317" s="225"/>
      <c r="BE317" s="225"/>
      <c r="BF317" s="225"/>
      <c r="BG317" s="225"/>
      <c r="BH317" s="225"/>
      <c r="BI317" s="225"/>
      <c r="BJ317" s="225"/>
      <c r="BK317" s="225"/>
      <c r="BL317" s="225"/>
      <c r="BM317" s="225"/>
      <c r="BN317" s="225"/>
      <c r="BO317" s="225"/>
      <c r="BP317" s="225"/>
      <c r="BQ317" s="225"/>
      <c r="BR317" s="225"/>
      <c r="BS317" s="225"/>
      <c r="BT317" s="225"/>
      <c r="BU317" s="225"/>
    </row>
    <row r="318" spans="41:73" x14ac:dyDescent="0.25">
      <c r="AO318"/>
      <c r="AS318"/>
      <c r="BC318" s="225"/>
      <c r="BD318" s="225"/>
      <c r="BE318" s="225"/>
      <c r="BF318" s="225"/>
      <c r="BG318" s="225"/>
      <c r="BH318" s="225"/>
      <c r="BI318" s="225"/>
      <c r="BJ318" s="225"/>
      <c r="BK318" s="225"/>
      <c r="BL318" s="225"/>
      <c r="BM318" s="225"/>
      <c r="BN318" s="225"/>
      <c r="BO318" s="225"/>
      <c r="BP318" s="225"/>
      <c r="BQ318" s="225"/>
      <c r="BR318" s="225"/>
      <c r="BS318" s="225"/>
      <c r="BT318" s="225"/>
      <c r="BU318" s="225"/>
    </row>
    <row r="319" spans="41:73" x14ac:dyDescent="0.25">
      <c r="AO319"/>
      <c r="AS319"/>
      <c r="BC319" s="225"/>
      <c r="BD319" s="225"/>
      <c r="BE319" s="225"/>
      <c r="BF319" s="225"/>
      <c r="BG319" s="225"/>
      <c r="BH319" s="225"/>
      <c r="BI319" s="225"/>
      <c r="BJ319" s="225"/>
      <c r="BK319" s="225"/>
      <c r="BL319" s="225"/>
      <c r="BM319" s="225"/>
      <c r="BN319" s="225"/>
      <c r="BO319" s="225"/>
      <c r="BP319" s="225"/>
      <c r="BQ319" s="225"/>
      <c r="BR319" s="225"/>
      <c r="BS319" s="225"/>
      <c r="BT319" s="225"/>
      <c r="BU319" s="225"/>
    </row>
    <row r="320" spans="41:73" x14ac:dyDescent="0.25">
      <c r="AO320"/>
      <c r="AS320"/>
      <c r="BC320" s="225"/>
      <c r="BD320" s="225"/>
      <c r="BE320" s="225"/>
      <c r="BF320" s="225"/>
      <c r="BG320" s="225"/>
      <c r="BH320" s="225"/>
      <c r="BI320" s="225"/>
      <c r="BJ320" s="225"/>
      <c r="BK320" s="225"/>
      <c r="BL320" s="225"/>
      <c r="BM320" s="225"/>
      <c r="BN320" s="225"/>
      <c r="BO320" s="225"/>
      <c r="BP320" s="225"/>
      <c r="BQ320" s="225"/>
      <c r="BR320" s="225"/>
      <c r="BS320" s="225"/>
      <c r="BT320" s="225"/>
      <c r="BU320" s="225"/>
    </row>
    <row r="321" spans="41:73" x14ac:dyDescent="0.25">
      <c r="AO321"/>
      <c r="AS321"/>
      <c r="BC321" s="225"/>
      <c r="BD321" s="225"/>
      <c r="BE321" s="225"/>
      <c r="BF321" s="225"/>
      <c r="BG321" s="225"/>
      <c r="BH321" s="225"/>
      <c r="BI321" s="225"/>
      <c r="BJ321" s="225"/>
      <c r="BK321" s="225"/>
      <c r="BL321" s="225"/>
      <c r="BM321" s="225"/>
      <c r="BN321" s="225"/>
      <c r="BO321" s="225"/>
      <c r="BP321" s="225"/>
      <c r="BQ321" s="225"/>
      <c r="BR321" s="225"/>
      <c r="BS321" s="225"/>
      <c r="BT321" s="225"/>
      <c r="BU321" s="225"/>
    </row>
    <row r="322" spans="41:73" x14ac:dyDescent="0.25">
      <c r="AO322"/>
      <c r="AS322"/>
      <c r="BC322" s="225"/>
      <c r="BD322" s="225"/>
      <c r="BE322" s="225"/>
      <c r="BF322" s="225"/>
      <c r="BG322" s="225"/>
      <c r="BH322" s="225"/>
      <c r="BI322" s="225"/>
      <c r="BJ322" s="225"/>
      <c r="BK322" s="225"/>
      <c r="BL322" s="225"/>
      <c r="BM322" s="225"/>
      <c r="BN322" s="225"/>
      <c r="BO322" s="225"/>
      <c r="BP322" s="225"/>
      <c r="BQ322" s="225"/>
      <c r="BR322" s="225"/>
      <c r="BS322" s="225"/>
      <c r="BT322" s="225"/>
      <c r="BU322" s="225"/>
    </row>
    <row r="323" spans="41:73" x14ac:dyDescent="0.25">
      <c r="AO323"/>
      <c r="AS323"/>
      <c r="BC323" s="225"/>
      <c r="BD323" s="225"/>
      <c r="BE323" s="225"/>
      <c r="BF323" s="225"/>
      <c r="BG323" s="225"/>
      <c r="BH323" s="225"/>
      <c r="BI323" s="225"/>
      <c r="BJ323" s="225"/>
      <c r="BK323" s="225"/>
      <c r="BL323" s="225"/>
      <c r="BM323" s="225"/>
      <c r="BN323" s="225"/>
      <c r="BO323" s="225"/>
      <c r="BP323" s="225"/>
      <c r="BQ323" s="225"/>
      <c r="BR323" s="225"/>
      <c r="BS323" s="225"/>
      <c r="BT323" s="225"/>
      <c r="BU323" s="225"/>
    </row>
    <row r="324" spans="41:73" x14ac:dyDescent="0.25">
      <c r="AO324"/>
      <c r="AS324"/>
      <c r="BC324" s="225"/>
      <c r="BD324" s="225"/>
      <c r="BE324" s="225"/>
      <c r="BF324" s="225"/>
      <c r="BG324" s="225"/>
      <c r="BH324" s="225"/>
      <c r="BI324" s="225"/>
      <c r="BJ324" s="225"/>
      <c r="BK324" s="225"/>
      <c r="BL324" s="225"/>
      <c r="BM324" s="225"/>
      <c r="BN324" s="225"/>
      <c r="BO324" s="225"/>
      <c r="BP324" s="225"/>
      <c r="BQ324" s="225"/>
      <c r="BR324" s="225"/>
      <c r="BS324" s="225"/>
      <c r="BT324" s="225"/>
      <c r="BU324" s="225"/>
    </row>
    <row r="325" spans="41:73" x14ac:dyDescent="0.25">
      <c r="AO325"/>
      <c r="AS325"/>
      <c r="BC325" s="225"/>
      <c r="BD325" s="225"/>
      <c r="BE325" s="225"/>
      <c r="BF325" s="225"/>
      <c r="BG325" s="225"/>
      <c r="BH325" s="225"/>
      <c r="BI325" s="225"/>
      <c r="BJ325" s="225"/>
      <c r="BK325" s="225"/>
      <c r="BL325" s="225"/>
      <c r="BM325" s="225"/>
      <c r="BN325" s="225"/>
      <c r="BO325" s="225"/>
      <c r="BP325" s="225"/>
      <c r="BQ325" s="225"/>
      <c r="BR325" s="225"/>
      <c r="BS325" s="225"/>
      <c r="BT325" s="225"/>
      <c r="BU325" s="225"/>
    </row>
    <row r="326" spans="41:73" x14ac:dyDescent="0.25">
      <c r="AO326"/>
      <c r="AS326"/>
      <c r="BC326" s="225"/>
      <c r="BD326" s="225"/>
      <c r="BE326" s="225"/>
      <c r="BF326" s="225"/>
      <c r="BG326" s="225"/>
      <c r="BH326" s="225"/>
      <c r="BI326" s="225"/>
      <c r="BJ326" s="225"/>
      <c r="BK326" s="225"/>
      <c r="BL326" s="225"/>
      <c r="BM326" s="225"/>
      <c r="BN326" s="225"/>
      <c r="BO326" s="225"/>
      <c r="BP326" s="225"/>
      <c r="BQ326" s="225"/>
      <c r="BR326" s="225"/>
      <c r="BS326" s="225"/>
      <c r="BT326" s="225"/>
      <c r="BU326" s="225"/>
    </row>
    <row r="327" spans="41:73" x14ac:dyDescent="0.25">
      <c r="AO327"/>
      <c r="AS327"/>
      <c r="BC327" s="225"/>
      <c r="BD327" s="225"/>
      <c r="BE327" s="225"/>
      <c r="BF327" s="225"/>
      <c r="BG327" s="225"/>
      <c r="BH327" s="225"/>
      <c r="BI327" s="225"/>
      <c r="BJ327" s="225"/>
      <c r="BK327" s="225"/>
      <c r="BL327" s="225"/>
      <c r="BM327" s="225"/>
      <c r="BN327" s="225"/>
      <c r="BO327" s="225"/>
      <c r="BP327" s="225"/>
      <c r="BQ327" s="225"/>
      <c r="BR327" s="225"/>
      <c r="BS327" s="225"/>
      <c r="BT327" s="225"/>
      <c r="BU327" s="225"/>
    </row>
    <row r="328" spans="41:73" x14ac:dyDescent="0.25">
      <c r="AO328"/>
      <c r="AS328"/>
      <c r="BC328" s="225"/>
      <c r="BD328" s="225"/>
      <c r="BE328" s="225"/>
      <c r="BF328" s="225"/>
      <c r="BG328" s="225"/>
      <c r="BH328" s="225"/>
      <c r="BI328" s="225"/>
      <c r="BJ328" s="225"/>
      <c r="BK328" s="225"/>
      <c r="BL328" s="225"/>
      <c r="BM328" s="225"/>
      <c r="BN328" s="225"/>
      <c r="BO328" s="225"/>
      <c r="BP328" s="225"/>
      <c r="BQ328" s="225"/>
      <c r="BR328" s="225"/>
      <c r="BS328" s="225"/>
      <c r="BT328" s="225"/>
      <c r="BU328" s="225"/>
    </row>
    <row r="329" spans="41:73" x14ac:dyDescent="0.25">
      <c r="AO329"/>
      <c r="AS329"/>
      <c r="BC329" s="225"/>
      <c r="BD329" s="225"/>
      <c r="BE329" s="225"/>
      <c r="BF329" s="225"/>
      <c r="BG329" s="225"/>
      <c r="BH329" s="225"/>
      <c r="BI329" s="225"/>
      <c r="BJ329" s="225"/>
      <c r="BK329" s="225"/>
      <c r="BL329" s="225"/>
      <c r="BM329" s="225"/>
      <c r="BN329" s="225"/>
      <c r="BO329" s="225"/>
      <c r="BP329" s="225"/>
      <c r="BQ329" s="225"/>
      <c r="BR329" s="225"/>
      <c r="BS329" s="225"/>
      <c r="BT329" s="225"/>
      <c r="BU329" s="225"/>
    </row>
    <row r="330" spans="41:73" x14ac:dyDescent="0.25">
      <c r="AO330"/>
      <c r="AS330"/>
      <c r="BC330" s="225"/>
      <c r="BD330" s="225"/>
      <c r="BE330" s="225"/>
      <c r="BF330" s="225"/>
      <c r="BG330" s="225"/>
      <c r="BH330" s="225"/>
      <c r="BI330" s="225"/>
      <c r="BJ330" s="225"/>
      <c r="BK330" s="225"/>
      <c r="BL330" s="225"/>
      <c r="BM330" s="225"/>
      <c r="BN330" s="225"/>
      <c r="BO330" s="225"/>
      <c r="BP330" s="225"/>
      <c r="BQ330" s="225"/>
      <c r="BR330" s="225"/>
      <c r="BS330" s="225"/>
      <c r="BT330" s="225"/>
      <c r="BU330" s="225"/>
    </row>
    <row r="331" spans="41:73" x14ac:dyDescent="0.25">
      <c r="AO331"/>
      <c r="AS331"/>
      <c r="BC331" s="225"/>
      <c r="BD331" s="225"/>
      <c r="BE331" s="225"/>
      <c r="BF331" s="225"/>
      <c r="BG331" s="225"/>
      <c r="BH331" s="225"/>
      <c r="BI331" s="225"/>
      <c r="BJ331" s="225"/>
      <c r="BK331" s="225"/>
      <c r="BL331" s="225"/>
      <c r="BM331" s="225"/>
      <c r="BN331" s="225"/>
      <c r="BO331" s="225"/>
      <c r="BP331" s="225"/>
      <c r="BQ331" s="225"/>
      <c r="BR331" s="225"/>
      <c r="BS331" s="225"/>
      <c r="BT331" s="225"/>
      <c r="BU331" s="225"/>
    </row>
    <row r="332" spans="41:73" x14ac:dyDescent="0.25">
      <c r="AO332"/>
      <c r="AS332"/>
      <c r="BC332" s="225"/>
      <c r="BD332" s="225"/>
      <c r="BE332" s="225"/>
      <c r="BF332" s="225"/>
      <c r="BG332" s="225"/>
      <c r="BH332" s="225"/>
      <c r="BI332" s="225"/>
      <c r="BJ332" s="225"/>
      <c r="BK332" s="225"/>
      <c r="BL332" s="225"/>
      <c r="BM332" s="225"/>
      <c r="BN332" s="225"/>
      <c r="BO332" s="225"/>
      <c r="BP332" s="225"/>
      <c r="BQ332" s="225"/>
      <c r="BR332" s="225"/>
      <c r="BS332" s="225"/>
      <c r="BT332" s="225"/>
      <c r="BU332" s="225"/>
    </row>
    <row r="333" spans="41:73" x14ac:dyDescent="0.25">
      <c r="AO333"/>
      <c r="AS333"/>
      <c r="BC333" s="225"/>
      <c r="BD333" s="225"/>
      <c r="BE333" s="225"/>
      <c r="BF333" s="225"/>
      <c r="BG333" s="225"/>
      <c r="BH333" s="225"/>
      <c r="BI333" s="225"/>
      <c r="BJ333" s="225"/>
      <c r="BK333" s="225"/>
      <c r="BL333" s="225"/>
      <c r="BM333" s="225"/>
      <c r="BN333" s="225"/>
      <c r="BO333" s="225"/>
      <c r="BP333" s="225"/>
      <c r="BQ333" s="225"/>
      <c r="BR333" s="225"/>
      <c r="BS333" s="225"/>
      <c r="BT333" s="225"/>
      <c r="BU333" s="225"/>
    </row>
    <row r="334" spans="41:73" x14ac:dyDescent="0.25">
      <c r="AO334"/>
      <c r="AS334"/>
      <c r="BC334" s="225"/>
      <c r="BD334" s="225"/>
      <c r="BE334" s="225"/>
      <c r="BF334" s="225"/>
      <c r="BG334" s="225"/>
      <c r="BH334" s="225"/>
      <c r="BI334" s="225"/>
      <c r="BJ334" s="225"/>
      <c r="BK334" s="225"/>
      <c r="BL334" s="225"/>
      <c r="BM334" s="225"/>
      <c r="BN334" s="225"/>
      <c r="BO334" s="225"/>
      <c r="BP334" s="225"/>
      <c r="BQ334" s="225"/>
      <c r="BR334" s="225"/>
      <c r="BS334" s="225"/>
      <c r="BT334" s="225"/>
      <c r="BU334" s="225"/>
    </row>
    <row r="335" spans="41:73" x14ac:dyDescent="0.25">
      <c r="AO335"/>
      <c r="AS335"/>
      <c r="BC335" s="225"/>
      <c r="BD335" s="225"/>
      <c r="BE335" s="225"/>
      <c r="BF335" s="225"/>
      <c r="BG335" s="225"/>
      <c r="BH335" s="225"/>
      <c r="BI335" s="225"/>
      <c r="BJ335" s="225"/>
      <c r="BK335" s="225"/>
      <c r="BL335" s="225"/>
      <c r="BM335" s="225"/>
      <c r="BN335" s="225"/>
      <c r="BO335" s="225"/>
      <c r="BP335" s="225"/>
      <c r="BQ335" s="225"/>
      <c r="BR335" s="225"/>
      <c r="BS335" s="225"/>
      <c r="BT335" s="225"/>
      <c r="BU335" s="225"/>
    </row>
    <row r="336" spans="41:73" x14ac:dyDescent="0.25">
      <c r="AO336"/>
      <c r="AS336"/>
      <c r="BC336" s="225"/>
      <c r="BD336" s="225"/>
      <c r="BE336" s="225"/>
      <c r="BF336" s="225"/>
      <c r="BG336" s="225"/>
      <c r="BH336" s="225"/>
      <c r="BI336" s="225"/>
      <c r="BJ336" s="225"/>
      <c r="BK336" s="225"/>
      <c r="BL336" s="225"/>
      <c r="BM336" s="225"/>
      <c r="BN336" s="225"/>
      <c r="BO336" s="225"/>
      <c r="BP336" s="225"/>
      <c r="BQ336" s="225"/>
      <c r="BR336" s="225"/>
      <c r="BS336" s="225"/>
      <c r="BT336" s="225"/>
      <c r="BU336" s="225"/>
    </row>
    <row r="337" spans="41:73" x14ac:dyDescent="0.25">
      <c r="AO337"/>
      <c r="AS337"/>
      <c r="BC337" s="225"/>
      <c r="BD337" s="225"/>
      <c r="BE337" s="225"/>
      <c r="BF337" s="225"/>
      <c r="BG337" s="225"/>
      <c r="BH337" s="225"/>
      <c r="BI337" s="225"/>
      <c r="BJ337" s="225"/>
      <c r="BK337" s="225"/>
      <c r="BL337" s="225"/>
      <c r="BM337" s="225"/>
      <c r="BN337" s="225"/>
      <c r="BO337" s="225"/>
      <c r="BP337" s="225"/>
      <c r="BQ337" s="225"/>
      <c r="BR337" s="225"/>
      <c r="BS337" s="225"/>
      <c r="BT337" s="225"/>
      <c r="BU337" s="225"/>
    </row>
    <row r="338" spans="41:73" x14ac:dyDescent="0.25">
      <c r="AO338"/>
      <c r="AS338"/>
      <c r="BC338" s="225"/>
      <c r="BD338" s="225"/>
      <c r="BE338" s="225"/>
      <c r="BF338" s="225"/>
      <c r="BG338" s="225"/>
      <c r="BH338" s="225"/>
      <c r="BI338" s="225"/>
      <c r="BJ338" s="225"/>
      <c r="BK338" s="225"/>
      <c r="BL338" s="225"/>
      <c r="BM338" s="225"/>
      <c r="BN338" s="225"/>
      <c r="BO338" s="225"/>
      <c r="BP338" s="225"/>
      <c r="BQ338" s="225"/>
      <c r="BR338" s="225"/>
      <c r="BS338" s="225"/>
      <c r="BT338" s="225"/>
      <c r="BU338" s="225"/>
    </row>
    <row r="339" spans="41:73" x14ac:dyDescent="0.25">
      <c r="AO339"/>
      <c r="AS339"/>
      <c r="BC339" s="225"/>
      <c r="BD339" s="225"/>
      <c r="BE339" s="225"/>
      <c r="BF339" s="225"/>
      <c r="BG339" s="225"/>
      <c r="BH339" s="225"/>
      <c r="BI339" s="225"/>
      <c r="BJ339" s="225"/>
      <c r="BK339" s="225"/>
      <c r="BL339" s="225"/>
      <c r="BM339" s="225"/>
      <c r="BN339" s="225"/>
      <c r="BO339" s="225"/>
      <c r="BP339" s="225"/>
      <c r="BQ339" s="225"/>
      <c r="BR339" s="225"/>
      <c r="BS339" s="225"/>
      <c r="BT339" s="225"/>
      <c r="BU339" s="225"/>
    </row>
    <row r="340" spans="41:73" x14ac:dyDescent="0.25">
      <c r="AO340"/>
      <c r="AS340"/>
      <c r="BC340" s="225"/>
      <c r="BD340" s="225"/>
      <c r="BE340" s="225"/>
      <c r="BF340" s="225"/>
      <c r="BG340" s="225"/>
      <c r="BH340" s="225"/>
      <c r="BI340" s="225"/>
      <c r="BJ340" s="225"/>
      <c r="BK340" s="225"/>
      <c r="BL340" s="225"/>
      <c r="BM340" s="225"/>
      <c r="BN340" s="225"/>
      <c r="BO340" s="225"/>
      <c r="BP340" s="225"/>
      <c r="BQ340" s="225"/>
      <c r="BR340" s="225"/>
      <c r="BS340" s="225"/>
      <c r="BT340" s="225"/>
      <c r="BU340" s="225"/>
    </row>
    <row r="341" spans="41:73" x14ac:dyDescent="0.25">
      <c r="AO341"/>
      <c r="AS341"/>
      <c r="BC341" s="225"/>
      <c r="BD341" s="225"/>
      <c r="BE341" s="225"/>
      <c r="BF341" s="225"/>
      <c r="BG341" s="225"/>
      <c r="BH341" s="225"/>
      <c r="BI341" s="225"/>
      <c r="BJ341" s="225"/>
      <c r="BK341" s="225"/>
      <c r="BL341" s="225"/>
      <c r="BM341" s="225"/>
      <c r="BN341" s="225"/>
      <c r="BO341" s="225"/>
      <c r="BP341" s="225"/>
      <c r="BQ341" s="225"/>
      <c r="BR341" s="225"/>
      <c r="BS341" s="225"/>
      <c r="BT341" s="225"/>
      <c r="BU341" s="225"/>
    </row>
    <row r="342" spans="41:73" x14ac:dyDescent="0.25">
      <c r="AO342"/>
      <c r="AS342"/>
      <c r="BC342" s="225"/>
      <c r="BD342" s="225"/>
      <c r="BE342" s="225"/>
      <c r="BF342" s="225"/>
      <c r="BG342" s="225"/>
      <c r="BH342" s="225"/>
      <c r="BI342" s="225"/>
      <c r="BJ342" s="225"/>
      <c r="BK342" s="225"/>
      <c r="BL342" s="225"/>
      <c r="BM342" s="225"/>
      <c r="BN342" s="225"/>
      <c r="BO342" s="225"/>
      <c r="BP342" s="225"/>
      <c r="BQ342" s="225"/>
      <c r="BR342" s="225"/>
      <c r="BS342" s="225"/>
      <c r="BT342" s="225"/>
      <c r="BU342" s="225"/>
    </row>
    <row r="343" spans="41:73" x14ac:dyDescent="0.25">
      <c r="AO343"/>
      <c r="AS343"/>
      <c r="BC343" s="225"/>
      <c r="BD343" s="225"/>
      <c r="BE343" s="225"/>
      <c r="BF343" s="225"/>
      <c r="BG343" s="225"/>
      <c r="BH343" s="225"/>
      <c r="BI343" s="225"/>
      <c r="BJ343" s="225"/>
      <c r="BK343" s="225"/>
      <c r="BL343" s="225"/>
      <c r="BM343" s="225"/>
      <c r="BN343" s="225"/>
      <c r="BO343" s="225"/>
      <c r="BP343" s="225"/>
      <c r="BQ343" s="225"/>
      <c r="BR343" s="225"/>
      <c r="BS343" s="225"/>
      <c r="BT343" s="225"/>
      <c r="BU343" s="225"/>
    </row>
    <row r="344" spans="41:73" x14ac:dyDescent="0.25">
      <c r="AO344"/>
      <c r="AS344"/>
      <c r="BC344" s="225"/>
      <c r="BD344" s="225"/>
      <c r="BE344" s="225"/>
      <c r="BF344" s="225"/>
      <c r="BG344" s="225"/>
      <c r="BH344" s="225"/>
      <c r="BI344" s="225"/>
      <c r="BJ344" s="225"/>
      <c r="BK344" s="225"/>
      <c r="BL344" s="225"/>
      <c r="BM344" s="225"/>
      <c r="BN344" s="225"/>
      <c r="BO344" s="225"/>
      <c r="BP344" s="225"/>
      <c r="BQ344" s="225"/>
      <c r="BR344" s="225"/>
      <c r="BS344" s="225"/>
      <c r="BT344" s="225"/>
      <c r="BU344" s="225"/>
    </row>
    <row r="345" spans="41:73" x14ac:dyDescent="0.25">
      <c r="AO345"/>
      <c r="AS345"/>
      <c r="BC345" s="225"/>
      <c r="BD345" s="225"/>
      <c r="BE345" s="225"/>
      <c r="BF345" s="225"/>
      <c r="BG345" s="225"/>
      <c r="BH345" s="225"/>
      <c r="BI345" s="225"/>
      <c r="BJ345" s="225"/>
      <c r="BK345" s="225"/>
      <c r="BL345" s="225"/>
      <c r="BM345" s="225"/>
      <c r="BN345" s="225"/>
      <c r="BO345" s="225"/>
      <c r="BP345" s="225"/>
      <c r="BQ345" s="225"/>
      <c r="BR345" s="225"/>
      <c r="BS345" s="225"/>
      <c r="BT345" s="225"/>
      <c r="BU345" s="225"/>
    </row>
    <row r="346" spans="41:73" x14ac:dyDescent="0.25">
      <c r="AO346"/>
      <c r="AS346"/>
      <c r="BC346" s="225"/>
      <c r="BD346" s="225"/>
      <c r="BE346" s="225"/>
      <c r="BF346" s="225"/>
      <c r="BG346" s="225"/>
      <c r="BH346" s="225"/>
      <c r="BI346" s="225"/>
      <c r="BJ346" s="225"/>
      <c r="BK346" s="225"/>
      <c r="BL346" s="225"/>
      <c r="BM346" s="225"/>
      <c r="BN346" s="225"/>
      <c r="BO346" s="225"/>
      <c r="BP346" s="225"/>
      <c r="BQ346" s="225"/>
      <c r="BR346" s="225"/>
      <c r="BS346" s="225"/>
      <c r="BT346" s="225"/>
      <c r="BU346" s="225"/>
    </row>
    <row r="347" spans="41:73" x14ac:dyDescent="0.25">
      <c r="AO347"/>
      <c r="AS347"/>
      <c r="BC347" s="225"/>
      <c r="BD347" s="225"/>
      <c r="BE347" s="225"/>
      <c r="BF347" s="225"/>
      <c r="BG347" s="225"/>
      <c r="BH347" s="225"/>
      <c r="BI347" s="225"/>
      <c r="BJ347" s="225"/>
      <c r="BK347" s="225"/>
      <c r="BL347" s="225"/>
      <c r="BM347" s="225"/>
      <c r="BN347" s="225"/>
      <c r="BO347" s="225"/>
      <c r="BP347" s="225"/>
      <c r="BQ347" s="225"/>
      <c r="BR347" s="225"/>
      <c r="BS347" s="225"/>
      <c r="BT347" s="225"/>
      <c r="BU347" s="225"/>
    </row>
    <row r="348" spans="41:73" x14ac:dyDescent="0.25">
      <c r="AO348"/>
      <c r="AS348"/>
      <c r="BC348" s="225"/>
      <c r="BD348" s="225"/>
      <c r="BE348" s="225"/>
      <c r="BF348" s="225"/>
      <c r="BG348" s="225"/>
      <c r="BH348" s="225"/>
      <c r="BI348" s="225"/>
      <c r="BJ348" s="225"/>
      <c r="BK348" s="225"/>
      <c r="BL348" s="225"/>
      <c r="BM348" s="225"/>
      <c r="BN348" s="225"/>
      <c r="BO348" s="225"/>
      <c r="BP348" s="225"/>
      <c r="BQ348" s="225"/>
      <c r="BR348" s="225"/>
      <c r="BS348" s="225"/>
      <c r="BT348" s="225"/>
      <c r="BU348" s="225"/>
    </row>
    <row r="349" spans="41:73" x14ac:dyDescent="0.25">
      <c r="AO349"/>
      <c r="AS349"/>
      <c r="BC349" s="225"/>
      <c r="BD349" s="225"/>
      <c r="BE349" s="225"/>
      <c r="BF349" s="225"/>
      <c r="BG349" s="225"/>
      <c r="BH349" s="225"/>
      <c r="BI349" s="225"/>
      <c r="BJ349" s="225"/>
      <c r="BK349" s="225"/>
      <c r="BL349" s="225"/>
      <c r="BM349" s="225"/>
      <c r="BN349" s="225"/>
      <c r="BO349" s="225"/>
      <c r="BP349" s="225"/>
      <c r="BQ349" s="225"/>
      <c r="BR349" s="225"/>
      <c r="BS349" s="225"/>
      <c r="BT349" s="225"/>
      <c r="BU349" s="225"/>
    </row>
    <row r="350" spans="41:73" x14ac:dyDescent="0.25">
      <c r="AO350"/>
      <c r="AS350"/>
      <c r="BC350" s="225"/>
      <c r="BD350" s="225"/>
      <c r="BE350" s="225"/>
      <c r="BF350" s="225"/>
      <c r="BG350" s="225"/>
      <c r="BH350" s="225"/>
      <c r="BI350" s="225"/>
      <c r="BJ350" s="225"/>
      <c r="BK350" s="225"/>
      <c r="BL350" s="225"/>
      <c r="BM350" s="225"/>
      <c r="BN350" s="225"/>
      <c r="BO350" s="225"/>
      <c r="BP350" s="225"/>
      <c r="BQ350" s="225"/>
      <c r="BR350" s="225"/>
      <c r="BS350" s="225"/>
      <c r="BT350" s="225"/>
      <c r="BU350" s="225"/>
    </row>
    <row r="351" spans="41:73" x14ac:dyDescent="0.25">
      <c r="AO351"/>
      <c r="AS351"/>
      <c r="BC351" s="225"/>
      <c r="BD351" s="225"/>
      <c r="BE351" s="225"/>
      <c r="BF351" s="225"/>
      <c r="BG351" s="225"/>
      <c r="BH351" s="225"/>
      <c r="BI351" s="225"/>
      <c r="BJ351" s="225"/>
      <c r="BK351" s="225"/>
      <c r="BL351" s="225"/>
      <c r="BM351" s="225"/>
      <c r="BN351" s="225"/>
      <c r="BO351" s="225"/>
      <c r="BP351" s="225"/>
      <c r="BQ351" s="225"/>
      <c r="BR351" s="225"/>
      <c r="BS351" s="225"/>
      <c r="BT351" s="225"/>
      <c r="BU351" s="225"/>
    </row>
    <row r="352" spans="41:73" x14ac:dyDescent="0.25">
      <c r="AO352"/>
      <c r="AS352"/>
      <c r="BC352" s="225"/>
      <c r="BD352" s="225"/>
      <c r="BE352" s="225"/>
      <c r="BF352" s="225"/>
      <c r="BG352" s="225"/>
      <c r="BH352" s="225"/>
      <c r="BI352" s="225"/>
      <c r="BJ352" s="225"/>
      <c r="BK352" s="225"/>
      <c r="BL352" s="225"/>
      <c r="BM352" s="225"/>
      <c r="BN352" s="225"/>
      <c r="BO352" s="225"/>
      <c r="BP352" s="225"/>
      <c r="BQ352" s="225"/>
      <c r="BR352" s="225"/>
      <c r="BS352" s="225"/>
      <c r="BT352" s="225"/>
      <c r="BU352" s="225"/>
    </row>
    <row r="353" spans="41:73" x14ac:dyDescent="0.25">
      <c r="AO353"/>
      <c r="AS353"/>
      <c r="BC353" s="225"/>
      <c r="BD353" s="225"/>
      <c r="BE353" s="225"/>
      <c r="BF353" s="225"/>
      <c r="BG353" s="225"/>
      <c r="BH353" s="225"/>
      <c r="BI353" s="225"/>
      <c r="BJ353" s="225"/>
      <c r="BK353" s="225"/>
      <c r="BL353" s="225"/>
      <c r="BM353" s="225"/>
      <c r="BN353" s="225"/>
      <c r="BO353" s="225"/>
      <c r="BP353" s="225"/>
      <c r="BQ353" s="225"/>
      <c r="BR353" s="225"/>
      <c r="BS353" s="225"/>
      <c r="BT353" s="225"/>
      <c r="BU353" s="225"/>
    </row>
    <row r="354" spans="41:73" x14ac:dyDescent="0.25">
      <c r="AO354"/>
      <c r="AS354"/>
      <c r="BC354" s="225"/>
      <c r="BD354" s="225"/>
      <c r="BE354" s="225"/>
      <c r="BF354" s="225"/>
      <c r="BG354" s="225"/>
      <c r="BH354" s="225"/>
      <c r="BI354" s="225"/>
      <c r="BJ354" s="225"/>
      <c r="BK354" s="225"/>
      <c r="BL354" s="225"/>
      <c r="BM354" s="225"/>
      <c r="BN354" s="225"/>
      <c r="BO354" s="225"/>
      <c r="BP354" s="225"/>
      <c r="BQ354" s="225"/>
      <c r="BR354" s="225"/>
      <c r="BS354" s="225"/>
      <c r="BT354" s="225"/>
      <c r="BU354" s="225"/>
    </row>
    <row r="355" spans="41:73" x14ac:dyDescent="0.25">
      <c r="AO355"/>
      <c r="AS355"/>
      <c r="BC355" s="225"/>
      <c r="BD355" s="225"/>
      <c r="BE355" s="225"/>
      <c r="BF355" s="225"/>
      <c r="BG355" s="225"/>
      <c r="BH355" s="225"/>
      <c r="BI355" s="225"/>
      <c r="BJ355" s="225"/>
      <c r="BK355" s="225"/>
      <c r="BL355" s="225"/>
      <c r="BM355" s="225"/>
      <c r="BN355" s="225"/>
      <c r="BO355" s="225"/>
      <c r="BP355" s="225"/>
      <c r="BQ355" s="225"/>
      <c r="BR355" s="225"/>
      <c r="BS355" s="225"/>
      <c r="BT355" s="225"/>
      <c r="BU355" s="225"/>
    </row>
    <row r="356" spans="41:73" x14ac:dyDescent="0.25">
      <c r="AO356"/>
      <c r="AS356"/>
      <c r="BC356" s="225"/>
      <c r="BD356" s="225"/>
      <c r="BE356" s="225"/>
      <c r="BF356" s="225"/>
      <c r="BG356" s="225"/>
      <c r="BH356" s="225"/>
      <c r="BI356" s="225"/>
      <c r="BJ356" s="225"/>
      <c r="BK356" s="225"/>
      <c r="BL356" s="225"/>
      <c r="BM356" s="225"/>
      <c r="BN356" s="225"/>
      <c r="BO356" s="225"/>
      <c r="BP356" s="225"/>
      <c r="BQ356" s="225"/>
      <c r="BR356" s="225"/>
      <c r="BS356" s="225"/>
      <c r="BT356" s="225"/>
      <c r="BU356" s="225"/>
    </row>
    <row r="357" spans="41:73" x14ac:dyDescent="0.25">
      <c r="AO357"/>
      <c r="AS357"/>
      <c r="BC357" s="225"/>
      <c r="BD357" s="225"/>
      <c r="BE357" s="225"/>
      <c r="BF357" s="225"/>
      <c r="BG357" s="225"/>
      <c r="BH357" s="225"/>
      <c r="BI357" s="225"/>
      <c r="BJ357" s="225"/>
      <c r="BK357" s="225"/>
      <c r="BL357" s="225"/>
      <c r="BM357" s="225"/>
      <c r="BN357" s="225"/>
      <c r="BO357" s="225"/>
      <c r="BP357" s="225"/>
      <c r="BQ357" s="225"/>
      <c r="BR357" s="225"/>
      <c r="BS357" s="225"/>
      <c r="BT357" s="225"/>
      <c r="BU357" s="225"/>
    </row>
    <row r="358" spans="41:73" x14ac:dyDescent="0.25">
      <c r="AO358"/>
      <c r="AS358"/>
      <c r="BC358" s="225"/>
      <c r="BD358" s="225"/>
      <c r="BE358" s="225"/>
      <c r="BF358" s="225"/>
      <c r="BG358" s="225"/>
      <c r="BH358" s="225"/>
      <c r="BI358" s="225"/>
      <c r="BJ358" s="225"/>
      <c r="BK358" s="225"/>
      <c r="BL358" s="225"/>
      <c r="BM358" s="225"/>
      <c r="BN358" s="225"/>
      <c r="BO358" s="225"/>
      <c r="BP358" s="225"/>
      <c r="BQ358" s="225"/>
      <c r="BR358" s="225"/>
      <c r="BS358" s="225"/>
      <c r="BT358" s="225"/>
      <c r="BU358" s="225"/>
    </row>
    <row r="359" spans="41:73" x14ac:dyDescent="0.25">
      <c r="AO359"/>
      <c r="AS359"/>
      <c r="BC359" s="225"/>
      <c r="BD359" s="225"/>
      <c r="BE359" s="225"/>
      <c r="BF359" s="225"/>
      <c r="BG359" s="225"/>
      <c r="BH359" s="225"/>
      <c r="BI359" s="225"/>
      <c r="BJ359" s="225"/>
      <c r="BK359" s="225"/>
      <c r="BL359" s="225"/>
      <c r="BM359" s="225"/>
      <c r="BN359" s="225"/>
      <c r="BO359" s="225"/>
      <c r="BP359" s="225"/>
      <c r="BQ359" s="225"/>
      <c r="BR359" s="225"/>
      <c r="BS359" s="225"/>
      <c r="BT359" s="225"/>
      <c r="BU359" s="225"/>
    </row>
    <row r="360" spans="41:73" x14ac:dyDescent="0.25">
      <c r="AO360"/>
      <c r="AS360"/>
      <c r="BC360" s="225"/>
      <c r="BD360" s="225"/>
      <c r="BE360" s="225"/>
      <c r="BF360" s="225"/>
      <c r="BG360" s="225"/>
      <c r="BH360" s="225"/>
      <c r="BI360" s="225"/>
      <c r="BJ360" s="225"/>
      <c r="BK360" s="225"/>
      <c r="BL360" s="225"/>
      <c r="BM360" s="225"/>
      <c r="BN360" s="225"/>
      <c r="BO360" s="225"/>
      <c r="BP360" s="225"/>
      <c r="BQ360" s="225"/>
      <c r="BR360" s="225"/>
      <c r="BS360" s="225"/>
      <c r="BT360" s="225"/>
      <c r="BU360" s="225"/>
    </row>
    <row r="361" spans="41:73" x14ac:dyDescent="0.25">
      <c r="AO361"/>
      <c r="AS361"/>
      <c r="BC361" s="225"/>
      <c r="BD361" s="225"/>
      <c r="BE361" s="225"/>
      <c r="BF361" s="225"/>
      <c r="BG361" s="225"/>
      <c r="BH361" s="225"/>
      <c r="BI361" s="225"/>
      <c r="BJ361" s="225"/>
      <c r="BK361" s="225"/>
      <c r="BL361" s="225"/>
      <c r="BM361" s="225"/>
      <c r="BN361" s="225"/>
      <c r="BO361" s="225"/>
      <c r="BP361" s="225"/>
      <c r="BQ361" s="225"/>
      <c r="BR361" s="225"/>
      <c r="BS361" s="225"/>
      <c r="BT361" s="225"/>
      <c r="BU361" s="225"/>
    </row>
    <row r="362" spans="41:73" x14ac:dyDescent="0.25">
      <c r="AO362"/>
      <c r="AS362"/>
      <c r="BC362" s="225"/>
      <c r="BD362" s="225"/>
      <c r="BE362" s="225"/>
      <c r="BF362" s="225"/>
      <c r="BG362" s="225"/>
      <c r="BH362" s="225"/>
      <c r="BI362" s="225"/>
      <c r="BJ362" s="225"/>
      <c r="BK362" s="225"/>
      <c r="BL362" s="225"/>
      <c r="BM362" s="225"/>
      <c r="BN362" s="225"/>
      <c r="BO362" s="225"/>
      <c r="BP362" s="225"/>
      <c r="BQ362" s="225"/>
      <c r="BR362" s="225"/>
      <c r="BS362" s="225"/>
      <c r="BT362" s="225"/>
      <c r="BU362" s="225"/>
    </row>
    <row r="363" spans="41:73" x14ac:dyDescent="0.25">
      <c r="AO363"/>
      <c r="AS363"/>
      <c r="BC363" s="225"/>
      <c r="BD363" s="225"/>
      <c r="BE363" s="225"/>
      <c r="BF363" s="225"/>
      <c r="BG363" s="225"/>
      <c r="BH363" s="225"/>
      <c r="BI363" s="225"/>
      <c r="BJ363" s="225"/>
      <c r="BK363" s="225"/>
      <c r="BL363" s="225"/>
      <c r="BM363" s="225"/>
      <c r="BN363" s="225"/>
      <c r="BO363" s="225"/>
      <c r="BP363" s="225"/>
      <c r="BQ363" s="225"/>
      <c r="BR363" s="225"/>
      <c r="BS363" s="225"/>
      <c r="BT363" s="225"/>
      <c r="BU363" s="225"/>
    </row>
    <row r="364" spans="41:73" x14ac:dyDescent="0.25">
      <c r="AO364"/>
      <c r="AS364"/>
      <c r="BC364" s="225"/>
      <c r="BD364" s="225"/>
      <c r="BE364" s="225"/>
      <c r="BF364" s="225"/>
      <c r="BG364" s="225"/>
      <c r="BH364" s="225"/>
      <c r="BI364" s="225"/>
      <c r="BJ364" s="225"/>
      <c r="BK364" s="225"/>
      <c r="BL364" s="225"/>
      <c r="BM364" s="225"/>
      <c r="BN364" s="225"/>
      <c r="BO364" s="225"/>
      <c r="BP364" s="225"/>
      <c r="BQ364" s="225"/>
      <c r="BR364" s="225"/>
      <c r="BS364" s="225"/>
      <c r="BT364" s="225"/>
      <c r="BU364" s="225"/>
    </row>
    <row r="365" spans="41:73" x14ac:dyDescent="0.25">
      <c r="AO365"/>
      <c r="AS365"/>
      <c r="BC365" s="225"/>
      <c r="BD365" s="225"/>
      <c r="BE365" s="225"/>
      <c r="BF365" s="225"/>
      <c r="BG365" s="225"/>
      <c r="BH365" s="225"/>
      <c r="BI365" s="225"/>
      <c r="BJ365" s="225"/>
      <c r="BK365" s="225"/>
      <c r="BL365" s="225"/>
      <c r="BM365" s="225"/>
      <c r="BN365" s="225"/>
      <c r="BO365" s="225"/>
      <c r="BP365" s="225"/>
      <c r="BQ365" s="225"/>
      <c r="BR365" s="225"/>
      <c r="BS365" s="225"/>
      <c r="BT365" s="225"/>
      <c r="BU365" s="225"/>
    </row>
    <row r="366" spans="41:73" x14ac:dyDescent="0.25">
      <c r="AO366"/>
      <c r="AS366"/>
      <c r="BC366" s="225"/>
      <c r="BD366" s="225"/>
      <c r="BE366" s="225"/>
      <c r="BF366" s="225"/>
      <c r="BG366" s="225"/>
      <c r="BH366" s="225"/>
      <c r="BI366" s="225"/>
      <c r="BJ366" s="225"/>
      <c r="BK366" s="225"/>
      <c r="BL366" s="225"/>
      <c r="BM366" s="225"/>
      <c r="BN366" s="225"/>
      <c r="BO366" s="225"/>
      <c r="BP366" s="225"/>
      <c r="BQ366" s="225"/>
      <c r="BR366" s="225"/>
      <c r="BS366" s="225"/>
      <c r="BT366" s="225"/>
      <c r="BU366" s="225"/>
    </row>
    <row r="367" spans="41:73" x14ac:dyDescent="0.25">
      <c r="AO367"/>
      <c r="AS367"/>
      <c r="BC367" s="225"/>
      <c r="BD367" s="225"/>
      <c r="BE367" s="225"/>
      <c r="BF367" s="225"/>
      <c r="BG367" s="225"/>
      <c r="BH367" s="225"/>
      <c r="BI367" s="225"/>
      <c r="BJ367" s="225"/>
      <c r="BK367" s="225"/>
      <c r="BL367" s="225"/>
      <c r="BM367" s="225"/>
      <c r="BN367" s="225"/>
      <c r="BO367" s="225"/>
      <c r="BP367" s="225"/>
      <c r="BQ367" s="225"/>
      <c r="BR367" s="225"/>
      <c r="BS367" s="225"/>
      <c r="BT367" s="225"/>
      <c r="BU367" s="225"/>
    </row>
    <row r="368" spans="41:73" x14ac:dyDescent="0.25">
      <c r="AO368"/>
      <c r="AS368"/>
      <c r="BC368" s="225"/>
      <c r="BD368" s="225"/>
      <c r="BE368" s="225"/>
      <c r="BF368" s="225"/>
      <c r="BG368" s="225"/>
      <c r="BH368" s="225"/>
      <c r="BI368" s="225"/>
      <c r="BJ368" s="225"/>
      <c r="BK368" s="225"/>
      <c r="BL368" s="225"/>
      <c r="BM368" s="225"/>
      <c r="BN368" s="225"/>
      <c r="BO368" s="225"/>
      <c r="BP368" s="225"/>
      <c r="BQ368" s="225"/>
      <c r="BR368" s="225"/>
      <c r="BS368" s="225"/>
      <c r="BT368" s="225"/>
      <c r="BU368" s="225"/>
    </row>
    <row r="369" spans="41:73" x14ac:dyDescent="0.25">
      <c r="AO369"/>
      <c r="AS369"/>
      <c r="BC369" s="225"/>
      <c r="BD369" s="225"/>
      <c r="BE369" s="225"/>
      <c r="BF369" s="225"/>
      <c r="BG369" s="225"/>
      <c r="BH369" s="225"/>
      <c r="BI369" s="225"/>
      <c r="BJ369" s="225"/>
      <c r="BK369" s="225"/>
      <c r="BL369" s="225"/>
      <c r="BM369" s="225"/>
      <c r="BN369" s="225"/>
      <c r="BO369" s="225"/>
      <c r="BP369" s="225"/>
      <c r="BQ369" s="225"/>
      <c r="BR369" s="225"/>
      <c r="BS369" s="225"/>
      <c r="BT369" s="225"/>
      <c r="BU369" s="225"/>
    </row>
    <row r="370" spans="41:73" x14ac:dyDescent="0.25">
      <c r="AO370"/>
      <c r="AS370"/>
      <c r="BC370" s="225"/>
      <c r="BD370" s="225"/>
      <c r="BE370" s="225"/>
      <c r="BF370" s="225"/>
      <c r="BG370" s="225"/>
      <c r="BH370" s="225"/>
      <c r="BI370" s="225"/>
      <c r="BJ370" s="225"/>
      <c r="BK370" s="225"/>
      <c r="BL370" s="225"/>
      <c r="BM370" s="225"/>
      <c r="BN370" s="225"/>
      <c r="BO370" s="225"/>
      <c r="BP370" s="225"/>
      <c r="BQ370" s="225"/>
      <c r="BR370" s="225"/>
      <c r="BS370" s="225"/>
      <c r="BT370" s="225"/>
      <c r="BU370" s="225"/>
    </row>
    <row r="371" spans="41:73" x14ac:dyDescent="0.25">
      <c r="AO371"/>
      <c r="AS371"/>
      <c r="BC371" s="225"/>
      <c r="BD371" s="225"/>
      <c r="BE371" s="225"/>
      <c r="BF371" s="225"/>
      <c r="BG371" s="225"/>
      <c r="BH371" s="225"/>
      <c r="BI371" s="225"/>
      <c r="BJ371" s="225"/>
      <c r="BK371" s="225"/>
      <c r="BL371" s="225"/>
      <c r="BM371" s="225"/>
      <c r="BN371" s="225"/>
      <c r="BO371" s="225"/>
      <c r="BP371" s="225"/>
      <c r="BQ371" s="225"/>
      <c r="BR371" s="225"/>
      <c r="BS371" s="225"/>
      <c r="BT371" s="225"/>
      <c r="BU371" s="225"/>
    </row>
    <row r="372" spans="41:73" x14ac:dyDescent="0.25">
      <c r="AO372"/>
      <c r="AS372"/>
      <c r="BC372" s="225"/>
      <c r="BD372" s="225"/>
      <c r="BE372" s="225"/>
      <c r="BF372" s="225"/>
      <c r="BG372" s="225"/>
      <c r="BH372" s="225"/>
      <c r="BI372" s="225"/>
      <c r="BJ372" s="225"/>
      <c r="BK372" s="225"/>
      <c r="BL372" s="225"/>
      <c r="BM372" s="225"/>
      <c r="BN372" s="225"/>
      <c r="BO372" s="225"/>
      <c r="BP372" s="225"/>
      <c r="BQ372" s="225"/>
      <c r="BR372" s="225"/>
      <c r="BS372" s="225"/>
      <c r="BT372" s="225"/>
      <c r="BU372" s="225"/>
    </row>
    <row r="373" spans="41:73" x14ac:dyDescent="0.25">
      <c r="AO373"/>
      <c r="AS373"/>
      <c r="BC373" s="225"/>
      <c r="BD373" s="225"/>
      <c r="BE373" s="225"/>
      <c r="BF373" s="225"/>
      <c r="BG373" s="225"/>
      <c r="BH373" s="225"/>
      <c r="BI373" s="225"/>
      <c r="BJ373" s="225"/>
      <c r="BK373" s="225"/>
      <c r="BL373" s="225"/>
      <c r="BM373" s="225"/>
      <c r="BN373" s="225"/>
      <c r="BO373" s="225"/>
      <c r="BP373" s="225"/>
      <c r="BQ373" s="225"/>
      <c r="BR373" s="225"/>
      <c r="BS373" s="225"/>
      <c r="BT373" s="225"/>
      <c r="BU373" s="225"/>
    </row>
    <row r="374" spans="41:73" x14ac:dyDescent="0.25">
      <c r="AO374"/>
      <c r="AS374"/>
      <c r="BC374" s="225"/>
      <c r="BD374" s="225"/>
      <c r="BE374" s="225"/>
      <c r="BF374" s="225"/>
      <c r="BG374" s="225"/>
      <c r="BH374" s="225"/>
      <c r="BI374" s="225"/>
      <c r="BJ374" s="225"/>
      <c r="BK374" s="225"/>
      <c r="BL374" s="225"/>
      <c r="BM374" s="225"/>
      <c r="BN374" s="225"/>
      <c r="BO374" s="225"/>
      <c r="BP374" s="225"/>
      <c r="BQ374" s="225"/>
      <c r="BR374" s="225"/>
      <c r="BS374" s="225"/>
      <c r="BT374" s="225"/>
      <c r="BU374" s="225"/>
    </row>
    <row r="375" spans="41:73" x14ac:dyDescent="0.25">
      <c r="AO375"/>
      <c r="AS375"/>
      <c r="BC375" s="225"/>
      <c r="BD375" s="225"/>
      <c r="BE375" s="225"/>
      <c r="BF375" s="225"/>
      <c r="BG375" s="225"/>
      <c r="BH375" s="225"/>
      <c r="BI375" s="225"/>
      <c r="BJ375" s="225"/>
      <c r="BK375" s="225"/>
      <c r="BL375" s="225"/>
      <c r="BM375" s="225"/>
      <c r="BN375" s="225"/>
      <c r="BO375" s="225"/>
      <c r="BP375" s="225"/>
      <c r="BQ375" s="225"/>
      <c r="BR375" s="225"/>
      <c r="BS375" s="225"/>
      <c r="BT375" s="225"/>
      <c r="BU375" s="225"/>
    </row>
    <row r="376" spans="41:73" x14ac:dyDescent="0.25">
      <c r="AO376"/>
      <c r="AS376"/>
      <c r="BC376" s="225"/>
      <c r="BD376" s="225"/>
      <c r="BE376" s="225"/>
      <c r="BF376" s="225"/>
      <c r="BG376" s="225"/>
      <c r="BH376" s="225"/>
      <c r="BI376" s="225"/>
      <c r="BJ376" s="225"/>
      <c r="BK376" s="225"/>
      <c r="BL376" s="225"/>
      <c r="BM376" s="225"/>
      <c r="BN376" s="225"/>
      <c r="BO376" s="225"/>
      <c r="BP376" s="225"/>
      <c r="BQ376" s="225"/>
      <c r="BR376" s="225"/>
      <c r="BS376" s="225"/>
      <c r="BT376" s="225"/>
      <c r="BU376" s="225"/>
    </row>
    <row r="377" spans="41:73" x14ac:dyDescent="0.25">
      <c r="AO377"/>
      <c r="AS377"/>
      <c r="BC377" s="225"/>
      <c r="BD377" s="225"/>
      <c r="BE377" s="225"/>
      <c r="BF377" s="225"/>
      <c r="BG377" s="225"/>
      <c r="BH377" s="225"/>
      <c r="BI377" s="225"/>
      <c r="BJ377" s="225"/>
      <c r="BK377" s="225"/>
      <c r="BL377" s="225"/>
      <c r="BM377" s="225"/>
      <c r="BN377" s="225"/>
      <c r="BO377" s="225"/>
      <c r="BP377" s="225"/>
      <c r="BQ377" s="225"/>
      <c r="BR377" s="225"/>
      <c r="BS377" s="225"/>
      <c r="BT377" s="225"/>
      <c r="BU377" s="225"/>
    </row>
    <row r="378" spans="41:73" x14ac:dyDescent="0.25">
      <c r="AO378"/>
      <c r="AS378"/>
      <c r="BC378" s="225"/>
      <c r="BD378" s="225"/>
      <c r="BE378" s="225"/>
      <c r="BF378" s="225"/>
      <c r="BG378" s="225"/>
      <c r="BH378" s="225"/>
      <c r="BI378" s="225"/>
      <c r="BJ378" s="225"/>
      <c r="BK378" s="225"/>
      <c r="BL378" s="225"/>
      <c r="BM378" s="225"/>
      <c r="BN378" s="225"/>
      <c r="BO378" s="225"/>
      <c r="BP378" s="225"/>
      <c r="BQ378" s="225"/>
      <c r="BR378" s="225"/>
      <c r="BS378" s="225"/>
      <c r="BT378" s="225"/>
      <c r="BU378" s="225"/>
    </row>
    <row r="379" spans="41:73" x14ac:dyDescent="0.25">
      <c r="AO379"/>
      <c r="AS379"/>
      <c r="BC379" s="225"/>
      <c r="BD379" s="225"/>
      <c r="BE379" s="225"/>
      <c r="BF379" s="225"/>
      <c r="BG379" s="225"/>
      <c r="BH379" s="225"/>
      <c r="BI379" s="225"/>
      <c r="BJ379" s="225"/>
      <c r="BK379" s="225"/>
      <c r="BL379" s="225"/>
      <c r="BM379" s="225"/>
      <c r="BN379" s="225"/>
      <c r="BO379" s="225"/>
      <c r="BP379" s="225"/>
      <c r="BQ379" s="225"/>
      <c r="BR379" s="225"/>
      <c r="BS379" s="225"/>
      <c r="BT379" s="225"/>
      <c r="BU379" s="225"/>
    </row>
    <row r="380" spans="41:73" x14ac:dyDescent="0.25">
      <c r="AO380"/>
      <c r="AS380"/>
      <c r="BC380" s="225"/>
      <c r="BD380" s="225"/>
      <c r="BE380" s="225"/>
      <c r="BF380" s="225"/>
      <c r="BG380" s="225"/>
      <c r="BH380" s="225"/>
      <c r="BI380" s="225"/>
      <c r="BJ380" s="225"/>
      <c r="BK380" s="225"/>
      <c r="BL380" s="225"/>
      <c r="BM380" s="225"/>
      <c r="BN380" s="225"/>
      <c r="BO380" s="225"/>
      <c r="BP380" s="225"/>
      <c r="BQ380" s="225"/>
      <c r="BR380" s="225"/>
      <c r="BS380" s="225"/>
      <c r="BT380" s="225"/>
      <c r="BU380" s="225"/>
    </row>
    <row r="381" spans="41:73" x14ac:dyDescent="0.25">
      <c r="AO381"/>
      <c r="AS381"/>
      <c r="BC381" s="225"/>
      <c r="BD381" s="225"/>
      <c r="BE381" s="225"/>
      <c r="BF381" s="225"/>
      <c r="BG381" s="225"/>
      <c r="BH381" s="225"/>
      <c r="BI381" s="225"/>
      <c r="BJ381" s="225"/>
      <c r="BK381" s="225"/>
      <c r="BL381" s="225"/>
      <c r="BM381" s="225"/>
      <c r="BN381" s="225"/>
      <c r="BO381" s="225"/>
      <c r="BP381" s="225"/>
      <c r="BQ381" s="225"/>
      <c r="BR381" s="225"/>
      <c r="BS381" s="225"/>
      <c r="BT381" s="225"/>
      <c r="BU381" s="225"/>
    </row>
    <row r="382" spans="41:73" x14ac:dyDescent="0.25">
      <c r="AO382"/>
      <c r="AS382"/>
      <c r="BC382" s="225"/>
      <c r="BD382" s="225"/>
      <c r="BE382" s="225"/>
      <c r="BF382" s="225"/>
      <c r="BG382" s="225"/>
      <c r="BH382" s="225"/>
      <c r="BI382" s="225"/>
      <c r="BJ382" s="225"/>
      <c r="BK382" s="225"/>
      <c r="BL382" s="225"/>
      <c r="BM382" s="225"/>
      <c r="BN382" s="225"/>
      <c r="BO382" s="225"/>
      <c r="BP382" s="225"/>
      <c r="BQ382" s="225"/>
      <c r="BR382" s="225"/>
      <c r="BS382" s="225"/>
      <c r="BT382" s="225"/>
      <c r="BU382" s="225"/>
    </row>
    <row r="383" spans="41:73" x14ac:dyDescent="0.25">
      <c r="AO383"/>
      <c r="AS383"/>
      <c r="BC383" s="225"/>
      <c r="BD383" s="225"/>
      <c r="BE383" s="225"/>
      <c r="BF383" s="225"/>
      <c r="BG383" s="225"/>
      <c r="BH383" s="225"/>
      <c r="BI383" s="225"/>
      <c r="BJ383" s="225"/>
      <c r="BK383" s="225"/>
      <c r="BL383" s="225"/>
      <c r="BM383" s="225"/>
      <c r="BN383" s="225"/>
      <c r="BO383" s="225"/>
      <c r="BP383" s="225"/>
      <c r="BQ383" s="225"/>
      <c r="BR383" s="225"/>
      <c r="BS383" s="225"/>
      <c r="BT383" s="225"/>
      <c r="BU383" s="225"/>
    </row>
    <row r="384" spans="41:73" x14ac:dyDescent="0.25">
      <c r="AO384"/>
      <c r="AS384"/>
      <c r="BC384" s="225"/>
      <c r="BD384" s="225"/>
      <c r="BE384" s="225"/>
      <c r="BF384" s="225"/>
      <c r="BG384" s="225"/>
      <c r="BH384" s="225"/>
      <c r="BI384" s="225"/>
      <c r="BJ384" s="225"/>
      <c r="BK384" s="225"/>
      <c r="BL384" s="225"/>
      <c r="BM384" s="225"/>
      <c r="BN384" s="225"/>
      <c r="BO384" s="225"/>
      <c r="BP384" s="225"/>
      <c r="BQ384" s="225"/>
      <c r="BR384" s="225"/>
      <c r="BS384" s="225"/>
      <c r="BT384" s="225"/>
      <c r="BU384" s="225"/>
    </row>
    <row r="385" spans="41:73" x14ac:dyDescent="0.25">
      <c r="AO385"/>
      <c r="AS385"/>
      <c r="BC385" s="225"/>
      <c r="BD385" s="225"/>
      <c r="BE385" s="225"/>
      <c r="BF385" s="225"/>
      <c r="BG385" s="225"/>
      <c r="BH385" s="225"/>
      <c r="BI385" s="225"/>
      <c r="BJ385" s="225"/>
      <c r="BK385" s="225"/>
      <c r="BL385" s="225"/>
      <c r="BM385" s="225"/>
      <c r="BN385" s="225"/>
      <c r="BO385" s="225"/>
      <c r="BP385" s="225"/>
      <c r="BQ385" s="225"/>
      <c r="BR385" s="225"/>
      <c r="BS385" s="225"/>
      <c r="BT385" s="225"/>
      <c r="BU385" s="225"/>
    </row>
    <row r="386" spans="41:73" x14ac:dyDescent="0.25">
      <c r="AO386"/>
      <c r="AS386"/>
      <c r="BC386" s="225"/>
      <c r="BD386" s="225"/>
      <c r="BE386" s="225"/>
      <c r="BF386" s="225"/>
      <c r="BG386" s="225"/>
      <c r="BH386" s="225"/>
      <c r="BI386" s="225"/>
      <c r="BJ386" s="225"/>
      <c r="BK386" s="225"/>
      <c r="BL386" s="225"/>
      <c r="BM386" s="225"/>
      <c r="BN386" s="225"/>
      <c r="BO386" s="225"/>
      <c r="BP386" s="225"/>
      <c r="BQ386" s="225"/>
      <c r="BR386" s="225"/>
      <c r="BS386" s="225"/>
      <c r="BT386" s="225"/>
      <c r="BU386" s="225"/>
    </row>
    <row r="387" spans="41:73" x14ac:dyDescent="0.25">
      <c r="AO387"/>
      <c r="AS387"/>
      <c r="BC387" s="225"/>
      <c r="BD387" s="225"/>
      <c r="BE387" s="225"/>
      <c r="BF387" s="225"/>
      <c r="BG387" s="225"/>
      <c r="BH387" s="225"/>
      <c r="BI387" s="225"/>
      <c r="BJ387" s="225"/>
      <c r="BK387" s="225"/>
      <c r="BL387" s="225"/>
      <c r="BM387" s="225"/>
      <c r="BN387" s="225"/>
      <c r="BO387" s="225"/>
      <c r="BP387" s="225"/>
      <c r="BQ387" s="225"/>
      <c r="BR387" s="225"/>
      <c r="BS387" s="225"/>
      <c r="BT387" s="225"/>
      <c r="BU387" s="225"/>
    </row>
    <row r="388" spans="41:73" x14ac:dyDescent="0.25">
      <c r="AO388"/>
      <c r="AS388"/>
      <c r="BC388" s="225"/>
      <c r="BD388" s="225"/>
      <c r="BE388" s="225"/>
      <c r="BF388" s="225"/>
      <c r="BG388" s="225"/>
      <c r="BH388" s="225"/>
      <c r="BI388" s="225"/>
      <c r="BJ388" s="225"/>
      <c r="BK388" s="225"/>
      <c r="BL388" s="225"/>
      <c r="BM388" s="225"/>
      <c r="BN388" s="225"/>
      <c r="BO388" s="225"/>
      <c r="BP388" s="225"/>
      <c r="BQ388" s="225"/>
      <c r="BR388" s="225"/>
      <c r="BS388" s="225"/>
      <c r="BT388" s="225"/>
      <c r="BU388" s="225"/>
    </row>
    <row r="389" spans="41:73" x14ac:dyDescent="0.25">
      <c r="AO389"/>
      <c r="AS389"/>
      <c r="BC389" s="225"/>
      <c r="BD389" s="225"/>
      <c r="BE389" s="225"/>
      <c r="BF389" s="225"/>
      <c r="BG389" s="225"/>
      <c r="BH389" s="225"/>
      <c r="BI389" s="225"/>
      <c r="BJ389" s="225"/>
      <c r="BK389" s="225"/>
      <c r="BL389" s="225"/>
      <c r="BM389" s="225"/>
      <c r="BN389" s="225"/>
      <c r="BO389" s="225"/>
      <c r="BP389" s="225"/>
      <c r="BQ389" s="225"/>
      <c r="BR389" s="225"/>
      <c r="BS389" s="225"/>
      <c r="BT389" s="225"/>
      <c r="BU389" s="225"/>
    </row>
    <row r="390" spans="41:73" x14ac:dyDescent="0.25">
      <c r="AO390"/>
      <c r="AS390"/>
      <c r="BC390" s="225"/>
      <c r="BD390" s="225"/>
      <c r="BE390" s="225"/>
      <c r="BF390" s="225"/>
      <c r="BG390" s="225"/>
      <c r="BH390" s="225"/>
      <c r="BI390" s="225"/>
      <c r="BJ390" s="225"/>
      <c r="BK390" s="225"/>
      <c r="BL390" s="225"/>
      <c r="BM390" s="225"/>
      <c r="BN390" s="225"/>
      <c r="BO390" s="225"/>
      <c r="BP390" s="225"/>
      <c r="BQ390" s="225"/>
      <c r="BR390" s="225"/>
      <c r="BS390" s="225"/>
      <c r="BT390" s="225"/>
      <c r="BU390" s="225"/>
    </row>
    <row r="391" spans="41:73" x14ac:dyDescent="0.25">
      <c r="AO391"/>
      <c r="AS391"/>
      <c r="BC391" s="225"/>
      <c r="BD391" s="225"/>
      <c r="BE391" s="225"/>
      <c r="BF391" s="225"/>
      <c r="BG391" s="225"/>
      <c r="BH391" s="225"/>
      <c r="BI391" s="225"/>
      <c r="BJ391" s="225"/>
      <c r="BK391" s="225"/>
      <c r="BL391" s="225"/>
      <c r="BM391" s="225"/>
      <c r="BN391" s="225"/>
      <c r="BO391" s="225"/>
      <c r="BP391" s="225"/>
      <c r="BQ391" s="225"/>
      <c r="BR391" s="225"/>
      <c r="BS391" s="225"/>
      <c r="BT391" s="225"/>
      <c r="BU391" s="225"/>
    </row>
    <row r="392" spans="41:73" x14ac:dyDescent="0.25">
      <c r="AO392"/>
      <c r="AS392"/>
      <c r="BC392" s="225"/>
      <c r="BD392" s="225"/>
      <c r="BE392" s="225"/>
      <c r="BF392" s="225"/>
      <c r="BG392" s="225"/>
      <c r="BH392" s="225"/>
      <c r="BI392" s="225"/>
      <c r="BJ392" s="225"/>
      <c r="BK392" s="225"/>
      <c r="BL392" s="225"/>
      <c r="BM392" s="225"/>
      <c r="BN392" s="225"/>
      <c r="BO392" s="225"/>
      <c r="BP392" s="225"/>
      <c r="BQ392" s="225"/>
      <c r="BR392" s="225"/>
      <c r="BS392" s="225"/>
      <c r="BT392" s="225"/>
      <c r="BU392" s="225"/>
    </row>
    <row r="393" spans="41:73" x14ac:dyDescent="0.25">
      <c r="AO393"/>
      <c r="AS393"/>
      <c r="BC393" s="225"/>
      <c r="BD393" s="225"/>
      <c r="BE393" s="225"/>
      <c r="BF393" s="225"/>
      <c r="BG393" s="225"/>
      <c r="BH393" s="225"/>
      <c r="BI393" s="225"/>
      <c r="BJ393" s="225"/>
      <c r="BK393" s="225"/>
      <c r="BL393" s="225"/>
      <c r="BM393" s="225"/>
      <c r="BN393" s="225"/>
      <c r="BO393" s="225"/>
      <c r="BP393" s="225"/>
      <c r="BQ393" s="225"/>
      <c r="BR393" s="225"/>
      <c r="BS393" s="225"/>
      <c r="BT393" s="225"/>
      <c r="BU393" s="225"/>
    </row>
    <row r="394" spans="41:73" x14ac:dyDescent="0.25">
      <c r="AO394"/>
      <c r="AS394"/>
      <c r="BC394" s="225"/>
      <c r="BD394" s="225"/>
      <c r="BE394" s="225"/>
      <c r="BF394" s="225"/>
      <c r="BG394" s="225"/>
      <c r="BH394" s="225"/>
      <c r="BI394" s="225"/>
      <c r="BJ394" s="225"/>
      <c r="BK394" s="225"/>
      <c r="BL394" s="225"/>
      <c r="BM394" s="225"/>
      <c r="BN394" s="225"/>
      <c r="BO394" s="225"/>
      <c r="BP394" s="225"/>
      <c r="BQ394" s="225"/>
      <c r="BR394" s="225"/>
      <c r="BS394" s="225"/>
      <c r="BT394" s="225"/>
      <c r="BU394" s="225"/>
    </row>
    <row r="395" spans="41:73" x14ac:dyDescent="0.25">
      <c r="AO395"/>
      <c r="AS395"/>
      <c r="BC395" s="225"/>
      <c r="BD395" s="225"/>
      <c r="BE395" s="225"/>
      <c r="BF395" s="225"/>
      <c r="BG395" s="225"/>
      <c r="BH395" s="225"/>
      <c r="BI395" s="225"/>
      <c r="BJ395" s="225"/>
      <c r="BK395" s="225"/>
      <c r="BL395" s="225"/>
      <c r="BM395" s="225"/>
      <c r="BN395" s="225"/>
      <c r="BO395" s="225"/>
      <c r="BP395" s="225"/>
      <c r="BQ395" s="225"/>
      <c r="BR395" s="225"/>
      <c r="BS395" s="225"/>
      <c r="BT395" s="225"/>
      <c r="BU395" s="225"/>
    </row>
    <row r="396" spans="41:73" x14ac:dyDescent="0.25">
      <c r="AO396"/>
      <c r="AS396"/>
      <c r="BC396" s="225"/>
      <c r="BD396" s="225"/>
      <c r="BE396" s="225"/>
      <c r="BF396" s="225"/>
      <c r="BG396" s="225"/>
      <c r="BH396" s="225"/>
      <c r="BI396" s="225"/>
      <c r="BJ396" s="225"/>
      <c r="BK396" s="225"/>
      <c r="BL396" s="225"/>
      <c r="BM396" s="225"/>
      <c r="BN396" s="225"/>
      <c r="BO396" s="225"/>
      <c r="BP396" s="225"/>
      <c r="BQ396" s="225"/>
      <c r="BR396" s="225"/>
      <c r="BS396" s="225"/>
      <c r="BT396" s="225"/>
      <c r="BU396" s="225"/>
    </row>
    <row r="397" spans="41:73" x14ac:dyDescent="0.25">
      <c r="AO397"/>
      <c r="AS397"/>
      <c r="BC397" s="225"/>
      <c r="BD397" s="225"/>
      <c r="BE397" s="225"/>
      <c r="BF397" s="225"/>
      <c r="BG397" s="225"/>
      <c r="BH397" s="225"/>
      <c r="BI397" s="225"/>
      <c r="BJ397" s="225"/>
      <c r="BK397" s="225"/>
      <c r="BL397" s="225"/>
      <c r="BM397" s="225"/>
      <c r="BN397" s="225"/>
      <c r="BO397" s="225"/>
      <c r="BP397" s="225"/>
      <c r="BQ397" s="225"/>
      <c r="BR397" s="225"/>
      <c r="BS397" s="225"/>
      <c r="BT397" s="225"/>
      <c r="BU397" s="225"/>
    </row>
    <row r="398" spans="41:73" x14ac:dyDescent="0.25">
      <c r="AO398"/>
      <c r="AS398"/>
      <c r="BC398" s="225"/>
      <c r="BD398" s="225"/>
      <c r="BE398" s="225"/>
      <c r="BF398" s="225"/>
      <c r="BG398" s="225"/>
      <c r="BH398" s="225"/>
      <c r="BI398" s="225"/>
      <c r="BJ398" s="225"/>
      <c r="BK398" s="225"/>
      <c r="BL398" s="225"/>
      <c r="BM398" s="225"/>
      <c r="BN398" s="225"/>
      <c r="BO398" s="225"/>
      <c r="BP398" s="225"/>
      <c r="BQ398" s="225"/>
      <c r="BR398" s="225"/>
      <c r="BS398" s="225"/>
      <c r="BT398" s="225"/>
      <c r="BU398" s="225"/>
    </row>
    <row r="399" spans="41:73" x14ac:dyDescent="0.25">
      <c r="AO399"/>
      <c r="AS399"/>
      <c r="BC399" s="225"/>
      <c r="BD399" s="225"/>
      <c r="BE399" s="225"/>
      <c r="BF399" s="225"/>
      <c r="BG399" s="225"/>
      <c r="BH399" s="225"/>
      <c r="BI399" s="225"/>
      <c r="BJ399" s="225"/>
      <c r="BK399" s="225"/>
      <c r="BL399" s="225"/>
      <c r="BM399" s="225"/>
      <c r="BN399" s="225"/>
      <c r="BO399" s="225"/>
      <c r="BP399" s="225"/>
      <c r="BQ399" s="225"/>
      <c r="BR399" s="225"/>
      <c r="BS399" s="225"/>
      <c r="BT399" s="225"/>
      <c r="BU399" s="225"/>
    </row>
    <row r="400" spans="41:73" x14ac:dyDescent="0.25">
      <c r="AO400"/>
      <c r="AS400"/>
      <c r="BC400" s="225"/>
      <c r="BD400" s="225"/>
      <c r="BE400" s="225"/>
      <c r="BF400" s="225"/>
      <c r="BG400" s="225"/>
      <c r="BH400" s="225"/>
      <c r="BI400" s="225"/>
      <c r="BJ400" s="225"/>
      <c r="BK400" s="225"/>
      <c r="BL400" s="225"/>
      <c r="BM400" s="225"/>
      <c r="BN400" s="225"/>
      <c r="BO400" s="225"/>
      <c r="BP400" s="225"/>
      <c r="BQ400" s="225"/>
      <c r="BR400" s="225"/>
      <c r="BS400" s="225"/>
      <c r="BT400" s="225"/>
      <c r="BU400" s="225"/>
    </row>
    <row r="401" spans="41:73" x14ac:dyDescent="0.25">
      <c r="AO401"/>
      <c r="AS401"/>
      <c r="BC401" s="225"/>
      <c r="BD401" s="225"/>
      <c r="BE401" s="225"/>
      <c r="BF401" s="225"/>
      <c r="BG401" s="225"/>
      <c r="BH401" s="225"/>
      <c r="BI401" s="225"/>
      <c r="BJ401" s="225"/>
      <c r="BK401" s="225"/>
      <c r="BL401" s="225"/>
      <c r="BM401" s="225"/>
      <c r="BN401" s="225"/>
      <c r="BO401" s="225"/>
      <c r="BP401" s="225"/>
      <c r="BQ401" s="225"/>
      <c r="BR401" s="225"/>
      <c r="BS401" s="225"/>
      <c r="BT401" s="225"/>
      <c r="BU401" s="225"/>
    </row>
    <row r="402" spans="41:73" x14ac:dyDescent="0.25">
      <c r="AO402"/>
      <c r="AS402"/>
      <c r="BC402" s="225"/>
      <c r="BD402" s="225"/>
      <c r="BE402" s="225"/>
      <c r="BF402" s="225"/>
      <c r="BG402" s="225"/>
      <c r="BH402" s="225"/>
      <c r="BI402" s="225"/>
      <c r="BJ402" s="225"/>
      <c r="BK402" s="225"/>
      <c r="BL402" s="225"/>
      <c r="BM402" s="225"/>
      <c r="BN402" s="225"/>
      <c r="BO402" s="225"/>
      <c r="BP402" s="225"/>
      <c r="BQ402" s="225"/>
      <c r="BR402" s="225"/>
      <c r="BS402" s="225"/>
      <c r="BT402" s="225"/>
      <c r="BU402" s="225"/>
    </row>
    <row r="403" spans="41:73" x14ac:dyDescent="0.25">
      <c r="AO403"/>
      <c r="AS403"/>
      <c r="BC403" s="225"/>
      <c r="BD403" s="225"/>
      <c r="BE403" s="225"/>
      <c r="BF403" s="225"/>
      <c r="BG403" s="225"/>
      <c r="BH403" s="225"/>
      <c r="BI403" s="225"/>
      <c r="BJ403" s="225"/>
      <c r="BK403" s="225"/>
      <c r="BL403" s="225"/>
      <c r="BM403" s="225"/>
      <c r="BN403" s="225"/>
      <c r="BO403" s="225"/>
      <c r="BP403" s="225"/>
      <c r="BQ403" s="225"/>
      <c r="BR403" s="225"/>
      <c r="BS403" s="225"/>
      <c r="BT403" s="225"/>
      <c r="BU403" s="225"/>
    </row>
    <row r="404" spans="41:73" x14ac:dyDescent="0.25">
      <c r="AO404"/>
      <c r="AS404"/>
      <c r="BC404" s="225"/>
      <c r="BD404" s="225"/>
      <c r="BE404" s="225"/>
      <c r="BF404" s="225"/>
      <c r="BG404" s="225"/>
      <c r="BH404" s="225"/>
      <c r="BI404" s="225"/>
      <c r="BJ404" s="225"/>
      <c r="BK404" s="225"/>
      <c r="BL404" s="225"/>
      <c r="BM404" s="225"/>
      <c r="BN404" s="225"/>
      <c r="BO404" s="225"/>
      <c r="BP404" s="225"/>
      <c r="BQ404" s="225"/>
      <c r="BR404" s="225"/>
      <c r="BS404" s="225"/>
      <c r="BT404" s="225"/>
      <c r="BU404" s="225"/>
    </row>
    <row r="405" spans="41:73" x14ac:dyDescent="0.25">
      <c r="AO405"/>
      <c r="AS405"/>
      <c r="BC405" s="225"/>
      <c r="BD405" s="225"/>
      <c r="BE405" s="225"/>
      <c r="BF405" s="225"/>
      <c r="BG405" s="225"/>
      <c r="BH405" s="225"/>
      <c r="BI405" s="225"/>
      <c r="BJ405" s="225"/>
      <c r="BK405" s="225"/>
      <c r="BL405" s="225"/>
      <c r="BM405" s="225"/>
      <c r="BN405" s="225"/>
      <c r="BO405" s="225"/>
      <c r="BP405" s="225"/>
      <c r="BQ405" s="225"/>
      <c r="BR405" s="225"/>
      <c r="BS405" s="225"/>
      <c r="BT405" s="225"/>
      <c r="BU405" s="225"/>
    </row>
    <row r="406" spans="41:73" x14ac:dyDescent="0.25">
      <c r="AO406"/>
      <c r="AS406"/>
      <c r="BC406" s="225"/>
      <c r="BD406" s="225"/>
      <c r="BE406" s="225"/>
      <c r="BF406" s="225"/>
      <c r="BG406" s="225"/>
      <c r="BH406" s="225"/>
      <c r="BI406" s="225"/>
      <c r="BJ406" s="225"/>
      <c r="BK406" s="225"/>
      <c r="BL406" s="225"/>
      <c r="BM406" s="225"/>
      <c r="BN406" s="225"/>
      <c r="BO406" s="225"/>
      <c r="BP406" s="225"/>
      <c r="BQ406" s="225"/>
      <c r="BR406" s="225"/>
      <c r="BS406" s="225"/>
      <c r="BT406" s="225"/>
      <c r="BU406" s="225"/>
    </row>
    <row r="407" spans="41:73" x14ac:dyDescent="0.25">
      <c r="AO407"/>
      <c r="AS407"/>
      <c r="BC407" s="225"/>
      <c r="BD407" s="225"/>
      <c r="BE407" s="225"/>
      <c r="BF407" s="225"/>
      <c r="BG407" s="225"/>
      <c r="BH407" s="225"/>
      <c r="BI407" s="225"/>
      <c r="BJ407" s="225"/>
      <c r="BK407" s="225"/>
      <c r="BL407" s="225"/>
      <c r="BM407" s="225"/>
      <c r="BN407" s="225"/>
      <c r="BO407" s="225"/>
      <c r="BP407" s="225"/>
      <c r="BQ407" s="225"/>
      <c r="BR407" s="225"/>
      <c r="BS407" s="225"/>
      <c r="BT407" s="225"/>
      <c r="BU407" s="225"/>
    </row>
    <row r="408" spans="41:73" x14ac:dyDescent="0.25">
      <c r="AO408"/>
      <c r="AS408"/>
      <c r="BC408" s="225"/>
      <c r="BD408" s="225"/>
      <c r="BE408" s="225"/>
      <c r="BF408" s="225"/>
      <c r="BG408" s="225"/>
      <c r="BH408" s="225"/>
      <c r="BI408" s="225"/>
      <c r="BJ408" s="225"/>
      <c r="BK408" s="225"/>
      <c r="BL408" s="225"/>
      <c r="BM408" s="225"/>
      <c r="BN408" s="225"/>
      <c r="BO408" s="225"/>
      <c r="BP408" s="225"/>
      <c r="BQ408" s="225"/>
      <c r="BR408" s="225"/>
      <c r="BS408" s="225"/>
      <c r="BT408" s="225"/>
      <c r="BU408" s="225"/>
    </row>
    <row r="409" spans="41:73" x14ac:dyDescent="0.25">
      <c r="AO409"/>
      <c r="AS409"/>
      <c r="BC409" s="225"/>
      <c r="BD409" s="225"/>
      <c r="BE409" s="225"/>
      <c r="BF409" s="225"/>
      <c r="BG409" s="225"/>
      <c r="BH409" s="225"/>
      <c r="BI409" s="225"/>
      <c r="BJ409" s="225"/>
      <c r="BK409" s="225"/>
      <c r="BL409" s="225"/>
      <c r="BM409" s="225"/>
      <c r="BN409" s="225"/>
      <c r="BO409" s="225"/>
      <c r="BP409" s="225"/>
      <c r="BQ409" s="225"/>
      <c r="BR409" s="225"/>
      <c r="BS409" s="225"/>
      <c r="BT409" s="225"/>
      <c r="BU409" s="225"/>
    </row>
    <row r="410" spans="41:73" x14ac:dyDescent="0.25">
      <c r="AO410"/>
      <c r="AS410"/>
      <c r="BC410" s="225"/>
      <c r="BD410" s="225"/>
      <c r="BE410" s="225"/>
      <c r="BF410" s="225"/>
      <c r="BG410" s="225"/>
      <c r="BH410" s="225"/>
      <c r="BI410" s="225"/>
      <c r="BJ410" s="225"/>
      <c r="BK410" s="225"/>
      <c r="BL410" s="225"/>
      <c r="BM410" s="225"/>
      <c r="BN410" s="225"/>
      <c r="BO410" s="225"/>
      <c r="BP410" s="225"/>
      <c r="BQ410" s="225"/>
      <c r="BR410" s="225"/>
      <c r="BS410" s="225"/>
      <c r="BT410" s="225"/>
      <c r="BU410" s="225"/>
    </row>
    <row r="411" spans="41:73" x14ac:dyDescent="0.25">
      <c r="AO411"/>
      <c r="AS411"/>
      <c r="BC411" s="225"/>
      <c r="BD411" s="225"/>
      <c r="BE411" s="225"/>
      <c r="BF411" s="225"/>
      <c r="BG411" s="225"/>
      <c r="BH411" s="225"/>
      <c r="BI411" s="225"/>
      <c r="BJ411" s="225"/>
      <c r="BK411" s="225"/>
      <c r="BL411" s="225"/>
      <c r="BM411" s="225"/>
      <c r="BN411" s="225"/>
      <c r="BO411" s="225"/>
      <c r="BP411" s="225"/>
      <c r="BQ411" s="225"/>
      <c r="BR411" s="225"/>
      <c r="BS411" s="225"/>
      <c r="BT411" s="225"/>
      <c r="BU411" s="225"/>
    </row>
    <row r="412" spans="41:73" x14ac:dyDescent="0.25">
      <c r="AO412"/>
      <c r="AS412"/>
      <c r="BC412" s="225"/>
      <c r="BD412" s="225"/>
      <c r="BE412" s="225"/>
      <c r="BF412" s="225"/>
      <c r="BG412" s="225"/>
      <c r="BH412" s="225"/>
      <c r="BI412" s="225"/>
      <c r="BJ412" s="225"/>
      <c r="BK412" s="225"/>
      <c r="BL412" s="225"/>
      <c r="BM412" s="225"/>
      <c r="BN412" s="225"/>
      <c r="BO412" s="225"/>
      <c r="BP412" s="225"/>
      <c r="BQ412" s="225"/>
      <c r="BR412" s="225"/>
      <c r="BS412" s="225"/>
      <c r="BT412" s="225"/>
      <c r="BU412" s="225"/>
    </row>
    <row r="413" spans="41:73" x14ac:dyDescent="0.25">
      <c r="AO413"/>
      <c r="AS413"/>
      <c r="BC413" s="225"/>
      <c r="BD413" s="225"/>
      <c r="BE413" s="225"/>
      <c r="BF413" s="225"/>
      <c r="BG413" s="225"/>
      <c r="BH413" s="225"/>
      <c r="BI413" s="225"/>
      <c r="BJ413" s="225"/>
      <c r="BK413" s="225"/>
      <c r="BL413" s="225"/>
      <c r="BM413" s="225"/>
      <c r="BN413" s="225"/>
      <c r="BO413" s="225"/>
      <c r="BP413" s="225"/>
      <c r="BQ413" s="225"/>
      <c r="BR413" s="225"/>
      <c r="BS413" s="225"/>
      <c r="BT413" s="225"/>
      <c r="BU413" s="225"/>
    </row>
    <row r="414" spans="41:73" x14ac:dyDescent="0.25">
      <c r="AO414"/>
      <c r="AS414"/>
      <c r="BC414" s="225"/>
      <c r="BD414" s="225"/>
      <c r="BE414" s="225"/>
      <c r="BF414" s="225"/>
      <c r="BG414" s="225"/>
      <c r="BH414" s="225"/>
      <c r="BI414" s="225"/>
      <c r="BJ414" s="225"/>
      <c r="BK414" s="225"/>
      <c r="BL414" s="225"/>
      <c r="BM414" s="225"/>
      <c r="BN414" s="225"/>
      <c r="BO414" s="225"/>
      <c r="BP414" s="225"/>
      <c r="BQ414" s="225"/>
      <c r="BR414" s="225"/>
      <c r="BS414" s="225"/>
      <c r="BT414" s="225"/>
      <c r="BU414" s="225"/>
    </row>
    <row r="415" spans="41:73" x14ac:dyDescent="0.25">
      <c r="AO415"/>
      <c r="AS415"/>
      <c r="BC415" s="225"/>
      <c r="BD415" s="225"/>
      <c r="BE415" s="225"/>
      <c r="BF415" s="225"/>
      <c r="BG415" s="225"/>
      <c r="BH415" s="225"/>
      <c r="BI415" s="225"/>
      <c r="BJ415" s="225"/>
      <c r="BK415" s="225"/>
      <c r="BL415" s="225"/>
      <c r="BM415" s="225"/>
      <c r="BN415" s="225"/>
      <c r="BO415" s="225"/>
      <c r="BP415" s="225"/>
      <c r="BQ415" s="225"/>
      <c r="BR415" s="225"/>
      <c r="BS415" s="225"/>
      <c r="BT415" s="225"/>
      <c r="BU415" s="225"/>
    </row>
    <row r="416" spans="41:73" x14ac:dyDescent="0.25">
      <c r="AO416"/>
      <c r="AS416"/>
      <c r="BC416" s="225"/>
      <c r="BD416" s="225"/>
      <c r="BE416" s="225"/>
      <c r="BF416" s="225"/>
      <c r="BG416" s="225"/>
      <c r="BH416" s="225"/>
      <c r="BI416" s="225"/>
      <c r="BJ416" s="225"/>
      <c r="BK416" s="225"/>
      <c r="BL416" s="225"/>
      <c r="BM416" s="225"/>
      <c r="BN416" s="225"/>
      <c r="BO416" s="225"/>
      <c r="BP416" s="225"/>
      <c r="BQ416" s="225"/>
      <c r="BR416" s="225"/>
      <c r="BS416" s="225"/>
      <c r="BT416" s="225"/>
      <c r="BU416" s="225"/>
    </row>
    <row r="417" spans="41:73" x14ac:dyDescent="0.25">
      <c r="AO417"/>
      <c r="AS417"/>
      <c r="BC417" s="225"/>
      <c r="BD417" s="225"/>
      <c r="BE417" s="225"/>
      <c r="BF417" s="225"/>
      <c r="BG417" s="225"/>
      <c r="BH417" s="225"/>
      <c r="BI417" s="225"/>
      <c r="BJ417" s="225"/>
      <c r="BK417" s="225"/>
      <c r="BL417" s="225"/>
      <c r="BM417" s="225"/>
      <c r="BN417" s="225"/>
      <c r="BO417" s="225"/>
      <c r="BP417" s="225"/>
      <c r="BQ417" s="225"/>
      <c r="BR417" s="225"/>
      <c r="BS417" s="225"/>
      <c r="BT417" s="225"/>
      <c r="BU417" s="225"/>
    </row>
    <row r="418" spans="41:73" x14ac:dyDescent="0.25">
      <c r="AO418"/>
      <c r="AS418"/>
      <c r="BC418" s="225"/>
      <c r="BD418" s="225"/>
      <c r="BE418" s="225"/>
      <c r="BF418" s="225"/>
      <c r="BG418" s="225"/>
      <c r="BH418" s="225"/>
      <c r="BI418" s="225"/>
      <c r="BJ418" s="225"/>
      <c r="BK418" s="225"/>
      <c r="BL418" s="225"/>
      <c r="BM418" s="225"/>
      <c r="BN418" s="225"/>
      <c r="BO418" s="225"/>
      <c r="BP418" s="225"/>
      <c r="BQ418" s="225"/>
      <c r="BR418" s="225"/>
      <c r="BS418" s="225"/>
      <c r="BT418" s="225"/>
      <c r="BU418" s="225"/>
    </row>
    <row r="419" spans="41:73" x14ac:dyDescent="0.25">
      <c r="AO419"/>
      <c r="AS419"/>
      <c r="BC419" s="225"/>
      <c r="BD419" s="225"/>
      <c r="BE419" s="225"/>
      <c r="BF419" s="225"/>
      <c r="BG419" s="225"/>
      <c r="BH419" s="225"/>
      <c r="BI419" s="225"/>
      <c r="BJ419" s="225"/>
      <c r="BK419" s="225"/>
      <c r="BL419" s="225"/>
      <c r="BM419" s="225"/>
      <c r="BN419" s="225"/>
      <c r="BO419" s="225"/>
      <c r="BP419" s="225"/>
      <c r="BQ419" s="225"/>
      <c r="BR419" s="225"/>
      <c r="BS419" s="225"/>
      <c r="BT419" s="225"/>
      <c r="BU419" s="225"/>
    </row>
    <row r="420" spans="41:73" x14ac:dyDescent="0.25">
      <c r="AO420"/>
      <c r="AS420"/>
      <c r="BC420" s="225"/>
      <c r="BD420" s="225"/>
      <c r="BE420" s="225"/>
      <c r="BF420" s="225"/>
      <c r="BG420" s="225"/>
      <c r="BH420" s="225"/>
      <c r="BI420" s="225"/>
      <c r="BJ420" s="225"/>
      <c r="BK420" s="225"/>
      <c r="BL420" s="225"/>
      <c r="BM420" s="225"/>
      <c r="BN420" s="225"/>
      <c r="BO420" s="225"/>
      <c r="BP420" s="225"/>
      <c r="BQ420" s="225"/>
      <c r="BR420" s="225"/>
      <c r="BS420" s="225"/>
      <c r="BT420" s="225"/>
      <c r="BU420" s="225"/>
    </row>
    <row r="421" spans="41:73" x14ac:dyDescent="0.25">
      <c r="AO421"/>
      <c r="AS421"/>
      <c r="BC421" s="225"/>
      <c r="BD421" s="225"/>
      <c r="BE421" s="225"/>
      <c r="BF421" s="225"/>
      <c r="BG421" s="225"/>
      <c r="BH421" s="225"/>
      <c r="BI421" s="225"/>
      <c r="BJ421" s="225"/>
      <c r="BK421" s="225"/>
      <c r="BL421" s="225"/>
      <c r="BM421" s="225"/>
      <c r="BN421" s="225"/>
      <c r="BO421" s="225"/>
      <c r="BP421" s="225"/>
      <c r="BQ421" s="225"/>
      <c r="BR421" s="225"/>
      <c r="BS421" s="225"/>
      <c r="BT421" s="225"/>
      <c r="BU421" s="225"/>
    </row>
    <row r="422" spans="41:73" x14ac:dyDescent="0.25">
      <c r="AO422"/>
      <c r="AS422"/>
      <c r="BC422" s="225"/>
      <c r="BD422" s="225"/>
      <c r="BE422" s="225"/>
      <c r="BF422" s="225"/>
      <c r="BG422" s="225"/>
      <c r="BH422" s="225"/>
      <c r="BI422" s="225"/>
      <c r="BJ422" s="225"/>
      <c r="BK422" s="225"/>
      <c r="BL422" s="225"/>
      <c r="BM422" s="225"/>
      <c r="BN422" s="225"/>
      <c r="BO422" s="225"/>
      <c r="BP422" s="225"/>
      <c r="BQ422" s="225"/>
      <c r="BR422" s="225"/>
      <c r="BS422" s="225"/>
      <c r="BT422" s="225"/>
      <c r="BU422" s="225"/>
    </row>
    <row r="423" spans="41:73" x14ac:dyDescent="0.25">
      <c r="AO423"/>
      <c r="AS423"/>
      <c r="BC423" s="225"/>
      <c r="BD423" s="225"/>
      <c r="BE423" s="225"/>
      <c r="BF423" s="225"/>
      <c r="BG423" s="225"/>
      <c r="BH423" s="225"/>
      <c r="BI423" s="225"/>
      <c r="BJ423" s="225"/>
      <c r="BK423" s="225"/>
      <c r="BL423" s="225"/>
      <c r="BM423" s="225"/>
      <c r="BN423" s="225"/>
      <c r="BO423" s="225"/>
      <c r="BP423" s="225"/>
      <c r="BQ423" s="225"/>
      <c r="BR423" s="225"/>
      <c r="BS423" s="225"/>
      <c r="BT423" s="225"/>
      <c r="BU423" s="225"/>
    </row>
    <row r="424" spans="41:73" x14ac:dyDescent="0.25">
      <c r="AO424"/>
      <c r="AS424"/>
      <c r="BC424" s="225"/>
      <c r="BD424" s="225"/>
      <c r="BE424" s="225"/>
      <c r="BF424" s="225"/>
      <c r="BG424" s="225"/>
      <c r="BH424" s="225"/>
      <c r="BI424" s="225"/>
      <c r="BJ424" s="225"/>
      <c r="BK424" s="225"/>
      <c r="BL424" s="225"/>
      <c r="BM424" s="225"/>
      <c r="BN424" s="225"/>
      <c r="BO424" s="225"/>
      <c r="BP424" s="225"/>
      <c r="BQ424" s="225"/>
      <c r="BR424" s="225"/>
      <c r="BS424" s="225"/>
      <c r="BT424" s="225"/>
      <c r="BU424" s="225"/>
    </row>
    <row r="425" spans="41:73" x14ac:dyDescent="0.25">
      <c r="AO425"/>
      <c r="AS425"/>
      <c r="BC425" s="225"/>
      <c r="BD425" s="225"/>
      <c r="BE425" s="225"/>
      <c r="BF425" s="225"/>
      <c r="BG425" s="225"/>
      <c r="BH425" s="225"/>
      <c r="BI425" s="225"/>
      <c r="BJ425" s="225"/>
      <c r="BK425" s="225"/>
      <c r="BL425" s="225"/>
      <c r="BM425" s="225"/>
      <c r="BN425" s="225"/>
      <c r="BO425" s="225"/>
      <c r="BP425" s="225"/>
      <c r="BQ425" s="225"/>
      <c r="BR425" s="225"/>
      <c r="BS425" s="225"/>
      <c r="BT425" s="225"/>
      <c r="BU425" s="225"/>
    </row>
    <row r="426" spans="41:73" x14ac:dyDescent="0.25">
      <c r="AO426"/>
      <c r="AS426"/>
      <c r="BC426" s="225"/>
      <c r="BD426" s="225"/>
      <c r="BE426" s="225"/>
      <c r="BF426" s="225"/>
      <c r="BG426" s="225"/>
      <c r="BH426" s="225"/>
      <c r="BI426" s="225"/>
      <c r="BJ426" s="225"/>
      <c r="BK426" s="225"/>
      <c r="BL426" s="225"/>
      <c r="BM426" s="225"/>
      <c r="BN426" s="225"/>
      <c r="BO426" s="225"/>
      <c r="BP426" s="225"/>
      <c r="BQ426" s="225"/>
      <c r="BR426" s="225"/>
      <c r="BS426" s="225"/>
      <c r="BT426" s="225"/>
      <c r="BU426" s="225"/>
    </row>
  </sheetData>
  <mergeCells count="188">
    <mergeCell ref="A1:BZ1"/>
    <mergeCell ref="A2:A4"/>
    <mergeCell ref="B2:B4"/>
    <mergeCell ref="C2:C4"/>
    <mergeCell ref="D2:F2"/>
    <mergeCell ref="G2:J2"/>
    <mergeCell ref="D3:D4"/>
    <mergeCell ref="E3:E4"/>
    <mergeCell ref="F3:F4"/>
    <mergeCell ref="G3:G4"/>
    <mergeCell ref="H3:H4"/>
    <mergeCell ref="I3:I4"/>
    <mergeCell ref="J3:J4"/>
    <mergeCell ref="AI2:AL2"/>
    <mergeCell ref="AM2:AP2"/>
    <mergeCell ref="K2:N2"/>
    <mergeCell ref="O2:R2"/>
    <mergeCell ref="S2:V2"/>
    <mergeCell ref="W2:Z2"/>
    <mergeCell ref="AA2:AD2"/>
    <mergeCell ref="AE2:AH2"/>
    <mergeCell ref="K3:K4"/>
    <mergeCell ref="L3:L4"/>
    <mergeCell ref="M3:M4"/>
    <mergeCell ref="N3:N4"/>
    <mergeCell ref="O3:O4"/>
    <mergeCell ref="P3:P4"/>
    <mergeCell ref="BJ2:BM2"/>
    <mergeCell ref="BN2:BQ2"/>
    <mergeCell ref="CO2:CQ2"/>
    <mergeCell ref="AQ2:AT2"/>
    <mergeCell ref="AU2:AX2"/>
    <mergeCell ref="AY2:BB2"/>
    <mergeCell ref="BC2:BF2"/>
    <mergeCell ref="BG2:BI2"/>
    <mergeCell ref="BG3:BG4"/>
    <mergeCell ref="BH3:BH4"/>
    <mergeCell ref="BI3:BI4"/>
    <mergeCell ref="W3:W4"/>
    <mergeCell ref="X3:X4"/>
    <mergeCell ref="Y3:Y4"/>
    <mergeCell ref="Z3:Z4"/>
    <mergeCell ref="AA3:AA4"/>
    <mergeCell ref="AB3:AB4"/>
    <mergeCell ref="Q3:Q4"/>
    <mergeCell ref="R3:R4"/>
    <mergeCell ref="S3:S4"/>
    <mergeCell ref="T3:T4"/>
    <mergeCell ref="U3:U4"/>
    <mergeCell ref="V3:V4"/>
    <mergeCell ref="AL3:AL4"/>
    <mergeCell ref="AM3:AM4"/>
    <mergeCell ref="AN3:AN4"/>
    <mergeCell ref="AC3:AC4"/>
    <mergeCell ref="AD3:AD4"/>
    <mergeCell ref="AE3:AE4"/>
    <mergeCell ref="AF3:AF4"/>
    <mergeCell ref="AG3:AG4"/>
    <mergeCell ref="AH3:AH4"/>
    <mergeCell ref="CO3:CO4"/>
    <mergeCell ref="CP3:CP4"/>
    <mergeCell ref="CQ3:CQ4"/>
    <mergeCell ref="A5:A13"/>
    <mergeCell ref="BW3:BW4"/>
    <mergeCell ref="BX3:BX4"/>
    <mergeCell ref="BY3:BY4"/>
    <mergeCell ref="BZ3:BZ4"/>
    <mergeCell ref="CM3:CM4"/>
    <mergeCell ref="CD3:CD4"/>
    <mergeCell ref="CE3:CE4"/>
    <mergeCell ref="BM3:BM4"/>
    <mergeCell ref="BN3:BN4"/>
    <mergeCell ref="BO3:BO4"/>
    <mergeCell ref="BP3:BP4"/>
    <mergeCell ref="BQ3:BQ4"/>
    <mergeCell ref="BV3:BV4"/>
    <mergeCell ref="BA3:BA4"/>
    <mergeCell ref="BB3:BB4"/>
    <mergeCell ref="BC3:BC4"/>
    <mergeCell ref="BJ3:BJ4"/>
    <mergeCell ref="BK3:BK4"/>
    <mergeCell ref="BL3:BL4"/>
    <mergeCell ref="AU3:AU4"/>
    <mergeCell ref="A46:A47"/>
    <mergeCell ref="A48:A58"/>
    <mergeCell ref="CG3:CG4"/>
    <mergeCell ref="CH3:CH4"/>
    <mergeCell ref="CI3:CI4"/>
    <mergeCell ref="CJ3:CJ4"/>
    <mergeCell ref="CF3:CF4"/>
    <mergeCell ref="CA3:CA4"/>
    <mergeCell ref="CB3:CB4"/>
    <mergeCell ref="CC3:CC4"/>
    <mergeCell ref="AV3:AV4"/>
    <mergeCell ref="AW3:AW4"/>
    <mergeCell ref="AX3:AX4"/>
    <mergeCell ref="AY3:AY4"/>
    <mergeCell ref="AZ3:AZ4"/>
    <mergeCell ref="AO3:AO4"/>
    <mergeCell ref="AP3:AP4"/>
    <mergeCell ref="AQ3:AQ4"/>
    <mergeCell ref="AR3:AR4"/>
    <mergeCell ref="AS3:AS4"/>
    <mergeCell ref="AT3:AT4"/>
    <mergeCell ref="AI3:AI4"/>
    <mergeCell ref="AJ3:AJ4"/>
    <mergeCell ref="AK3:AK4"/>
    <mergeCell ref="A60:A63"/>
    <mergeCell ref="B60:C60"/>
    <mergeCell ref="D60:F60"/>
    <mergeCell ref="G60:J60"/>
    <mergeCell ref="K60:N60"/>
    <mergeCell ref="O60:R60"/>
    <mergeCell ref="B61:C61"/>
    <mergeCell ref="D61:F61"/>
    <mergeCell ref="G61:J61"/>
    <mergeCell ref="K61:N61"/>
    <mergeCell ref="O61:R61"/>
    <mergeCell ref="B63:C63"/>
    <mergeCell ref="D63:F63"/>
    <mergeCell ref="G63:J63"/>
    <mergeCell ref="K63:N63"/>
    <mergeCell ref="O63:R63"/>
    <mergeCell ref="S61:V61"/>
    <mergeCell ref="W61:Z61"/>
    <mergeCell ref="AA61:AD61"/>
    <mergeCell ref="AE61:AH61"/>
    <mergeCell ref="AI61:AL61"/>
    <mergeCell ref="AQ60:AT60"/>
    <mergeCell ref="AU60:AX60"/>
    <mergeCell ref="AY60:BB60"/>
    <mergeCell ref="S60:V60"/>
    <mergeCell ref="W60:Z60"/>
    <mergeCell ref="AA60:AD60"/>
    <mergeCell ref="AE60:AH60"/>
    <mergeCell ref="AI60:AL60"/>
    <mergeCell ref="AM60:AP60"/>
    <mergeCell ref="S63:V63"/>
    <mergeCell ref="W63:Z63"/>
    <mergeCell ref="AA63:AD63"/>
    <mergeCell ref="AI62:AL62"/>
    <mergeCell ref="AA62:AD62"/>
    <mergeCell ref="AE62:AH62"/>
    <mergeCell ref="AE63:AH63"/>
    <mergeCell ref="AI63:AL63"/>
    <mergeCell ref="B62:C62"/>
    <mergeCell ref="D62:F62"/>
    <mergeCell ref="G62:J62"/>
    <mergeCell ref="K62:N62"/>
    <mergeCell ref="O62:R62"/>
    <mergeCell ref="S62:V62"/>
    <mergeCell ref="W62:Z62"/>
    <mergeCell ref="AM63:AP63"/>
    <mergeCell ref="AQ63:AT63"/>
    <mergeCell ref="AU63:AX63"/>
    <mergeCell ref="AY63:BB63"/>
    <mergeCell ref="BR2:BU2"/>
    <mergeCell ref="BR3:BR4"/>
    <mergeCell ref="BS3:BS4"/>
    <mergeCell ref="BT3:BT4"/>
    <mergeCell ref="BU3:BU4"/>
    <mergeCell ref="BR60:BU60"/>
    <mergeCell ref="AM62:AP62"/>
    <mergeCell ref="AQ62:AT62"/>
    <mergeCell ref="AU62:AX62"/>
    <mergeCell ref="AY62:BB62"/>
    <mergeCell ref="BC62:BF62"/>
    <mergeCell ref="BN61:BQ61"/>
    <mergeCell ref="AM61:AP61"/>
    <mergeCell ref="AQ61:AT61"/>
    <mergeCell ref="AU61:AX61"/>
    <mergeCell ref="AY61:BB61"/>
    <mergeCell ref="BC61:BF61"/>
    <mergeCell ref="BJ61:BM61"/>
    <mergeCell ref="BC60:BF60"/>
    <mergeCell ref="BJ60:BM60"/>
    <mergeCell ref="BR62:BU62"/>
    <mergeCell ref="BR63:BU63"/>
    <mergeCell ref="CN3:CN4"/>
    <mergeCell ref="BC63:BF63"/>
    <mergeCell ref="BJ63:BM63"/>
    <mergeCell ref="BN63:BQ63"/>
    <mergeCell ref="BR61:BU61"/>
    <mergeCell ref="BJ62:BM62"/>
    <mergeCell ref="BN62:BQ62"/>
    <mergeCell ref="CL3:CL4"/>
    <mergeCell ref="BN60:BQ60"/>
    <mergeCell ref="CK3:CK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4611C-0D6F-49C8-873B-557E34B95B2C}">
  <sheetPr>
    <tabColor rgb="FFFFFF00"/>
  </sheetPr>
  <dimension ref="A1:CY426"/>
  <sheetViews>
    <sheetView workbookViewId="0">
      <pane xSplit="3" ySplit="4" topLeftCell="CO35" activePane="bottomRight" state="frozen"/>
      <selection pane="topRight" activeCell="D1" sqref="D1"/>
      <selection pane="bottomLeft" activeCell="A5" sqref="A5"/>
      <selection pane="bottomRight" activeCell="CU59" sqref="CU59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2.81640625" customWidth="1"/>
    <col min="5" max="5" width="11" customWidth="1"/>
    <col min="6" max="6" width="12" customWidth="1"/>
    <col min="7" max="7" width="11.453125" customWidth="1"/>
    <col min="8" max="38" width="10.81640625" customWidth="1"/>
    <col min="39" max="39" width="12.54296875" customWidth="1"/>
    <col min="40" max="40" width="10.81640625" customWidth="1"/>
    <col min="41" max="41" width="10.81640625" style="57" customWidth="1"/>
    <col min="42" max="42" width="10.81640625" customWidth="1"/>
    <col min="43" max="43" width="17.1796875" bestFit="1" customWidth="1"/>
    <col min="44" max="44" width="10.81640625" customWidth="1"/>
    <col min="45" max="45" width="17.81640625" style="57" bestFit="1" customWidth="1"/>
    <col min="46" max="46" width="22.81640625" bestFit="1" customWidth="1"/>
    <col min="47" max="47" width="17.1796875" bestFit="1" customWidth="1"/>
    <col min="48" max="48" width="10.81640625" customWidth="1"/>
    <col min="49" max="49" width="17.81640625" bestFit="1" customWidth="1"/>
    <col min="50" max="50" width="22.81640625" bestFit="1" customWidth="1"/>
    <col min="51" max="51" width="21.1796875" customWidth="1"/>
    <col min="52" max="52" width="10.81640625" customWidth="1"/>
    <col min="53" max="53" width="17.81640625" bestFit="1" customWidth="1"/>
    <col min="54" max="54" width="22.81640625" bestFit="1" customWidth="1"/>
    <col min="55" max="55" width="24.1796875" bestFit="1" customWidth="1"/>
    <col min="56" max="56" width="10.81640625" customWidth="1"/>
    <col min="57" max="57" width="13.1796875" customWidth="1"/>
    <col min="58" max="58" width="10.81640625" customWidth="1"/>
    <col min="59" max="59" width="13.81640625" customWidth="1"/>
    <col min="60" max="60" width="15" customWidth="1"/>
    <col min="61" max="61" width="14.54296875" customWidth="1"/>
    <col min="62" max="62" width="15" customWidth="1"/>
    <col min="63" max="63" width="10.81640625" customWidth="1"/>
    <col min="64" max="64" width="14" customWidth="1"/>
    <col min="65" max="65" width="10.81640625" customWidth="1"/>
    <col min="66" max="66" width="16.453125" customWidth="1"/>
    <col min="67" max="67" width="10.81640625" customWidth="1"/>
    <col min="68" max="68" width="12.81640625" customWidth="1"/>
    <col min="69" max="69" width="10.81640625" customWidth="1"/>
    <col min="70" max="70" width="15" customWidth="1"/>
    <col min="71" max="71" width="11.81640625" customWidth="1"/>
    <col min="72" max="72" width="13.1796875" customWidth="1"/>
    <col min="73" max="73" width="10.81640625" customWidth="1"/>
    <col min="74" max="74" width="14.453125" customWidth="1"/>
    <col min="75" max="75" width="16.36328125" bestFit="1" customWidth="1"/>
    <col min="76" max="77" width="10.81640625" customWidth="1"/>
    <col min="78" max="97" width="11.1796875" customWidth="1"/>
    <col min="98" max="98" width="25.81640625" bestFit="1" customWidth="1"/>
    <col min="99" max="99" width="13" customWidth="1"/>
    <col min="100" max="100" width="15.453125" customWidth="1"/>
    <col min="103" max="103" width="14.1796875" customWidth="1"/>
  </cols>
  <sheetData>
    <row r="1" spans="1:103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03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584">
        <v>2018</v>
      </c>
      <c r="CU2" s="585"/>
      <c r="CV2" s="586"/>
    </row>
    <row r="3" spans="1:103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571" t="s">
        <v>63</v>
      </c>
      <c r="CA3" s="571" t="s">
        <v>71</v>
      </c>
      <c r="CB3" s="571" t="s">
        <v>72</v>
      </c>
      <c r="CC3" s="571" t="s">
        <v>73</v>
      </c>
      <c r="CD3" s="571" t="s">
        <v>74</v>
      </c>
      <c r="CE3" s="571" t="s">
        <v>75</v>
      </c>
      <c r="CF3" s="571" t="s">
        <v>62</v>
      </c>
      <c r="CG3" s="571" t="s">
        <v>64</v>
      </c>
      <c r="CH3" s="571" t="s">
        <v>65</v>
      </c>
      <c r="CI3" s="571" t="s">
        <v>66</v>
      </c>
      <c r="CJ3" s="571" t="s">
        <v>67</v>
      </c>
      <c r="CK3" s="571" t="s">
        <v>76</v>
      </c>
      <c r="CL3" s="571" t="s">
        <v>77</v>
      </c>
      <c r="CM3" s="571" t="s">
        <v>78</v>
      </c>
      <c r="CN3" s="571" t="s">
        <v>79</v>
      </c>
      <c r="CO3" s="571" t="s">
        <v>108</v>
      </c>
      <c r="CP3" s="571" t="s">
        <v>98</v>
      </c>
      <c r="CQ3" s="571" t="s">
        <v>99</v>
      </c>
      <c r="CR3" s="571" t="s">
        <v>100</v>
      </c>
      <c r="CS3" s="571" t="s">
        <v>101</v>
      </c>
      <c r="CT3" s="490" t="s">
        <v>56</v>
      </c>
      <c r="CU3" s="490" t="s">
        <v>57</v>
      </c>
      <c r="CV3" s="490" t="s">
        <v>58</v>
      </c>
    </row>
    <row r="4" spans="1:103" ht="26.25" customHeight="1" x14ac:dyDescent="0.3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572"/>
      <c r="CA4" s="572"/>
      <c r="CB4" s="572"/>
      <c r="CC4" s="572"/>
      <c r="CD4" s="572"/>
      <c r="CE4" s="572"/>
      <c r="CF4" s="572"/>
      <c r="CG4" s="572"/>
      <c r="CH4" s="572"/>
      <c r="CI4" s="572"/>
      <c r="CJ4" s="572"/>
      <c r="CK4" s="572"/>
      <c r="CL4" s="572"/>
      <c r="CM4" s="572"/>
      <c r="CN4" s="572"/>
      <c r="CO4" s="572"/>
      <c r="CP4" s="572"/>
      <c r="CQ4" s="572"/>
      <c r="CR4" s="572"/>
      <c r="CS4" s="572"/>
      <c r="CT4" s="491"/>
      <c r="CU4" s="491"/>
      <c r="CV4" s="491"/>
      <c r="CX4" s="1" t="s">
        <v>115</v>
      </c>
      <c r="CY4" s="1" t="s">
        <v>116</v>
      </c>
    </row>
    <row r="5" spans="1:103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321">
        <f>IF(D5=0,0,2001-(D5-F5)*C5/D5)</f>
        <v>1999.6451111805941</v>
      </c>
      <c r="CA5" s="333">
        <f>IF((1-($CT$2-$BZ5)/$C5)&gt;0,(1-($CT$2-$BZ5)/$C5),0)</f>
        <v>0</v>
      </c>
      <c r="CB5" s="333">
        <f t="shared" ref="CB5:CB12" si="0">IF((1-($CT$2-G$2)/$C5)&gt;0,(1-($CT$2-G$2)/$C5),0)</f>
        <v>0</v>
      </c>
      <c r="CC5" s="333">
        <f t="shared" ref="CC5:CC12" si="1">IF((1-($CT$2-K$2)/$C5)&gt;0,(1-($CT$2-K$2)/$C5),0)</f>
        <v>0</v>
      </c>
      <c r="CD5" s="333">
        <f t="shared" ref="CD5:CD12" si="2">IF((1-($CT$2-O$2)/$C5)&gt;0,(1-($CT$2-O$2)/$C5),0)</f>
        <v>0</v>
      </c>
      <c r="CE5" s="333">
        <f t="shared" ref="CE5:CE12" si="3">IF((1-($CT$2-S$2)/$C5)&gt;0,(1-($CT$2-S$2)/$C5),0)</f>
        <v>0</v>
      </c>
      <c r="CF5" s="333">
        <f t="shared" ref="CF5:CF12" si="4">IF((1-($CT$2-W$2)/$C5)&gt;0,(1-($CT$2-W$2)/$C5),0)</f>
        <v>0</v>
      </c>
      <c r="CG5" s="333">
        <f t="shared" ref="CG5:CG12" si="5">IF((1-($CT$2-AA$2)/$C5)&gt;0,(1-($CT$2-AA$2)/$C5),0)</f>
        <v>0</v>
      </c>
      <c r="CH5" s="333">
        <f t="shared" ref="CH5:CH12" si="6">IF((1-($CT$2-AE$2)/$C5)&gt;0,(1-($CT$2-AE$2)/$C5),0)</f>
        <v>0</v>
      </c>
      <c r="CI5" s="333">
        <f t="shared" ref="CI5:CI12" si="7">IF((1-($CT$2-AI$2)/$C5)&gt;0,(1-($CT$2-AI$2)/$C5),0)</f>
        <v>0</v>
      </c>
      <c r="CJ5" s="333">
        <f t="shared" ref="CJ5:CJ12" si="8">IF((1-($CT$2-AM$2)/$C5)&gt;0,(1-($CT$2-AM$2)/$C5),0)</f>
        <v>0</v>
      </c>
      <c r="CK5" s="333">
        <f t="shared" ref="CK5:CK12" si="9">IF((1-($CT$2-AQ$2)/$C5)&gt;0,(1-($CT$2-AQ$2)/$C5),0)</f>
        <v>0</v>
      </c>
      <c r="CL5" s="333">
        <f t="shared" ref="CL5:CL12" si="10">IF((1-($CT$2-AU$2)/$C5)&gt;0,(1-($CT$2-AU$2)/$C5),0)</f>
        <v>0</v>
      </c>
      <c r="CM5" s="333">
        <f t="shared" ref="CM5:CM12" si="11">IF((1-($CT$2-AY$2)/$C5)&gt;0,(1-($CT$2-AY$2)/$C5),0)</f>
        <v>0</v>
      </c>
      <c r="CN5" s="333">
        <f t="shared" ref="CN5:CN12" si="12">IF((1-($CT$2-BC$2)/$C5)&gt;0,(1-($CT$2-BC$2)/$C5),0)</f>
        <v>0</v>
      </c>
      <c r="CO5" s="333">
        <f>IF(BG5=0,0,1-($CT$2-(2014.5-(BG5-BI5)*C5/BG5))/C5)</f>
        <v>0</v>
      </c>
      <c r="CP5" s="333">
        <f t="shared" ref="CP5:CP12" si="13">IF((1-($CT$2-BJ$2)/$C5)&gt;0,(1-($CT$2-BJ$2)/$C5),0)</f>
        <v>0.25</v>
      </c>
      <c r="CQ5" s="333">
        <f t="shared" ref="CQ5:CQ12" si="14">IF((1-($CT$2-BN$2)/$C5)&gt;0,(1-($CT$2-BN$2)/$C5),0)</f>
        <v>0.5</v>
      </c>
      <c r="CR5" s="333">
        <f t="shared" ref="CR5:CR12" si="15">IF((1-($CT$2-BR$2)/$C5)&gt;0,(1-($CT$2-BR$2)/$C5),0)</f>
        <v>0.75</v>
      </c>
      <c r="CS5" s="333">
        <f t="shared" ref="CS5:CS12" si="16">IF((1-($CT$2-BV$2)/$C5)&gt;0,(1-($CT$2-BV$2)/$C5),0)</f>
        <v>1</v>
      </c>
      <c r="CT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</f>
        <v>5927632.0867265407</v>
      </c>
      <c r="CU5" s="334">
        <f>IF(CA5=0,D5-E5,0)+IF(CB5=0,(G5-H5-I5)*G$60,0)+IF(CC5=0,(K5-L5-M5)*K$60,0)+IF(CD5=0,(O5-P5-Q5)*O$60,0)+IF(CE5=0,(S5-T5-U5)*S$60,0)+IF(CF5=0,(W5-X5-Y5)*W$60,0)+IF(CG5=0,(AA5-AB5-AC5)*AA$60,0)+IF(CH5=0,(AE5-AF5-AG5)*AE$60,0)+IF(CI5=0,(AI5-AJ5-AK5)*AI$60,0)+IF(CJ5=0,(AM5-AN5-AO5)*AM$60,0)+IF(CK5=0,(AQ5-AR5-AS5)*$AQ$60,0)+IF(CL5=0,(AU5-AV5-AW5)*$AU$60,0)+IF(CM5=0,(AY5-AZ5-BA5)*$AY$60,0)++IF(CN5=0,(BC5-BD5-BE5)*$BC$60,0)+IF(CP5=0,(BJ5-BK5-BL5)*$BJ$60,0)+IF(CO5=0,BG5,0)+IF(CQ5=0,(BN5-BO5-BP5)*$BN$60,0)+IF(CR5=0,(BR5-BS5-BT5)*$BR$60,0)+IF(CS5=0,(BV5-BW5-BX5)*$BV$60,0)</f>
        <v>3106850.2635211144</v>
      </c>
      <c r="CV5" s="334">
        <f t="shared" ref="CV5:CV12" si="17">(D5-E5)*CA5+((G5-H5-(I5-J5))*G$60)*CB5+((K5-L5-(M5-N5))*K$60)*CC5+((O5-P5-(Q5-R5))*O$60)*CD5+((S5-T5-(U5-V5))*S$60)*CE5+((W5-X5-(Y5-Z5))*W$60)*CF5+((AA5-AB5-(AC5-AD5))*AA$60)*CG5+((AE5-AF5-(AG5-AH5))*AE$60)*CH5+((AI5-AJ5-(AK5-AL5))*AI$60)*CI5+((AM5-AN5-(AO5-AP5))*$AM$60)*CJ5+((AQ5-AR5-(AS5-AT5))*$AQ$60)*CK5+((AU5-AV5-(AW5-AX5))*$AU$60)*CL5+((AY5-AZ5-(BA5-BB5))*$AY$60)*CM5+((BC5-BD5-(BE5-BF5))*$BC$60)*CN5+((BJ5-BK5-(BL5-BM5))*$BJ$60)*CP5+(BG5-BH5)*CO5+((BN5-BO5-(BP5-BQ5))*$BN$60)*CQ5+((BR5-BS5-(BT5-BU5))*$BR$60)*CR5+((BV5-BW5-(BX5-BY5))*$BV$60)*CS5</f>
        <v>1873190.3002374745</v>
      </c>
      <c r="CX5" s="220">
        <f>+CT5-CU5</f>
        <v>2820781.8232054263</v>
      </c>
      <c r="CY5" s="299">
        <f t="shared" ref="CY5:CY25" si="18">+M5+Q5+U5+Y5+AC5+AG5+AK5+AO5+AS5++AW5+BA5+BE5+BL5+BP5+BT5+BX5</f>
        <v>0</v>
      </c>
    </row>
    <row r="6" spans="1:103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321">
        <f t="shared" ref="BZ6:BZ12" si="19">IF(D6=0,0,2001-(D6-F6)*C6/D6)</f>
        <v>2001</v>
      </c>
      <c r="CA6" s="333">
        <f t="shared" ref="CA6:CA12" si="20">IF((1-($CT$2-$BZ6)/$C6)&gt;0,(1-($CT$2-$BZ6)/$C6),0)</f>
        <v>0.98299999999999998</v>
      </c>
      <c r="CB6" s="333">
        <f t="shared" si="0"/>
        <v>0.98399999999999999</v>
      </c>
      <c r="CC6" s="333">
        <f t="shared" si="1"/>
        <v>0.98499999999999999</v>
      </c>
      <c r="CD6" s="333">
        <f t="shared" si="2"/>
        <v>0.98599999999999999</v>
      </c>
      <c r="CE6" s="333">
        <f t="shared" si="3"/>
        <v>0.98699999999999999</v>
      </c>
      <c r="CF6" s="333">
        <f t="shared" si="4"/>
        <v>0.98799999999999999</v>
      </c>
      <c r="CG6" s="333">
        <f t="shared" si="5"/>
        <v>0.98899999999999999</v>
      </c>
      <c r="CH6" s="333">
        <f t="shared" si="6"/>
        <v>0.99</v>
      </c>
      <c r="CI6" s="333">
        <f t="shared" si="7"/>
        <v>0.99099999999999999</v>
      </c>
      <c r="CJ6" s="333">
        <f t="shared" si="8"/>
        <v>0.99199999999999999</v>
      </c>
      <c r="CK6" s="333">
        <f t="shared" si="9"/>
        <v>0.99299999999999999</v>
      </c>
      <c r="CL6" s="333">
        <f t="shared" si="10"/>
        <v>0.99399999999999999</v>
      </c>
      <c r="CM6" s="333">
        <f t="shared" si="11"/>
        <v>0.995</v>
      </c>
      <c r="CN6" s="333">
        <f t="shared" si="12"/>
        <v>0.996</v>
      </c>
      <c r="CO6" s="333">
        <f t="shared" ref="CO6:CO12" si="21">IF(BG6=0,0,1-($CT$2-(2014.5-(BG6-BI6)*C6/BG6))/C6)</f>
        <v>0.99650000000000005</v>
      </c>
      <c r="CP6" s="333">
        <f t="shared" si="13"/>
        <v>0.997</v>
      </c>
      <c r="CQ6" s="333">
        <f t="shared" si="14"/>
        <v>0.998</v>
      </c>
      <c r="CR6" s="333">
        <f t="shared" si="15"/>
        <v>0.999</v>
      </c>
      <c r="CS6" s="333">
        <f t="shared" si="16"/>
        <v>1</v>
      </c>
      <c r="CT6" s="334">
        <f t="shared" ref="CT6:CT12" si="22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</f>
        <v>1314125.0854951243</v>
      </c>
      <c r="CU6" s="334">
        <f t="shared" ref="CU6:CU12" si="23">IF(CA6=0,D6-E6,0)+IF(CB6=0,(G6-H6-I6)*G$60,0)+IF(CC6=0,(K6-L6-M6)*K$60,0)+IF(CD6=0,(O6-P6-Q6)*O$60,0)+IF(CE6=0,(S6-T6-U6)*S$60,0)+IF(CF6=0,(W6-X6-Y6)*W$60,0)+IF(CG6=0,(AA6-AB6-AC6)*AA$60,0)+IF(CH6=0,(AE6-AF6-AG6)*AE$60,0)+IF(CI6=0,(AI6-AJ6-AK6)*AI$60,0)+IF(CJ6=0,(AM6-AN6-AO6)*AM$60,0)+IF(CK6=0,(AQ6-AR6-AS6)*$AQ$60,0)+IF(CL6=0,(AU6-AV6-AW6)*$AU$60,0)+IF(CM6=0,(AY6-AZ6-BA6)*$AY$60,0)++IF(CN6=0,(BC6-BD6-BE6)*$BC$60,0)+IF(CP6=0,(BJ6-BK6-BL6)*$BJ$60,0)+IF(CO6=0,BG6,0)+IF(CQ6=0,(BN6-BO6-BP6)*$BN$60,0)+IF(CR6=0,(BR6-BS6-BT6)*$BR$60,0)+IF(CS6=0,(BV6-BW6-BX6)*$BV$60,0)</f>
        <v>0</v>
      </c>
      <c r="CV6" s="334">
        <f t="shared" si="17"/>
        <v>1308812.8133560633</v>
      </c>
      <c r="CX6" s="220">
        <f t="shared" ref="CX6:CX59" si="24">+CT6-CU6</f>
        <v>1314125.0854951243</v>
      </c>
      <c r="CY6" s="299">
        <f t="shared" si="18"/>
        <v>0</v>
      </c>
    </row>
    <row r="7" spans="1:103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321">
        <f t="shared" si="19"/>
        <v>1985.8657049273502</v>
      </c>
      <c r="CA7" s="333">
        <f t="shared" si="20"/>
        <v>0.19664262318375447</v>
      </c>
      <c r="CB7" s="333">
        <f t="shared" si="0"/>
        <v>0.6</v>
      </c>
      <c r="CC7" s="333">
        <f t="shared" si="1"/>
        <v>0.625</v>
      </c>
      <c r="CD7" s="333">
        <f t="shared" si="2"/>
        <v>0.65</v>
      </c>
      <c r="CE7" s="333">
        <f t="shared" si="3"/>
        <v>0.67500000000000004</v>
      </c>
      <c r="CF7" s="333">
        <f t="shared" si="4"/>
        <v>0.7</v>
      </c>
      <c r="CG7" s="333">
        <f t="shared" si="5"/>
        <v>0.72499999999999998</v>
      </c>
      <c r="CH7" s="333">
        <f t="shared" si="6"/>
        <v>0.75</v>
      </c>
      <c r="CI7" s="333">
        <f t="shared" si="7"/>
        <v>0.77500000000000002</v>
      </c>
      <c r="CJ7" s="333">
        <f t="shared" si="8"/>
        <v>0.8</v>
      </c>
      <c r="CK7" s="333">
        <f t="shared" si="9"/>
        <v>0.82499999999999996</v>
      </c>
      <c r="CL7" s="333">
        <f t="shared" si="10"/>
        <v>0.85</v>
      </c>
      <c r="CM7" s="333">
        <f t="shared" si="11"/>
        <v>0.875</v>
      </c>
      <c r="CN7" s="333">
        <f t="shared" si="12"/>
        <v>0.9</v>
      </c>
      <c r="CO7" s="333">
        <f t="shared" si="21"/>
        <v>0.91249999999999998</v>
      </c>
      <c r="CP7" s="333">
        <f t="shared" si="13"/>
        <v>0.92500000000000004</v>
      </c>
      <c r="CQ7" s="333">
        <f t="shared" si="14"/>
        <v>0.95</v>
      </c>
      <c r="CR7" s="333">
        <f t="shared" si="15"/>
        <v>0.97499999999999998</v>
      </c>
      <c r="CS7" s="333">
        <f t="shared" si="16"/>
        <v>1</v>
      </c>
      <c r="CT7" s="334">
        <f t="shared" si="22"/>
        <v>1628486.3546337117</v>
      </c>
      <c r="CU7" s="334">
        <f t="shared" si="23"/>
        <v>0</v>
      </c>
      <c r="CV7" s="334">
        <f t="shared" si="17"/>
        <v>645693.2463364338</v>
      </c>
      <c r="CX7" s="220">
        <f t="shared" si="24"/>
        <v>1628486.3546337117</v>
      </c>
      <c r="CY7" s="299">
        <f t="shared" si="18"/>
        <v>0</v>
      </c>
    </row>
    <row r="8" spans="1:103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321">
        <f t="shared" si="19"/>
        <v>1994.501126969511</v>
      </c>
      <c r="CA8" s="333">
        <f t="shared" si="20"/>
        <v>0</v>
      </c>
      <c r="CB8" s="333">
        <f t="shared" si="0"/>
        <v>0</v>
      </c>
      <c r="CC8" s="333">
        <f t="shared" si="1"/>
        <v>0</v>
      </c>
      <c r="CD8" s="333">
        <f t="shared" si="2"/>
        <v>0</v>
      </c>
      <c r="CE8" s="333">
        <f t="shared" si="3"/>
        <v>0</v>
      </c>
      <c r="CF8" s="333">
        <f t="shared" si="4"/>
        <v>0</v>
      </c>
      <c r="CG8" s="333">
        <f t="shared" si="5"/>
        <v>0</v>
      </c>
      <c r="CH8" s="333">
        <f t="shared" si="6"/>
        <v>0</v>
      </c>
      <c r="CI8" s="333">
        <f t="shared" si="7"/>
        <v>0</v>
      </c>
      <c r="CJ8" s="333">
        <f t="shared" si="8"/>
        <v>0</v>
      </c>
      <c r="CK8" s="333">
        <f t="shared" si="9"/>
        <v>0</v>
      </c>
      <c r="CL8" s="333">
        <f t="shared" si="10"/>
        <v>0.1428571428571429</v>
      </c>
      <c r="CM8" s="333">
        <f t="shared" si="11"/>
        <v>0.2857142857142857</v>
      </c>
      <c r="CN8" s="333">
        <f t="shared" si="12"/>
        <v>0.4285714285714286</v>
      </c>
      <c r="CO8" s="333">
        <f t="shared" si="21"/>
        <v>0</v>
      </c>
      <c r="CP8" s="333">
        <f t="shared" si="13"/>
        <v>0.5714285714285714</v>
      </c>
      <c r="CQ8" s="333">
        <f t="shared" si="14"/>
        <v>0.7142857142857143</v>
      </c>
      <c r="CR8" s="333">
        <f t="shared" si="15"/>
        <v>0.85714285714285721</v>
      </c>
      <c r="CS8" s="333">
        <f t="shared" si="16"/>
        <v>1</v>
      </c>
      <c r="CT8" s="334">
        <f t="shared" si="22"/>
        <v>1044291.8698791814</v>
      </c>
      <c r="CU8" s="334">
        <f t="shared" si="23"/>
        <v>994596.5550798584</v>
      </c>
      <c r="CV8" s="334">
        <f t="shared" si="17"/>
        <v>27201.117129095051</v>
      </c>
      <c r="CX8" s="220">
        <f t="shared" si="24"/>
        <v>49695.31479932298</v>
      </c>
      <c r="CY8" s="299">
        <f t="shared" si="18"/>
        <v>0</v>
      </c>
    </row>
    <row r="9" spans="1:103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321">
        <f t="shared" si="19"/>
        <v>1997.9397485452369</v>
      </c>
      <c r="CA9" s="333">
        <f t="shared" si="20"/>
        <v>0</v>
      </c>
      <c r="CB9" s="333">
        <f t="shared" si="0"/>
        <v>0</v>
      </c>
      <c r="CC9" s="333">
        <f t="shared" si="1"/>
        <v>0</v>
      </c>
      <c r="CD9" s="333">
        <f t="shared" si="2"/>
        <v>0</v>
      </c>
      <c r="CE9" s="333">
        <f t="shared" si="3"/>
        <v>0</v>
      </c>
      <c r="CF9" s="333">
        <f t="shared" si="4"/>
        <v>0</v>
      </c>
      <c r="CG9" s="333">
        <f t="shared" si="5"/>
        <v>0</v>
      </c>
      <c r="CH9" s="333">
        <f t="shared" si="6"/>
        <v>0</v>
      </c>
      <c r="CI9" s="333">
        <f t="shared" si="7"/>
        <v>0</v>
      </c>
      <c r="CJ9" s="333">
        <f t="shared" si="8"/>
        <v>0</v>
      </c>
      <c r="CK9" s="333">
        <f t="shared" si="9"/>
        <v>0</v>
      </c>
      <c r="CL9" s="333">
        <f t="shared" si="10"/>
        <v>0</v>
      </c>
      <c r="CM9" s="333">
        <f t="shared" si="11"/>
        <v>0</v>
      </c>
      <c r="CN9" s="333">
        <f t="shared" si="12"/>
        <v>0</v>
      </c>
      <c r="CO9" s="333">
        <f t="shared" si="21"/>
        <v>0</v>
      </c>
      <c r="CP9" s="333">
        <f t="shared" si="13"/>
        <v>0.25</v>
      </c>
      <c r="CQ9" s="333">
        <f t="shared" si="14"/>
        <v>0.5</v>
      </c>
      <c r="CR9" s="333">
        <f t="shared" si="15"/>
        <v>0.75</v>
      </c>
      <c r="CS9" s="333">
        <f t="shared" si="16"/>
        <v>1</v>
      </c>
      <c r="CT9" s="334">
        <f t="shared" si="22"/>
        <v>1931302.7496091886</v>
      </c>
      <c r="CU9" s="334">
        <f t="shared" si="23"/>
        <v>1717224.9423312545</v>
      </c>
      <c r="CV9" s="334">
        <f t="shared" si="17"/>
        <v>197618.65657051202</v>
      </c>
      <c r="CX9" s="220">
        <f t="shared" si="24"/>
        <v>214077.80727793416</v>
      </c>
      <c r="CY9" s="299">
        <f t="shared" si="18"/>
        <v>0</v>
      </c>
    </row>
    <row r="10" spans="1:103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321">
        <f t="shared" si="19"/>
        <v>1996.8815287911268</v>
      </c>
      <c r="CA10" s="333">
        <f t="shared" si="20"/>
        <v>0</v>
      </c>
      <c r="CB10" s="333">
        <f t="shared" si="0"/>
        <v>0</v>
      </c>
      <c r="CC10" s="333">
        <f t="shared" si="1"/>
        <v>0</v>
      </c>
      <c r="CD10" s="333">
        <f t="shared" si="2"/>
        <v>0</v>
      </c>
      <c r="CE10" s="333">
        <f t="shared" si="3"/>
        <v>0</v>
      </c>
      <c r="CF10" s="333">
        <f t="shared" si="4"/>
        <v>0</v>
      </c>
      <c r="CG10" s="333">
        <f t="shared" si="5"/>
        <v>0</v>
      </c>
      <c r="CH10" s="333">
        <f t="shared" si="6"/>
        <v>0</v>
      </c>
      <c r="CI10" s="333">
        <f t="shared" si="7"/>
        <v>0</v>
      </c>
      <c r="CJ10" s="333">
        <f t="shared" si="8"/>
        <v>0</v>
      </c>
      <c r="CK10" s="333">
        <f t="shared" si="9"/>
        <v>0</v>
      </c>
      <c r="CL10" s="333">
        <f t="shared" si="10"/>
        <v>0</v>
      </c>
      <c r="CM10" s="333">
        <f t="shared" si="11"/>
        <v>0</v>
      </c>
      <c r="CN10" s="333">
        <f t="shared" si="12"/>
        <v>0.19999999999999996</v>
      </c>
      <c r="CO10" s="333">
        <f t="shared" si="21"/>
        <v>0</v>
      </c>
      <c r="CP10" s="333">
        <f t="shared" si="13"/>
        <v>0.4</v>
      </c>
      <c r="CQ10" s="333">
        <f t="shared" si="14"/>
        <v>0.6</v>
      </c>
      <c r="CR10" s="333">
        <f t="shared" si="15"/>
        <v>0.8</v>
      </c>
      <c r="CS10" s="333">
        <f t="shared" si="16"/>
        <v>1</v>
      </c>
      <c r="CT10" s="334">
        <f t="shared" si="22"/>
        <v>1965930.6793448166</v>
      </c>
      <c r="CU10" s="334">
        <f t="shared" si="23"/>
        <v>1738592.0571161245</v>
      </c>
      <c r="CV10" s="334">
        <f t="shared" si="17"/>
        <v>117757.67720368205</v>
      </c>
      <c r="CX10" s="220">
        <f t="shared" si="24"/>
        <v>227338.62222869205</v>
      </c>
      <c r="CY10" s="299">
        <f t="shared" si="18"/>
        <v>0</v>
      </c>
    </row>
    <row r="11" spans="1:103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321">
        <f t="shared" si="19"/>
        <v>0</v>
      </c>
      <c r="CA11" s="333">
        <f>IF((1-($CT$2-$BZ11)/$C11)&gt;0,(1-($CT$2-$BZ11)/$C11),0)</f>
        <v>0</v>
      </c>
      <c r="CB11" s="333">
        <f t="shared" si="0"/>
        <v>0</v>
      </c>
      <c r="CC11" s="333">
        <f t="shared" si="1"/>
        <v>0</v>
      </c>
      <c r="CD11" s="333">
        <f t="shared" si="2"/>
        <v>0</v>
      </c>
      <c r="CE11" s="333">
        <f t="shared" si="3"/>
        <v>0</v>
      </c>
      <c r="CF11" s="333">
        <f t="shared" si="4"/>
        <v>0</v>
      </c>
      <c r="CG11" s="333">
        <f t="shared" si="5"/>
        <v>0</v>
      </c>
      <c r="CH11" s="333">
        <f t="shared" si="6"/>
        <v>0</v>
      </c>
      <c r="CI11" s="333">
        <f t="shared" si="7"/>
        <v>0</v>
      </c>
      <c r="CJ11" s="333">
        <f t="shared" si="8"/>
        <v>0</v>
      </c>
      <c r="CK11" s="333">
        <f t="shared" si="9"/>
        <v>0.125</v>
      </c>
      <c r="CL11" s="333">
        <f t="shared" si="10"/>
        <v>0.25</v>
      </c>
      <c r="CM11" s="333">
        <f t="shared" si="11"/>
        <v>0.375</v>
      </c>
      <c r="CN11" s="333">
        <f t="shared" si="12"/>
        <v>0.5</v>
      </c>
      <c r="CO11" s="333">
        <f t="shared" si="21"/>
        <v>0</v>
      </c>
      <c r="CP11" s="333">
        <f t="shared" si="13"/>
        <v>0.625</v>
      </c>
      <c r="CQ11" s="333">
        <f t="shared" si="14"/>
        <v>0.75</v>
      </c>
      <c r="CR11" s="333">
        <f t="shared" si="15"/>
        <v>0.875</v>
      </c>
      <c r="CS11" s="333">
        <f t="shared" si="16"/>
        <v>1</v>
      </c>
      <c r="CT11" s="334">
        <f t="shared" si="22"/>
        <v>160060.38764167234</v>
      </c>
      <c r="CU11" s="334">
        <f t="shared" si="23"/>
        <v>87480.868125411129</v>
      </c>
      <c r="CV11" s="334">
        <f t="shared" si="17"/>
        <v>36193.383086850976</v>
      </c>
      <c r="CX11" s="220">
        <f t="shared" si="24"/>
        <v>72579.519516261207</v>
      </c>
      <c r="CY11" s="299">
        <f t="shared" si="18"/>
        <v>0</v>
      </c>
    </row>
    <row r="12" spans="1:103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1">
        <v>0</v>
      </c>
      <c r="BW12" s="290">
        <v>0</v>
      </c>
      <c r="BX12" s="291"/>
      <c r="BY12" s="291"/>
      <c r="BZ12" s="321">
        <f t="shared" si="19"/>
        <v>1992.645817714536</v>
      </c>
      <c r="CA12" s="333">
        <f t="shared" si="20"/>
        <v>0</v>
      </c>
      <c r="CB12" s="333">
        <f t="shared" si="0"/>
        <v>5.8823529411764719E-2</v>
      </c>
      <c r="CC12" s="333">
        <f t="shared" si="1"/>
        <v>0.11764705882352944</v>
      </c>
      <c r="CD12" s="333">
        <f t="shared" si="2"/>
        <v>0.17647058823529416</v>
      </c>
      <c r="CE12" s="333">
        <f t="shared" si="3"/>
        <v>0.23529411764705888</v>
      </c>
      <c r="CF12" s="348">
        <f t="shared" si="4"/>
        <v>0.29411764705882348</v>
      </c>
      <c r="CG12" s="333">
        <f t="shared" si="5"/>
        <v>0.3529411764705882</v>
      </c>
      <c r="CH12" s="333">
        <f t="shared" si="6"/>
        <v>0.41176470588235292</v>
      </c>
      <c r="CI12" s="333">
        <f t="shared" si="7"/>
        <v>0.47058823529411764</v>
      </c>
      <c r="CJ12" s="333">
        <f t="shared" si="8"/>
        <v>0.52941176470588236</v>
      </c>
      <c r="CK12" s="333">
        <f t="shared" si="9"/>
        <v>0.58823529411764708</v>
      </c>
      <c r="CL12" s="333">
        <f t="shared" si="10"/>
        <v>0.64705882352941169</v>
      </c>
      <c r="CM12" s="333">
        <f t="shared" si="11"/>
        <v>0.70588235294117641</v>
      </c>
      <c r="CN12" s="333">
        <f t="shared" si="12"/>
        <v>0.76470588235294112</v>
      </c>
      <c r="CO12" s="333">
        <f t="shared" si="21"/>
        <v>0</v>
      </c>
      <c r="CP12" s="333">
        <f t="shared" si="13"/>
        <v>0.82352941176470584</v>
      </c>
      <c r="CQ12" s="333">
        <f t="shared" si="14"/>
        <v>0.88235294117647056</v>
      </c>
      <c r="CR12" s="333">
        <f t="shared" si="15"/>
        <v>0.94117647058823528</v>
      </c>
      <c r="CS12" s="333">
        <f t="shared" si="16"/>
        <v>1</v>
      </c>
      <c r="CT12" s="334">
        <f t="shared" si="22"/>
        <v>967295.55713017168</v>
      </c>
      <c r="CU12" s="334">
        <f t="shared" si="23"/>
        <v>793536.7407842034</v>
      </c>
      <c r="CV12" s="334">
        <f t="shared" si="17"/>
        <v>62783.61879718538</v>
      </c>
      <c r="CX12" s="220">
        <f t="shared" si="24"/>
        <v>173758.81634596828</v>
      </c>
      <c r="CY12" s="299">
        <f t="shared" si="18"/>
        <v>0</v>
      </c>
    </row>
    <row r="13" spans="1:103" ht="12.75" customHeight="1" thickBot="1" x14ac:dyDescent="0.35">
      <c r="A13" s="575"/>
      <c r="B13" s="294" t="s">
        <v>15</v>
      </c>
      <c r="C13" s="295"/>
      <c r="D13" s="296">
        <v>7366442.9851119583</v>
      </c>
      <c r="E13" s="296"/>
      <c r="F13" s="296">
        <v>3156823.1414713804</v>
      </c>
      <c r="G13" s="296">
        <v>266106.52899199998</v>
      </c>
      <c r="H13" s="296">
        <v>0</v>
      </c>
      <c r="I13" s="296"/>
      <c r="J13" s="296">
        <v>0</v>
      </c>
      <c r="K13" s="296">
        <v>107260.34</v>
      </c>
      <c r="L13" s="296">
        <v>0</v>
      </c>
      <c r="M13" s="296"/>
      <c r="N13" s="296">
        <v>0</v>
      </c>
      <c r="O13" s="296">
        <v>170017.04106100003</v>
      </c>
      <c r="P13" s="296">
        <v>0</v>
      </c>
      <c r="Q13" s="296"/>
      <c r="R13" s="296">
        <v>0</v>
      </c>
      <c r="S13" s="395">
        <v>141552.63</v>
      </c>
      <c r="T13" s="296">
        <v>0</v>
      </c>
      <c r="U13" s="296"/>
      <c r="V13" s="396">
        <v>0</v>
      </c>
      <c r="W13" s="296">
        <v>334246.14000000007</v>
      </c>
      <c r="X13" s="296">
        <v>0</v>
      </c>
      <c r="Y13" s="296"/>
      <c r="Z13" s="296">
        <v>0</v>
      </c>
      <c r="AA13" s="296">
        <v>167868.13</v>
      </c>
      <c r="AB13" s="296">
        <v>0</v>
      </c>
      <c r="AC13" s="296"/>
      <c r="AD13" s="296">
        <v>0</v>
      </c>
      <c r="AE13" s="296">
        <v>132511.28</v>
      </c>
      <c r="AF13" s="296">
        <v>0</v>
      </c>
      <c r="AG13" s="296"/>
      <c r="AH13" s="397">
        <v>0</v>
      </c>
      <c r="AI13" s="395">
        <v>323314.10387699993</v>
      </c>
      <c r="AJ13" s="296">
        <v>0</v>
      </c>
      <c r="AK13" s="296"/>
      <c r="AL13" s="396">
        <v>0</v>
      </c>
      <c r="AM13" s="296">
        <v>91335.93</v>
      </c>
      <c r="AN13" s="397">
        <v>0</v>
      </c>
      <c r="AO13" s="398"/>
      <c r="AP13" s="399"/>
      <c r="AQ13" s="400">
        <v>243514.73</v>
      </c>
      <c r="AR13" s="401">
        <v>0</v>
      </c>
      <c r="AS13" s="401"/>
      <c r="AT13" s="401"/>
      <c r="AU13" s="401">
        <v>0</v>
      </c>
      <c r="AV13" s="401">
        <v>0</v>
      </c>
      <c r="AW13" s="401"/>
      <c r="AX13" s="401"/>
      <c r="AY13" s="401">
        <v>56420.78</v>
      </c>
      <c r="AZ13" s="401">
        <v>0</v>
      </c>
      <c r="BA13" s="401"/>
      <c r="BB13" s="401"/>
      <c r="BC13" s="402">
        <f>+SUM(BC5:BC12)</f>
        <v>1275811.54</v>
      </c>
      <c r="BD13" s="401"/>
      <c r="BE13" s="401"/>
      <c r="BF13" s="401"/>
      <c r="BG13" s="401">
        <f>+SUM(BG5:BG12)</f>
        <v>940000</v>
      </c>
      <c r="BH13" s="401">
        <f>+SUM(BH5:BH12)</f>
        <v>0</v>
      </c>
      <c r="BI13" s="401">
        <f>+SUM(BI5:BI12)</f>
        <v>940000</v>
      </c>
      <c r="BJ13" s="401">
        <f t="shared" ref="BJ13:BU13" si="25">+SUM(BJ5:BJ12)</f>
        <v>917175.86</v>
      </c>
      <c r="BK13" s="401">
        <f t="shared" si="25"/>
        <v>0</v>
      </c>
      <c r="BL13" s="401"/>
      <c r="BM13" s="401">
        <f t="shared" si="25"/>
        <v>0</v>
      </c>
      <c r="BN13" s="401">
        <f t="shared" si="25"/>
        <v>1105575.6700000002</v>
      </c>
      <c r="BO13" s="401">
        <f t="shared" si="25"/>
        <v>0</v>
      </c>
      <c r="BP13" s="401"/>
      <c r="BQ13" s="401">
        <f t="shared" si="25"/>
        <v>0</v>
      </c>
      <c r="BR13" s="401">
        <f t="shared" si="25"/>
        <v>1102455.8699999996</v>
      </c>
      <c r="BS13" s="401">
        <f t="shared" si="25"/>
        <v>0</v>
      </c>
      <c r="BT13" s="401"/>
      <c r="BU13" s="401">
        <f t="shared" si="25"/>
        <v>0</v>
      </c>
      <c r="BV13" s="401">
        <f>SUM(BV5:BV12)</f>
        <v>1120073.2300000004</v>
      </c>
      <c r="BW13" s="296">
        <f>SUM(BW5:BW12)</f>
        <v>0</v>
      </c>
      <c r="BX13" s="401">
        <f>SUM(BX5:BX12)</f>
        <v>0</v>
      </c>
      <c r="BY13" s="401">
        <f>SUM(BY5:BY12)</f>
        <v>0</v>
      </c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8">
        <f>SUM(CT5:CT12)</f>
        <v>14939124.770460406</v>
      </c>
      <c r="CU13" s="298">
        <f>SUM(CU5:CU12)</f>
        <v>8438281.4269579668</v>
      </c>
      <c r="CV13" s="298">
        <f>SUM(CV5:CV12)</f>
        <v>4269250.8127172971</v>
      </c>
      <c r="CX13" s="220">
        <f t="shared" si="24"/>
        <v>6500843.3435024396</v>
      </c>
      <c r="CY13" s="299">
        <f t="shared" si="18"/>
        <v>0</v>
      </c>
    </row>
    <row r="14" spans="1:103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333"/>
      <c r="CA14" s="333"/>
      <c r="CB14" s="333"/>
      <c r="CC14" s="333"/>
      <c r="CD14" s="333"/>
      <c r="CE14" s="333"/>
      <c r="CF14" s="333"/>
      <c r="CG14" s="333"/>
      <c r="CH14" s="333"/>
      <c r="CI14" s="333"/>
      <c r="CJ14" s="333"/>
      <c r="CK14" s="333"/>
      <c r="CL14" s="333"/>
      <c r="CM14" s="333"/>
      <c r="CN14" s="333"/>
      <c r="CO14" s="333"/>
      <c r="CP14" s="333"/>
      <c r="CQ14" s="333"/>
      <c r="CR14" s="333"/>
      <c r="CS14" s="333"/>
      <c r="CT14" s="334"/>
      <c r="CU14" s="334"/>
      <c r="CV14" s="334"/>
      <c r="CX14" s="220">
        <f t="shared" si="24"/>
        <v>0</v>
      </c>
      <c r="CY14" s="299">
        <f t="shared" si="18"/>
        <v>0</v>
      </c>
    </row>
    <row r="15" spans="1:103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321">
        <f>IF(D15=0,0,2001-(D15-F15)*C15/D15)</f>
        <v>0</v>
      </c>
      <c r="CA15" s="333">
        <f>IF((1-($CT$2-$BZ15)/$C15)&gt;0,(1-($CT$2-$BZ15)/$C15),0)</f>
        <v>0</v>
      </c>
      <c r="CB15" s="333">
        <f>IF((1-($CT$2-G$2)/$C15)&gt;0,(1-($CT$2-G$2)/$C15),0)</f>
        <v>0.46666666666666667</v>
      </c>
      <c r="CC15" s="333">
        <f>IF((1-($CT$2-K$2)/$C15)&gt;0,(1-($CT$2-K$2)/$C15),0)</f>
        <v>0.5</v>
      </c>
      <c r="CD15" s="333">
        <f>IF((1-($CT$2-O$2)/$C15)&gt;0,(1-($CT$2-O$2)/$C15),0)</f>
        <v>0.53333333333333333</v>
      </c>
      <c r="CE15" s="333">
        <f>IF((1-($CT$2-S$2)/$C15)&gt;0,(1-($CT$2-S$2)/$C15),0)</f>
        <v>0.56666666666666665</v>
      </c>
      <c r="CF15" s="333">
        <f>IF((1-($CT$2-W$2)/$C15)&gt;0,(1-($CT$2-W$2)/$C15),0)</f>
        <v>0.6</v>
      </c>
      <c r="CG15" s="333">
        <f>IF((1-($CT$2-AA$2)/$C15)&gt;0,(1-($CT$2-AA$2)/$C15),0)</f>
        <v>0.6333333333333333</v>
      </c>
      <c r="CH15" s="333">
        <f>IF((1-($CT$2-AE$2)/$C15)&gt;0,(1-($CT$2-AE$2)/$C15),0)</f>
        <v>0.66666666666666674</v>
      </c>
      <c r="CI15" s="333">
        <f>IF((1-($CT$2-AI$2)/$C15)&gt;0,(1-($CT$2-AI$2)/$C15),0)</f>
        <v>0.7</v>
      </c>
      <c r="CJ15" s="333">
        <f>IF((1-($CT$2-AM$2)/$C15)&gt;0,(1-($CT$2-AM$2)/$C15),0)</f>
        <v>0.73333333333333339</v>
      </c>
      <c r="CK15" s="333">
        <f>IF((1-($CT$2-AQ$2)/$C15)&gt;0,(1-($CT$2-AQ$2)/$C15),0)</f>
        <v>0.76666666666666661</v>
      </c>
      <c r="CL15" s="333">
        <f>IF((1-($CT$2-AU$2)/$C15)&gt;0,(1-($CT$2-AU$2)/$C15),0)</f>
        <v>0.8</v>
      </c>
      <c r="CM15" s="333">
        <f>IF((1-($CT$2-AY$2)/$C15)&gt;0,(1-($CT$2-AY$2)/$C15),0)</f>
        <v>0.83333333333333337</v>
      </c>
      <c r="CN15" s="333">
        <f>IF((1-($CT$2-BC$2)/$C15)&gt;0,(1-($CT$2-BC$2)/$C15),0)</f>
        <v>0.8666666666666667</v>
      </c>
      <c r="CO15" s="333">
        <f>IF(BG15=0,0,1-($CT$2-(2014.5-(BG15-BI15)*C15/BG15))/C15)</f>
        <v>0</v>
      </c>
      <c r="CP15" s="333">
        <f>IF((1-($CT$2-BJ$2)/$C15)&gt;0,(1-($CT$2-BJ$2)/$C15),0)</f>
        <v>0.9</v>
      </c>
      <c r="CQ15" s="333">
        <f>IF((1-($CT$2-BN$2)/$C15)&gt;0,(1-($CT$2-BN$2)/$C15),0)</f>
        <v>0.93333333333333335</v>
      </c>
      <c r="CR15" s="333">
        <f>IF((1-($CT$2-BR$2)/$C15)&gt;0,(1-($CT$2-BR$2)/$C15),0)</f>
        <v>0.96666666666666667</v>
      </c>
      <c r="CS15" s="333">
        <f>IF((1-($CT$2-BV$2)/$C15)&gt;0,(1-($CT$2-BV$2)/$C15),0)</f>
        <v>1</v>
      </c>
      <c r="CT15" s="334">
        <f t="shared" ref="CT15:CT44" si="26"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</f>
        <v>2170367.98068809</v>
      </c>
      <c r="CU15" s="334">
        <f t="shared" ref="CU15:CU44" si="27">IF(CA15=0,D15-E15,0)+IF(CB15=0,(G15-H15-I15)*G$61,0)+IF(CC15=0,(K15-L15-M15)*K$61,0)+IF(CD15=0,(O15-P15-Q15)*O$61,0)+IF(CE15=0,(S15-T15-U15)*S$61,0)+IF(CF15=0,(W15-X15-Y15)*W$61,0)+IF(CG15=0,(AA15-AB15-AC15)*AA$61,0)+IF(CH15=0,(AE15-AF15-AG15)*AE$61,0)+IF(CI15=0,(AI15-AJ15-AK15)*AI$61,0)+IF(CJ15=0,(AM15-AN15-AO15)*AM$61,0)+IF(CK15=0,(AQ15-AR15-AS15)*$AQ$61,0)+IF(CL15=0,(AU15-AV15-AW15)*$AU$61,0)+IF(CM15=0,(AY15-AZ15-BA15)*$AY$61,0)++IF(CN15=0,(BC15-BD15-BE15)*$BC$61,0)+IF(CP15=0,(BJ15-BK15-BL15)*$BJ$61,0)+IF(CO15=0,BG15,0)+IF(CQ15=0,(BN15-BO15-BP15)*$BN$61,0)+IF(CR15=0,(BR15-BS15-BT15)*$BR$61,0)+IF(CS15=0,(BV15-BW15-BX15)*$BV$61,0)</f>
        <v>0</v>
      </c>
      <c r="CV15" s="334">
        <f>(D15-E15)*CA15+((G15-H15-(I15-J15))*G$61)*CB15+((K15-L15-(M15-N15))*K$61)*CC15+((O15-P15-(Q15-R15))*O$61)*CD15+((S15-T15-(U15-V15))*S$61)*CE15+((W15-X15-(Y15-Z15))*W$61)*CF15+((AA15-AB15-(AC15-AD15))*AA$61)*CG15+((AE15-AF15-(AG15-AH15))*AE$61)*CH15+((AI15-AJ15-(AK15-AL15))*AI$61)*CI15+((AM15-AN15-(AO15-AP15))*$AM$61)*CJ15+((AQ15-AR15-(AS15-AT15))*$AQ$61)*CK15+((AU15-AV15-(AW15-AX15))*$AU$61)*CL15+((AY15-AZ15-(BA15-BB15))*$AY$61)*CM15+((BC15-BD15-(BE15-BF15))*$BC$61)*CN15+((BJ15-BK15-(BL15-BM15))*$BJ$61)*CP15+(BG15-BH15)*CO15+((BN15-BO15-(BP15-BQ15))*$BN$61)*CQ15+((BR15-BS15-(BT15-BU15))*$BR$61)*CR15+((BV15-BW15-(BX15-BY15))*$BV$61)*CS15</f>
        <v>2025676.7819755506</v>
      </c>
      <c r="CX15" s="220">
        <f t="shared" si="24"/>
        <v>2170367.98068809</v>
      </c>
      <c r="CY15" s="299">
        <f t="shared" si="18"/>
        <v>0</v>
      </c>
    </row>
    <row r="16" spans="1:103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321">
        <f>IF(D16=0,0,2001-(D16-F16)*C16/D16)</f>
        <v>0</v>
      </c>
      <c r="CA16" s="333">
        <f>IF((1-($CT$2-$BZ16)/$C16)&gt;0,(1-($CT$2-$BZ16)/$C16),0)</f>
        <v>0</v>
      </c>
      <c r="CB16" s="333">
        <f>IF((1-($CT$2-G$2)/$C16)&gt;0,(1-($CT$2-G$2)/$C16),0)</f>
        <v>0.46666666666666667</v>
      </c>
      <c r="CC16" s="333">
        <f>IF((1-($CT$2-K$2)/$C16)&gt;0,(1-($CT$2-K$2)/$C16),0)</f>
        <v>0.5</v>
      </c>
      <c r="CD16" s="333">
        <f>IF((1-($CT$2-O$2)/$C16)&gt;0,(1-($CT$2-O$2)/$C16),0)</f>
        <v>0.53333333333333333</v>
      </c>
      <c r="CE16" s="333">
        <f>IF((1-($CT$2-S$2)/$C16)&gt;0,(1-($CT$2-S$2)/$C16),0)</f>
        <v>0.56666666666666665</v>
      </c>
      <c r="CF16" s="333">
        <f>IF((1-($CT$2-W$2)/$C16)&gt;0,(1-($CT$2-W$2)/$C16),0)</f>
        <v>0.6</v>
      </c>
      <c r="CG16" s="333">
        <f>IF((1-($CT$2-AA$2)/$C16)&gt;0,(1-($CT$2-AA$2)/$C16),0)</f>
        <v>0.6333333333333333</v>
      </c>
      <c r="CH16" s="333">
        <f>IF((1-($CT$2-AE$2)/$C16)&gt;0,(1-($CT$2-AE$2)/$C16),0)</f>
        <v>0.66666666666666674</v>
      </c>
      <c r="CI16" s="333">
        <f>IF((1-($CT$2-AI$2)/$C16)&gt;0,(1-($CT$2-AI$2)/$C16),0)</f>
        <v>0.7</v>
      </c>
      <c r="CJ16" s="333">
        <f>IF((1-($CT$2-AM$2)/$C16)&gt;0,(1-($CT$2-AM$2)/$C16),0)</f>
        <v>0.73333333333333339</v>
      </c>
      <c r="CK16" s="333">
        <f>IF((1-($CT$2-AQ$2)/$C16)&gt;0,(1-($CT$2-AQ$2)/$C16),0)</f>
        <v>0.76666666666666661</v>
      </c>
      <c r="CL16" s="333">
        <f>IF((1-($CT$2-AU$2)/$C16)&gt;0,(1-($CT$2-AU$2)/$C16),0)</f>
        <v>0.8</v>
      </c>
      <c r="CM16" s="333">
        <f>IF((1-($CT$2-AY$2)/$C16)&gt;0,(1-($CT$2-AY$2)/$C16),0)</f>
        <v>0.83333333333333337</v>
      </c>
      <c r="CN16" s="333">
        <f>IF((1-($CT$2-BC$2)/$C16)&gt;0,(1-($CT$2-BC$2)/$C16),0)</f>
        <v>0.8666666666666667</v>
      </c>
      <c r="CO16" s="333">
        <f>IF(BG16=0,0,1-($CT$2-(2014.5-(BG16-BI16)*C16/BG16))/C16)</f>
        <v>0</v>
      </c>
      <c r="CP16" s="333">
        <f>IF((1-($CT$2-BJ$2)/$C16)&gt;0,(1-($CT$2-BJ$2)/$C16),0)</f>
        <v>0.9</v>
      </c>
      <c r="CQ16" s="333">
        <f>IF((1-($CT$2-BN$2)/$C16)&gt;0,(1-($CT$2-BN$2)/$C16),0)</f>
        <v>0.93333333333333335</v>
      </c>
      <c r="CR16" s="333">
        <f>IF((1-($CT$2-BR$2)/$C16)&gt;0,(1-($CT$2-BR$2)/$C16),0)</f>
        <v>0.96666666666666667</v>
      </c>
      <c r="CS16" s="333">
        <f>IF((1-($CT$2-BV$2)/$C16)&gt;0,(1-($CT$2-BV$2)/$C16),0)</f>
        <v>1</v>
      </c>
      <c r="CT16" s="334">
        <f t="shared" si="26"/>
        <v>2088630.1130731143</v>
      </c>
      <c r="CU16" s="334">
        <f t="shared" si="27"/>
        <v>0</v>
      </c>
      <c r="CV16" s="334">
        <f>(D16-E16)*CA16+((G16-H16-(I16-J16))*G$61)*CB16+((K16-L16-(M16-N16))*K$61)*CC16+((O16-P16-(Q16-R16))*O$61)*CD16+((S16-T16-(U16-V16))*S$61)*CE16+((W16-X16-(Y16-Z16))*W$61)*CF16+((AA16-AB16-(AC16-AD16))*AA$61)*CG16+((AE16-AF16-(AG16-AH16))*AE$61)*CH16+((AI16-AJ16-(AK16-AL16))*AI$61)*CI16+((AM16-AN16-(AO16-AP16))*$AM$61)*CJ16+((AQ16-AR16-(AS16-AT16))*$AQ$61)*CK16+((AU16-AV16-(AW16-AX16))*$AU$61)*CL16+((AY16-AZ16-(BA16-BB16))*$AY$61)*CM16+((BC16-BD16-(BE16-BF16))*$BC$61)*CN16+((BJ16-BK16-(BL16-BM16))*$BJ$61)*CP16+(BG16-BH16)*CO16+((BN16-BO16-(BP16-BQ16))*$BN$61)*CQ16+((BR16-BS16-(BT16-BU16))*$BR$61)*CR16+((BV16-BW16-(BX16-BY16))*$BV$61)*CS16</f>
        <v>1949388.1055349067</v>
      </c>
      <c r="CX16" s="220">
        <f t="shared" si="24"/>
        <v>2088630.1130731143</v>
      </c>
      <c r="CY16" s="299">
        <f t="shared" si="18"/>
        <v>0</v>
      </c>
    </row>
    <row r="17" spans="1:103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321">
        <f>IF(D17=0,0,2001-(D17-F17)*C17/D17)</f>
        <v>0</v>
      </c>
      <c r="CA17" s="333">
        <f>IF((1-($CT$2-$BZ17)/$C17)&gt;0,(1-($CT$2-$BZ17)/$C17),0)</f>
        <v>0</v>
      </c>
      <c r="CB17" s="333">
        <f>IF((1-($CT$2-G$2)/$C17)&gt;0,(1-($CT$2-G$2)/$C17),0)</f>
        <v>0.46666666666666667</v>
      </c>
      <c r="CC17" s="333">
        <f>IF((1-($CT$2-K$2)/$C17)&gt;0,(1-($CT$2-K$2)/$C17),0)</f>
        <v>0.5</v>
      </c>
      <c r="CD17" s="333">
        <f>IF((1-($CT$2-O$2)/$C17)&gt;0,(1-($CT$2-O$2)/$C17),0)</f>
        <v>0.53333333333333333</v>
      </c>
      <c r="CE17" s="333">
        <f>IF((1-($CT$2-S$2)/$C17)&gt;0,(1-($CT$2-S$2)/$C17),0)</f>
        <v>0.56666666666666665</v>
      </c>
      <c r="CF17" s="333">
        <f>IF((1-($CT$2-W$2)/$C17)&gt;0,(1-($CT$2-W$2)/$C17),0)</f>
        <v>0.6</v>
      </c>
      <c r="CG17" s="333">
        <f>IF((1-($CT$2-AA$2)/$C17)&gt;0,(1-($CT$2-AA$2)/$C17),0)</f>
        <v>0.6333333333333333</v>
      </c>
      <c r="CH17" s="333">
        <f>IF((1-($CT$2-AE$2)/$C17)&gt;0,(1-($CT$2-AE$2)/$C17),0)</f>
        <v>0.66666666666666674</v>
      </c>
      <c r="CI17" s="333">
        <f>IF((1-($CT$2-AI$2)/$C17)&gt;0,(1-($CT$2-AI$2)/$C17),0)</f>
        <v>0.7</v>
      </c>
      <c r="CJ17" s="333">
        <f>IF((1-($CT$2-AM$2)/$C17)&gt;0,(1-($CT$2-AM$2)/$C17),0)</f>
        <v>0.73333333333333339</v>
      </c>
      <c r="CK17" s="333">
        <f>IF((1-($CT$2-AQ$2)/$C17)&gt;0,(1-($CT$2-AQ$2)/$C17),0)</f>
        <v>0.76666666666666661</v>
      </c>
      <c r="CL17" s="333">
        <f>IF((1-($CT$2-AU$2)/$C17)&gt;0,(1-($CT$2-AU$2)/$C17),0)</f>
        <v>0.8</v>
      </c>
      <c r="CM17" s="333">
        <f>IF((1-($CT$2-AY$2)/$C17)&gt;0,(1-($CT$2-AY$2)/$C17),0)</f>
        <v>0.83333333333333337</v>
      </c>
      <c r="CN17" s="333">
        <f>IF((1-($CT$2-BC$2)/$C17)&gt;0,(1-($CT$2-BC$2)/$C17),0)</f>
        <v>0.8666666666666667</v>
      </c>
      <c r="CO17" s="333">
        <f>IF(BG17=0,0,1-($CT$2-(2014.5-(BG17-BI17)*C17/BG17))/C17)</f>
        <v>0</v>
      </c>
      <c r="CP17" s="333">
        <f>IF((1-($CT$2-BJ$2)/$C17)&gt;0,(1-($CT$2-BJ$2)/$C17),0)</f>
        <v>0.9</v>
      </c>
      <c r="CQ17" s="333">
        <f>IF((1-($CT$2-BN$2)/$C17)&gt;0,(1-($CT$2-BN$2)/$C17),0)</f>
        <v>0.93333333333333335</v>
      </c>
      <c r="CR17" s="333">
        <f>IF((1-($CT$2-BR$2)/$C17)&gt;0,(1-($CT$2-BR$2)/$C17),0)</f>
        <v>0.96666666666666667</v>
      </c>
      <c r="CS17" s="333">
        <f>IF((1-($CT$2-BV$2)/$C17)&gt;0,(1-($CT$2-BV$2)/$C17),0)</f>
        <v>1</v>
      </c>
      <c r="CT17" s="334">
        <f t="shared" si="26"/>
        <v>7229414.3872795496</v>
      </c>
      <c r="CU17" s="334">
        <f t="shared" si="27"/>
        <v>0</v>
      </c>
      <c r="CV17" s="334">
        <f>(D17-E17)*CA17+((G17-H17-(I17-J17))*G$61)*CB17+((K17-L17-(M17-N17))*K$61)*CC17+((O17-P17-(Q17-R17))*O$61)*CD17+((S17-T17-(U17-V17))*S$61)*CE17+((W17-X17-(Y17-Z17))*W$61)*CF17+((AA17-AB17-(AC17-AD17))*AA$61)*CG17+((AE17-AF17-(AG17-AH17))*AE$61)*CH17+((AI17-AJ17-(AK17-AL17))*AI$61)*CI17+((AM17-AN17-(AO17-AP17))*$AM$61)*CJ17+((AQ17-AR17-(AS17-AT17))*$AQ$61)*CK17+((AU17-AV17-(AW17-AX17))*$AU$61)*CL17+((AY17-AZ17-(BA17-BB17))*$AY$61)*CM17+((BC17-BD17-(BE17-BF17))*$BC$61)*CN17+((BJ17-BK17-(BL17-BM17))*$BJ$61)*CP17+(BG17-BH17)*CO17+((BN17-BO17-(BP17-BQ17))*$BN$61)*CQ17+((BR17-BS17-(BT17-BU17))*$BR$61)*CR17+((BV17-BW17-(BX17-BY17))*$BV$61)*CS17</f>
        <v>6752711.0332991695</v>
      </c>
      <c r="CX17" s="220">
        <f t="shared" si="24"/>
        <v>7229414.3872795496</v>
      </c>
      <c r="CY17" s="299">
        <f t="shared" si="18"/>
        <v>0</v>
      </c>
    </row>
    <row r="18" spans="1:103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333"/>
      <c r="CA18" s="333"/>
      <c r="CB18" s="333"/>
      <c r="CC18" s="333"/>
      <c r="CD18" s="333"/>
      <c r="CE18" s="333"/>
      <c r="CF18" s="333"/>
      <c r="CG18" s="333"/>
      <c r="CH18" s="333"/>
      <c r="CI18" s="333"/>
      <c r="CJ18" s="333"/>
      <c r="CK18" s="333"/>
      <c r="CL18" s="333"/>
      <c r="CM18" s="333"/>
      <c r="CN18" s="333"/>
      <c r="CO18" s="333"/>
      <c r="CP18" s="333"/>
      <c r="CQ18" s="333"/>
      <c r="CR18" s="333"/>
      <c r="CS18" s="333"/>
      <c r="CT18" s="334">
        <f t="shared" si="26"/>
        <v>0</v>
      </c>
      <c r="CU18" s="334">
        <f t="shared" si="27"/>
        <v>0</v>
      </c>
      <c r="CV18" s="334"/>
      <c r="CX18" s="220">
        <f t="shared" si="24"/>
        <v>0</v>
      </c>
      <c r="CY18" s="299">
        <f t="shared" si="18"/>
        <v>0</v>
      </c>
    </row>
    <row r="19" spans="1:103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321">
        <f t="shared" ref="BZ19:BZ31" si="28">IF(D19=0,0,2001-(D19-F19)*C19/D19)</f>
        <v>1987.6168208038905</v>
      </c>
      <c r="CA19" s="333">
        <f t="shared" ref="CA19:CA31" si="29">IF((1-($CT$2-$BZ19)/$C19)&gt;0,(1-($CT$2-$BZ19)/$C19),0)</f>
        <v>0</v>
      </c>
      <c r="CB19" s="333">
        <f t="shared" ref="CB19:CB31" si="30">IF((1-($CT$2-G$2)/$C19)&gt;0,(1-($CT$2-G$2)/$C19),0)</f>
        <v>0.46666666666666667</v>
      </c>
      <c r="CC19" s="333">
        <f t="shared" ref="CC19:CC31" si="31">IF((1-($CT$2-K$2)/$C19)&gt;0,(1-($CT$2-K$2)/$C19),0)</f>
        <v>0.5</v>
      </c>
      <c r="CD19" s="333">
        <f t="shared" ref="CD19:CD31" si="32">IF((1-($CT$2-O$2)/$C19)&gt;0,(1-($CT$2-O$2)/$C19),0)</f>
        <v>0.53333333333333333</v>
      </c>
      <c r="CE19" s="333">
        <f t="shared" ref="CE19:CE31" si="33">IF((1-($CT$2-S$2)/$C19)&gt;0,(1-($CT$2-S$2)/$C19),0)</f>
        <v>0.56666666666666665</v>
      </c>
      <c r="CF19" s="333">
        <f t="shared" ref="CF19:CF31" si="34">IF((1-($CT$2-W$2)/$C19)&gt;0,(1-($CT$2-W$2)/$C19),0)</f>
        <v>0.6</v>
      </c>
      <c r="CG19" s="333">
        <f t="shared" ref="CG19:CG31" si="35">IF((1-($CT$2-AA$2)/$C19)&gt;0,(1-($CT$2-AA$2)/$C19),0)</f>
        <v>0.6333333333333333</v>
      </c>
      <c r="CH19" s="333">
        <f t="shared" ref="CH19:CH31" si="36">IF((1-($CT$2-AE$2)/$C19)&gt;0,(1-($CT$2-AE$2)/$C19),0)</f>
        <v>0.66666666666666674</v>
      </c>
      <c r="CI19" s="333">
        <f t="shared" ref="CI19:CI31" si="37">IF((1-($CT$2-AI$2)/$C19)&gt;0,(1-($CT$2-AI$2)/$C19),0)</f>
        <v>0.7</v>
      </c>
      <c r="CJ19" s="333">
        <f t="shared" ref="CJ19:CJ31" si="38">IF((1-($CT$2-AM$2)/$C19)&gt;0,(1-($CT$2-AM$2)/$C19),0)</f>
        <v>0.73333333333333339</v>
      </c>
      <c r="CK19" s="333">
        <f t="shared" ref="CK19:CK31" si="39">IF((1-($CT$2-AQ$2)/$C19)&gt;0,(1-($CT$2-AQ$2)/$C19),0)</f>
        <v>0.76666666666666661</v>
      </c>
      <c r="CL19" s="333">
        <f t="shared" ref="CL19:CL31" si="40">IF((1-($CT$2-AU$2)/$C19)&gt;0,(1-($CT$2-AU$2)/$C19),0)</f>
        <v>0.8</v>
      </c>
      <c r="CM19" s="333">
        <f t="shared" ref="CM19:CM31" si="41">IF((1-($CT$2-AY$2)/$C19)&gt;0,(1-($CT$2-AY$2)/$C19),0)</f>
        <v>0.83333333333333337</v>
      </c>
      <c r="CN19" s="333">
        <f t="shared" ref="CN19:CN31" si="42">IF((1-($CT$2-BC$2)/$C19)&gt;0,(1-($CT$2-BC$2)/$C19),0)</f>
        <v>0.8666666666666667</v>
      </c>
      <c r="CO19" s="333">
        <f t="shared" ref="CO19:CO31" si="43">IF(BG19=0,0,1-($CT$2-(2014.5-(BG19-BI19)*C19/BG19))/C19)</f>
        <v>0.55506997735956998</v>
      </c>
      <c r="CP19" s="333">
        <f t="shared" ref="CP19:CP31" si="44">IF((1-($CT$2-BJ$2)/$C19)&gt;0,(1-($CT$2-BJ$2)/$C19),0)</f>
        <v>0.9</v>
      </c>
      <c r="CQ19" s="333">
        <f t="shared" ref="CQ19:CQ31" si="45">IF((1-($CT$2-BN$2)/$C19)&gt;0,(1-($CT$2-BN$2)/$C19),0)</f>
        <v>0.93333333333333335</v>
      </c>
      <c r="CR19" s="333">
        <f t="shared" ref="CR19:CR31" si="46">IF((1-($CT$2-BR$2)/$C19)&gt;0,(1-($CT$2-BR$2)/$C19),0)</f>
        <v>0.96666666666666667</v>
      </c>
      <c r="CS19" s="333">
        <f t="shared" ref="CS19:CS31" si="47">IF((1-($CT$2-BV$2)/$C19)&gt;0,(1-($CT$2-BV$2)/$C19),0)</f>
        <v>1</v>
      </c>
      <c r="CT19" s="334">
        <f t="shared" si="26"/>
        <v>44218271.408515625</v>
      </c>
      <c r="CU19" s="334">
        <f t="shared" si="27"/>
        <v>20631115.423739497</v>
      </c>
      <c r="CV19" s="334">
        <f t="shared" ref="CV19:CV31" si="48">(D19-E19)*CA19+((G19-H19-(I19-J19))*G$61)*CB19+((K19-L19-(M19-N19))*K$61)*CC19+((O19-P19-(Q19-R19))*O$61)*CD19+((S19-T19-(U19-V19))*S$61)*CE19+((W19-X19-(Y19-Z19))*W$61)*CF19+((AA19-AB19-(AC19-AD19))*AA$61)*CG19+((AE19-AF19-(AG19-AH19))*AE$61)*CH19+((AI19-AJ19-(AK19-AL19))*AI$61)*CI19+((AM19-AN19-(AO19-AP19))*$AM$61)*CJ19+((AQ19-AR19-(AS19-AT19))*$AQ$61)*CK19+((AU19-AV19-(AW19-AX19))*$AU$61)*CL19+((AY19-AZ19-(BA19-BB19))*$AY$61)*CM19+((BC19-BD19-(BE19-BF19))*$BC$61)*CN19+((BJ19-BK19-(BL19-BM19))*$BJ$61)*CP19+(BG19-BH19)*CO19+((BN19-BO19-(BP19-BQ19))*$BN$61)*CQ19+((BR19-BS19-(BT19-BU19))*$BR$61)*CR19+((BV19-BW19-(BX19-BY19))*$BV$61)*CS19</f>
        <v>16595800.039003801</v>
      </c>
      <c r="CX19" s="220">
        <f t="shared" si="24"/>
        <v>23587155.984776128</v>
      </c>
      <c r="CY19" s="299">
        <f t="shared" si="18"/>
        <v>0</v>
      </c>
    </row>
    <row r="20" spans="1:103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321">
        <f t="shared" si="28"/>
        <v>1987.6165577130359</v>
      </c>
      <c r="CA20" s="333">
        <f t="shared" si="29"/>
        <v>0</v>
      </c>
      <c r="CB20" s="333">
        <f t="shared" si="30"/>
        <v>0.46666666666666667</v>
      </c>
      <c r="CC20" s="333">
        <f t="shared" si="31"/>
        <v>0.5</v>
      </c>
      <c r="CD20" s="333">
        <f t="shared" si="32"/>
        <v>0.53333333333333333</v>
      </c>
      <c r="CE20" s="333">
        <f t="shared" si="33"/>
        <v>0.56666666666666665</v>
      </c>
      <c r="CF20" s="333">
        <f t="shared" si="34"/>
        <v>0.6</v>
      </c>
      <c r="CG20" s="333">
        <f t="shared" si="35"/>
        <v>0.6333333333333333</v>
      </c>
      <c r="CH20" s="333">
        <f t="shared" si="36"/>
        <v>0.66666666666666674</v>
      </c>
      <c r="CI20" s="333">
        <f t="shared" si="37"/>
        <v>0.7</v>
      </c>
      <c r="CJ20" s="333">
        <f t="shared" si="38"/>
        <v>0.73333333333333339</v>
      </c>
      <c r="CK20" s="333">
        <f t="shared" si="39"/>
        <v>0.76666666666666661</v>
      </c>
      <c r="CL20" s="333">
        <f t="shared" si="40"/>
        <v>0.8</v>
      </c>
      <c r="CM20" s="333">
        <f t="shared" si="41"/>
        <v>0.83333333333333337</v>
      </c>
      <c r="CN20" s="333">
        <f t="shared" si="42"/>
        <v>0.8666666666666667</v>
      </c>
      <c r="CO20" s="333">
        <f t="shared" si="43"/>
        <v>0</v>
      </c>
      <c r="CP20" s="333">
        <f t="shared" si="44"/>
        <v>0.9</v>
      </c>
      <c r="CQ20" s="333">
        <f t="shared" si="45"/>
        <v>0.93333333333333335</v>
      </c>
      <c r="CR20" s="333">
        <f t="shared" si="46"/>
        <v>0.96666666666666667</v>
      </c>
      <c r="CS20" s="333">
        <f t="shared" si="47"/>
        <v>1</v>
      </c>
      <c r="CT20" s="334">
        <f t="shared" si="26"/>
        <v>29398087.0804189</v>
      </c>
      <c r="CU20" s="334">
        <f t="shared" si="27"/>
        <v>20319163.888809633</v>
      </c>
      <c r="CV20" s="334">
        <f t="shared" si="48"/>
        <v>7564522.214998275</v>
      </c>
      <c r="CX20" s="220">
        <f t="shared" si="24"/>
        <v>9078923.1916092671</v>
      </c>
      <c r="CY20" s="299">
        <f t="shared" si="18"/>
        <v>0</v>
      </c>
    </row>
    <row r="21" spans="1:103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321">
        <f t="shared" si="28"/>
        <v>1987.6167726485194</v>
      </c>
      <c r="CA21" s="333">
        <f t="shared" si="29"/>
        <v>0</v>
      </c>
      <c r="CB21" s="333">
        <f t="shared" si="30"/>
        <v>0.46666666666666667</v>
      </c>
      <c r="CC21" s="333">
        <f t="shared" si="31"/>
        <v>0.5</v>
      </c>
      <c r="CD21" s="333">
        <f t="shared" si="32"/>
        <v>0.53333333333333333</v>
      </c>
      <c r="CE21" s="333">
        <f t="shared" si="33"/>
        <v>0.56666666666666665</v>
      </c>
      <c r="CF21" s="333">
        <f t="shared" si="34"/>
        <v>0.6</v>
      </c>
      <c r="CG21" s="333">
        <f t="shared" si="35"/>
        <v>0.6333333333333333</v>
      </c>
      <c r="CH21" s="333">
        <f t="shared" si="36"/>
        <v>0.66666666666666674</v>
      </c>
      <c r="CI21" s="333">
        <f t="shared" si="37"/>
        <v>0.7</v>
      </c>
      <c r="CJ21" s="333">
        <f t="shared" si="38"/>
        <v>0.73333333333333339</v>
      </c>
      <c r="CK21" s="333">
        <f t="shared" si="39"/>
        <v>0.76666666666666661</v>
      </c>
      <c r="CL21" s="333">
        <f t="shared" si="40"/>
        <v>0.8</v>
      </c>
      <c r="CM21" s="333">
        <f t="shared" si="41"/>
        <v>0.83333333333333337</v>
      </c>
      <c r="CN21" s="333">
        <f t="shared" si="42"/>
        <v>0.8666666666666667</v>
      </c>
      <c r="CO21" s="333">
        <f t="shared" si="43"/>
        <v>0.58333340376395126</v>
      </c>
      <c r="CP21" s="333">
        <f t="shared" si="44"/>
        <v>0.9</v>
      </c>
      <c r="CQ21" s="333">
        <f t="shared" si="45"/>
        <v>0.93333333333333335</v>
      </c>
      <c r="CR21" s="333">
        <f t="shared" si="46"/>
        <v>0.96666666666666667</v>
      </c>
      <c r="CS21" s="333">
        <f t="shared" si="47"/>
        <v>1</v>
      </c>
      <c r="CT21" s="334">
        <f t="shared" si="26"/>
        <v>220572.67704669843</v>
      </c>
      <c r="CU21" s="334">
        <f t="shared" si="27"/>
        <v>149580.82704669842</v>
      </c>
      <c r="CV21" s="334">
        <f t="shared" si="48"/>
        <v>41411.917499999865</v>
      </c>
      <c r="CX21" s="220">
        <f t="shared" si="24"/>
        <v>70991.850000000006</v>
      </c>
      <c r="CY21" s="299">
        <f t="shared" si="18"/>
        <v>0</v>
      </c>
    </row>
    <row r="22" spans="1:103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321">
        <f t="shared" si="28"/>
        <v>0</v>
      </c>
      <c r="CA22" s="333">
        <f t="shared" si="29"/>
        <v>0</v>
      </c>
      <c r="CB22" s="333">
        <f t="shared" si="30"/>
        <v>0.46666666666666667</v>
      </c>
      <c r="CC22" s="333">
        <f t="shared" si="31"/>
        <v>0.5</v>
      </c>
      <c r="CD22" s="333">
        <f t="shared" si="32"/>
        <v>0.53333333333333333</v>
      </c>
      <c r="CE22" s="333">
        <f t="shared" si="33"/>
        <v>0.56666666666666665</v>
      </c>
      <c r="CF22" s="333">
        <f t="shared" si="34"/>
        <v>0.6</v>
      </c>
      <c r="CG22" s="333">
        <f t="shared" si="35"/>
        <v>0.6333333333333333</v>
      </c>
      <c r="CH22" s="333">
        <f t="shared" si="36"/>
        <v>0.66666666666666674</v>
      </c>
      <c r="CI22" s="333">
        <f t="shared" si="37"/>
        <v>0.7</v>
      </c>
      <c r="CJ22" s="333">
        <f t="shared" si="38"/>
        <v>0.73333333333333339</v>
      </c>
      <c r="CK22" s="333">
        <f t="shared" si="39"/>
        <v>0.76666666666666661</v>
      </c>
      <c r="CL22" s="333">
        <f t="shared" si="40"/>
        <v>0.8</v>
      </c>
      <c r="CM22" s="333">
        <f t="shared" si="41"/>
        <v>0.83333333333333337</v>
      </c>
      <c r="CN22" s="333">
        <f t="shared" si="42"/>
        <v>0.8666666666666667</v>
      </c>
      <c r="CO22" s="333">
        <f t="shared" si="43"/>
        <v>0</v>
      </c>
      <c r="CP22" s="333">
        <f t="shared" si="44"/>
        <v>0.9</v>
      </c>
      <c r="CQ22" s="333">
        <f t="shared" si="45"/>
        <v>0.93333333333333335</v>
      </c>
      <c r="CR22" s="333">
        <f t="shared" si="46"/>
        <v>0.96666666666666667</v>
      </c>
      <c r="CS22" s="333">
        <f t="shared" si="47"/>
        <v>1</v>
      </c>
      <c r="CT22" s="334">
        <f t="shared" si="26"/>
        <v>2956970.5962841674</v>
      </c>
      <c r="CU22" s="334">
        <f t="shared" si="27"/>
        <v>0</v>
      </c>
      <c r="CV22" s="334">
        <f t="shared" si="48"/>
        <v>2658606.9255229468</v>
      </c>
      <c r="CX22" s="220">
        <f t="shared" si="24"/>
        <v>2956970.5962841674</v>
      </c>
      <c r="CY22" s="299">
        <f t="shared" si="18"/>
        <v>0</v>
      </c>
    </row>
    <row r="23" spans="1:103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321">
        <f t="shared" si="28"/>
        <v>0</v>
      </c>
      <c r="CA23" s="333">
        <f t="shared" si="29"/>
        <v>0</v>
      </c>
      <c r="CB23" s="333">
        <f t="shared" si="30"/>
        <v>0.46666666666666667</v>
      </c>
      <c r="CC23" s="333">
        <f t="shared" si="31"/>
        <v>0.5</v>
      </c>
      <c r="CD23" s="333">
        <f t="shared" si="32"/>
        <v>0.53333333333333333</v>
      </c>
      <c r="CE23" s="333">
        <f t="shared" si="33"/>
        <v>0.56666666666666665</v>
      </c>
      <c r="CF23" s="333">
        <f t="shared" si="34"/>
        <v>0.6</v>
      </c>
      <c r="CG23" s="333">
        <f t="shared" si="35"/>
        <v>0.6333333333333333</v>
      </c>
      <c r="CH23" s="333">
        <f t="shared" si="36"/>
        <v>0.66666666666666674</v>
      </c>
      <c r="CI23" s="333">
        <f t="shared" si="37"/>
        <v>0.7</v>
      </c>
      <c r="CJ23" s="333">
        <f t="shared" si="38"/>
        <v>0.73333333333333339</v>
      </c>
      <c r="CK23" s="333">
        <f t="shared" si="39"/>
        <v>0.76666666666666661</v>
      </c>
      <c r="CL23" s="333">
        <f t="shared" si="40"/>
        <v>0.8</v>
      </c>
      <c r="CM23" s="333">
        <f t="shared" si="41"/>
        <v>0.83333333333333337</v>
      </c>
      <c r="CN23" s="333">
        <f t="shared" si="42"/>
        <v>0.8666666666666667</v>
      </c>
      <c r="CO23" s="333">
        <f t="shared" si="43"/>
        <v>0</v>
      </c>
      <c r="CP23" s="333">
        <f t="shared" si="44"/>
        <v>0.9</v>
      </c>
      <c r="CQ23" s="333">
        <f t="shared" si="45"/>
        <v>0.93333333333333335</v>
      </c>
      <c r="CR23" s="333">
        <f t="shared" si="46"/>
        <v>0.96666666666666667</v>
      </c>
      <c r="CS23" s="333">
        <f t="shared" si="47"/>
        <v>1</v>
      </c>
      <c r="CT23" s="334">
        <f t="shared" si="26"/>
        <v>2076101.7663833345</v>
      </c>
      <c r="CU23" s="334">
        <f t="shared" si="27"/>
        <v>0</v>
      </c>
      <c r="CV23" s="334">
        <f t="shared" si="48"/>
        <v>1741522.8945176648</v>
      </c>
      <c r="CX23" s="220">
        <f t="shared" si="24"/>
        <v>2076101.7663833345</v>
      </c>
      <c r="CY23" s="299">
        <f t="shared" si="18"/>
        <v>0</v>
      </c>
    </row>
    <row r="24" spans="1:103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321">
        <f t="shared" si="28"/>
        <v>0</v>
      </c>
      <c r="CA24" s="333">
        <f t="shared" si="29"/>
        <v>0</v>
      </c>
      <c r="CB24" s="333">
        <f t="shared" si="30"/>
        <v>0.46666666666666667</v>
      </c>
      <c r="CC24" s="333">
        <f t="shared" si="31"/>
        <v>0.5</v>
      </c>
      <c r="CD24" s="333">
        <f t="shared" si="32"/>
        <v>0.53333333333333333</v>
      </c>
      <c r="CE24" s="333">
        <f t="shared" si="33"/>
        <v>0.56666666666666665</v>
      </c>
      <c r="CF24" s="333">
        <f t="shared" si="34"/>
        <v>0.6</v>
      </c>
      <c r="CG24" s="333">
        <f t="shared" si="35"/>
        <v>0.6333333333333333</v>
      </c>
      <c r="CH24" s="333">
        <f t="shared" si="36"/>
        <v>0.66666666666666674</v>
      </c>
      <c r="CI24" s="333">
        <f t="shared" si="37"/>
        <v>0.7</v>
      </c>
      <c r="CJ24" s="333">
        <f t="shared" si="38"/>
        <v>0.73333333333333339</v>
      </c>
      <c r="CK24" s="333">
        <f t="shared" si="39"/>
        <v>0.76666666666666661</v>
      </c>
      <c r="CL24" s="333">
        <f t="shared" si="40"/>
        <v>0.8</v>
      </c>
      <c r="CM24" s="333">
        <f t="shared" si="41"/>
        <v>0.83333333333333337</v>
      </c>
      <c r="CN24" s="333">
        <f t="shared" si="42"/>
        <v>0.8666666666666667</v>
      </c>
      <c r="CO24" s="333">
        <f t="shared" si="43"/>
        <v>0</v>
      </c>
      <c r="CP24" s="333">
        <f t="shared" si="44"/>
        <v>0.9</v>
      </c>
      <c r="CQ24" s="333">
        <f t="shared" si="45"/>
        <v>0.93333333333333335</v>
      </c>
      <c r="CR24" s="333">
        <f t="shared" si="46"/>
        <v>0.96666666666666667</v>
      </c>
      <c r="CS24" s="333">
        <f t="shared" si="47"/>
        <v>1</v>
      </c>
      <c r="CT24" s="334">
        <f t="shared" si="26"/>
        <v>0</v>
      </c>
      <c r="CU24" s="334">
        <f t="shared" si="27"/>
        <v>0</v>
      </c>
      <c r="CV24" s="334">
        <f t="shared" si="48"/>
        <v>0</v>
      </c>
      <c r="CX24" s="220">
        <f t="shared" si="24"/>
        <v>0</v>
      </c>
      <c r="CY24" s="299">
        <f t="shared" si="18"/>
        <v>0</v>
      </c>
    </row>
    <row r="25" spans="1:103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321">
        <f t="shared" si="28"/>
        <v>1983.0579643777135</v>
      </c>
      <c r="CA25" s="333">
        <f t="shared" si="29"/>
        <v>0</v>
      </c>
      <c r="CB25" s="333">
        <f t="shared" si="30"/>
        <v>0.46666666666666667</v>
      </c>
      <c r="CC25" s="333">
        <f t="shared" si="31"/>
        <v>0.5</v>
      </c>
      <c r="CD25" s="333">
        <f t="shared" si="32"/>
        <v>0.53333333333333333</v>
      </c>
      <c r="CE25" s="333">
        <f t="shared" si="33"/>
        <v>0.56666666666666665</v>
      </c>
      <c r="CF25" s="333">
        <f t="shared" si="34"/>
        <v>0.6</v>
      </c>
      <c r="CG25" s="333">
        <f t="shared" si="35"/>
        <v>0.6333333333333333</v>
      </c>
      <c r="CH25" s="333">
        <f t="shared" si="36"/>
        <v>0.66666666666666674</v>
      </c>
      <c r="CI25" s="333">
        <f t="shared" si="37"/>
        <v>0.7</v>
      </c>
      <c r="CJ25" s="333">
        <f t="shared" si="38"/>
        <v>0.73333333333333339</v>
      </c>
      <c r="CK25" s="333">
        <f t="shared" si="39"/>
        <v>0.76666666666666661</v>
      </c>
      <c r="CL25" s="333">
        <f t="shared" si="40"/>
        <v>0.8</v>
      </c>
      <c r="CM25" s="333">
        <f t="shared" si="41"/>
        <v>0.83333333333333337</v>
      </c>
      <c r="CN25" s="333">
        <f t="shared" si="42"/>
        <v>0.8666666666666667</v>
      </c>
      <c r="CO25" s="333">
        <f t="shared" si="43"/>
        <v>0.43576094194191528</v>
      </c>
      <c r="CP25" s="333">
        <f t="shared" si="44"/>
        <v>0.9</v>
      </c>
      <c r="CQ25" s="333">
        <f t="shared" si="45"/>
        <v>0.93333333333333335</v>
      </c>
      <c r="CR25" s="333">
        <f t="shared" si="46"/>
        <v>0.96666666666666667</v>
      </c>
      <c r="CS25" s="333">
        <f t="shared" si="47"/>
        <v>1</v>
      </c>
      <c r="CT25" s="334">
        <f t="shared" si="26"/>
        <v>10018235.929664124</v>
      </c>
      <c r="CU25" s="334">
        <f t="shared" si="27"/>
        <v>5501374.3444445133</v>
      </c>
      <c r="CV25" s="334">
        <f t="shared" si="48"/>
        <v>3515848.7897924287</v>
      </c>
      <c r="CX25" s="220">
        <f t="shared" si="24"/>
        <v>4516861.5852196105</v>
      </c>
      <c r="CY25" s="299">
        <f t="shared" si="18"/>
        <v>0</v>
      </c>
    </row>
    <row r="26" spans="1:103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321">
        <f t="shared" si="28"/>
        <v>0</v>
      </c>
      <c r="CA26" s="333">
        <f t="shared" si="29"/>
        <v>0</v>
      </c>
      <c r="CB26" s="333">
        <f t="shared" si="30"/>
        <v>0.46666666666666667</v>
      </c>
      <c r="CC26" s="333">
        <f t="shared" si="31"/>
        <v>0.5</v>
      </c>
      <c r="CD26" s="333">
        <f t="shared" si="32"/>
        <v>0.53333333333333333</v>
      </c>
      <c r="CE26" s="333">
        <f t="shared" si="33"/>
        <v>0.56666666666666665</v>
      </c>
      <c r="CF26" s="333">
        <f t="shared" si="34"/>
        <v>0.6</v>
      </c>
      <c r="CG26" s="333">
        <f t="shared" si="35"/>
        <v>0.6333333333333333</v>
      </c>
      <c r="CH26" s="333">
        <f t="shared" si="36"/>
        <v>0.66666666666666674</v>
      </c>
      <c r="CI26" s="333">
        <f t="shared" si="37"/>
        <v>0.7</v>
      </c>
      <c r="CJ26" s="333">
        <f t="shared" si="38"/>
        <v>0.73333333333333339</v>
      </c>
      <c r="CK26" s="333">
        <f t="shared" si="39"/>
        <v>0.76666666666666661</v>
      </c>
      <c r="CL26" s="333">
        <f t="shared" si="40"/>
        <v>0.8</v>
      </c>
      <c r="CM26" s="333">
        <f t="shared" si="41"/>
        <v>0.83333333333333337</v>
      </c>
      <c r="CN26" s="333">
        <f t="shared" si="42"/>
        <v>0.8666666666666667</v>
      </c>
      <c r="CO26" s="333">
        <f t="shared" si="43"/>
        <v>0.63745741249573107</v>
      </c>
      <c r="CP26" s="333">
        <f t="shared" si="44"/>
        <v>0.9</v>
      </c>
      <c r="CQ26" s="333">
        <f t="shared" si="45"/>
        <v>0.93333333333333335</v>
      </c>
      <c r="CR26" s="333">
        <f t="shared" si="46"/>
        <v>0.96666666666666667</v>
      </c>
      <c r="CS26" s="333">
        <f t="shared" si="47"/>
        <v>1</v>
      </c>
      <c r="CT26" s="334">
        <f t="shared" si="26"/>
        <v>2503042.5259680757</v>
      </c>
      <c r="CU26" s="334">
        <f t="shared" si="27"/>
        <v>0</v>
      </c>
      <c r="CV26" s="334">
        <f t="shared" si="48"/>
        <v>0</v>
      </c>
      <c r="CX26" s="220">
        <f t="shared" si="24"/>
        <v>2503042.5259680757</v>
      </c>
      <c r="CY26" s="299">
        <f>+M26+Q26+U26+Y26+AC26+AG26+AK26+AO26+AS26++AW26+BA26+BE26+BL26+BP26+BT26+BX26</f>
        <v>0</v>
      </c>
    </row>
    <row r="27" spans="1:103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321">
        <f t="shared" si="28"/>
        <v>0</v>
      </c>
      <c r="CA27" s="333">
        <f t="shared" si="29"/>
        <v>0</v>
      </c>
      <c r="CB27" s="333">
        <f t="shared" si="30"/>
        <v>0.46666666666666667</v>
      </c>
      <c r="CC27" s="333">
        <f t="shared" si="31"/>
        <v>0.5</v>
      </c>
      <c r="CD27" s="333">
        <f t="shared" si="32"/>
        <v>0.53333333333333333</v>
      </c>
      <c r="CE27" s="333">
        <f t="shared" si="33"/>
        <v>0.56666666666666665</v>
      </c>
      <c r="CF27" s="333">
        <f t="shared" si="34"/>
        <v>0.6</v>
      </c>
      <c r="CG27" s="333">
        <f t="shared" si="35"/>
        <v>0.6333333333333333</v>
      </c>
      <c r="CH27" s="333">
        <f t="shared" si="36"/>
        <v>0.66666666666666674</v>
      </c>
      <c r="CI27" s="333">
        <f t="shared" si="37"/>
        <v>0.7</v>
      </c>
      <c r="CJ27" s="333">
        <f t="shared" si="38"/>
        <v>0.73333333333333339</v>
      </c>
      <c r="CK27" s="333">
        <f t="shared" si="39"/>
        <v>0.76666666666666661</v>
      </c>
      <c r="CL27" s="333">
        <f t="shared" si="40"/>
        <v>0.8</v>
      </c>
      <c r="CM27" s="333">
        <f t="shared" si="41"/>
        <v>0.83333333333333337</v>
      </c>
      <c r="CN27" s="333">
        <f t="shared" si="42"/>
        <v>0.8666666666666667</v>
      </c>
      <c r="CO27" s="333">
        <f t="shared" si="43"/>
        <v>0</v>
      </c>
      <c r="CP27" s="333">
        <f t="shared" si="44"/>
        <v>0.9</v>
      </c>
      <c r="CQ27" s="333">
        <f t="shared" si="45"/>
        <v>0.93333333333333335</v>
      </c>
      <c r="CR27" s="333">
        <f t="shared" si="46"/>
        <v>0.96666666666666667</v>
      </c>
      <c r="CS27" s="333">
        <f t="shared" si="47"/>
        <v>1</v>
      </c>
      <c r="CT27" s="334">
        <f t="shared" si="26"/>
        <v>0</v>
      </c>
      <c r="CU27" s="334">
        <f t="shared" si="27"/>
        <v>0</v>
      </c>
      <c r="CV27" s="334">
        <f t="shared" si="48"/>
        <v>0</v>
      </c>
      <c r="CX27" s="220">
        <f t="shared" si="24"/>
        <v>0</v>
      </c>
      <c r="CY27" s="299">
        <f t="shared" ref="CY27:CY59" si="49">+M27+Q27+U27+Y27+AC27+AG27+AK27+AO27+AS27++AW27+BA27+BE27+BL27+BP27+BT27+BX27</f>
        <v>0</v>
      </c>
    </row>
    <row r="28" spans="1:103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321">
        <f t="shared" si="28"/>
        <v>0</v>
      </c>
      <c r="CA28" s="333">
        <f t="shared" si="29"/>
        <v>0</v>
      </c>
      <c r="CB28" s="333">
        <f t="shared" si="30"/>
        <v>0.46666666666666667</v>
      </c>
      <c r="CC28" s="333">
        <f t="shared" si="31"/>
        <v>0.5</v>
      </c>
      <c r="CD28" s="333">
        <f t="shared" si="32"/>
        <v>0.53333333333333333</v>
      </c>
      <c r="CE28" s="333">
        <f t="shared" si="33"/>
        <v>0.56666666666666665</v>
      </c>
      <c r="CF28" s="333">
        <f t="shared" si="34"/>
        <v>0.6</v>
      </c>
      <c r="CG28" s="333">
        <f t="shared" si="35"/>
        <v>0.6333333333333333</v>
      </c>
      <c r="CH28" s="333">
        <f t="shared" si="36"/>
        <v>0.66666666666666674</v>
      </c>
      <c r="CI28" s="333">
        <f t="shared" si="37"/>
        <v>0.7</v>
      </c>
      <c r="CJ28" s="333">
        <f t="shared" si="38"/>
        <v>0.73333333333333339</v>
      </c>
      <c r="CK28" s="333">
        <f t="shared" si="39"/>
        <v>0.76666666666666661</v>
      </c>
      <c r="CL28" s="333">
        <f t="shared" si="40"/>
        <v>0.8</v>
      </c>
      <c r="CM28" s="333">
        <f t="shared" si="41"/>
        <v>0.83333333333333337</v>
      </c>
      <c r="CN28" s="333">
        <f t="shared" si="42"/>
        <v>0.8666666666666667</v>
      </c>
      <c r="CO28" s="333">
        <f t="shared" si="43"/>
        <v>0</v>
      </c>
      <c r="CP28" s="333">
        <f t="shared" si="44"/>
        <v>0.9</v>
      </c>
      <c r="CQ28" s="333">
        <f t="shared" si="45"/>
        <v>0.93333333333333335</v>
      </c>
      <c r="CR28" s="333">
        <f t="shared" si="46"/>
        <v>0.96666666666666667</v>
      </c>
      <c r="CS28" s="333">
        <f t="shared" si="47"/>
        <v>1</v>
      </c>
      <c r="CT28" s="334">
        <f t="shared" si="26"/>
        <v>12610.54608680449</v>
      </c>
      <c r="CU28" s="334">
        <f t="shared" si="27"/>
        <v>0</v>
      </c>
      <c r="CV28" s="334">
        <f t="shared" si="48"/>
        <v>10508.78840567041</v>
      </c>
      <c r="CX28" s="220">
        <f t="shared" si="24"/>
        <v>12610.54608680449</v>
      </c>
      <c r="CY28" s="299">
        <f t="shared" si="49"/>
        <v>0</v>
      </c>
    </row>
    <row r="29" spans="1:103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321">
        <f t="shared" si="28"/>
        <v>1990.0430180109104</v>
      </c>
      <c r="CA29" s="333">
        <f t="shared" si="29"/>
        <v>6.8100600363679153E-2</v>
      </c>
      <c r="CB29" s="333">
        <f t="shared" si="30"/>
        <v>0.46666666666666667</v>
      </c>
      <c r="CC29" s="333">
        <f t="shared" si="31"/>
        <v>0.5</v>
      </c>
      <c r="CD29" s="333">
        <f t="shared" si="32"/>
        <v>0.53333333333333333</v>
      </c>
      <c r="CE29" s="333">
        <f t="shared" si="33"/>
        <v>0.56666666666666665</v>
      </c>
      <c r="CF29" s="333">
        <f t="shared" si="34"/>
        <v>0.6</v>
      </c>
      <c r="CG29" s="333">
        <f t="shared" si="35"/>
        <v>0.6333333333333333</v>
      </c>
      <c r="CH29" s="333">
        <f t="shared" si="36"/>
        <v>0.66666666666666674</v>
      </c>
      <c r="CI29" s="333">
        <f t="shared" si="37"/>
        <v>0.7</v>
      </c>
      <c r="CJ29" s="333">
        <f t="shared" si="38"/>
        <v>0.73333333333333339</v>
      </c>
      <c r="CK29" s="333">
        <f t="shared" si="39"/>
        <v>0.76666666666666661</v>
      </c>
      <c r="CL29" s="333">
        <f t="shared" si="40"/>
        <v>0.8</v>
      </c>
      <c r="CM29" s="333">
        <f t="shared" si="41"/>
        <v>0.83333333333333337</v>
      </c>
      <c r="CN29" s="333">
        <f t="shared" si="42"/>
        <v>0.8666666666666667</v>
      </c>
      <c r="CO29" s="333">
        <f t="shared" si="43"/>
        <v>0.63745741249573107</v>
      </c>
      <c r="CP29" s="333">
        <f t="shared" si="44"/>
        <v>0.9</v>
      </c>
      <c r="CQ29" s="333">
        <f t="shared" si="45"/>
        <v>0.93333333333333335</v>
      </c>
      <c r="CR29" s="333">
        <f t="shared" si="46"/>
        <v>0.96666666666666667</v>
      </c>
      <c r="CS29" s="333">
        <f t="shared" si="47"/>
        <v>1</v>
      </c>
      <c r="CT29" s="334">
        <f t="shared" si="26"/>
        <v>18502359.968988799</v>
      </c>
      <c r="CU29" s="334">
        <f t="shared" si="27"/>
        <v>0</v>
      </c>
      <c r="CV29" s="334">
        <f t="shared" si="48"/>
        <v>12383896.502381366</v>
      </c>
      <c r="CX29" s="220">
        <f t="shared" si="24"/>
        <v>18502359.968988799</v>
      </c>
      <c r="CY29" s="299">
        <f t="shared" si="49"/>
        <v>0</v>
      </c>
    </row>
    <row r="30" spans="1:103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321">
        <f t="shared" si="28"/>
        <v>1990.0418779969095</v>
      </c>
      <c r="CA30" s="333">
        <f t="shared" si="29"/>
        <v>6.8062599896984488E-2</v>
      </c>
      <c r="CB30" s="333">
        <f t="shared" si="30"/>
        <v>0.46666666666666667</v>
      </c>
      <c r="CC30" s="333">
        <f t="shared" si="31"/>
        <v>0.5</v>
      </c>
      <c r="CD30" s="333">
        <f t="shared" si="32"/>
        <v>0.53333333333333333</v>
      </c>
      <c r="CE30" s="333">
        <f t="shared" si="33"/>
        <v>0.56666666666666665</v>
      </c>
      <c r="CF30" s="333">
        <f t="shared" si="34"/>
        <v>0.6</v>
      </c>
      <c r="CG30" s="333">
        <f t="shared" si="35"/>
        <v>0.6333333333333333</v>
      </c>
      <c r="CH30" s="333">
        <f t="shared" si="36"/>
        <v>0.66666666666666674</v>
      </c>
      <c r="CI30" s="333">
        <f t="shared" si="37"/>
        <v>0.7</v>
      </c>
      <c r="CJ30" s="333">
        <f t="shared" si="38"/>
        <v>0.73333333333333339</v>
      </c>
      <c r="CK30" s="333">
        <f t="shared" si="39"/>
        <v>0.76666666666666661</v>
      </c>
      <c r="CL30" s="333">
        <f t="shared" si="40"/>
        <v>0.8</v>
      </c>
      <c r="CM30" s="333">
        <f t="shared" si="41"/>
        <v>0.83333333333333337</v>
      </c>
      <c r="CN30" s="333">
        <f t="shared" si="42"/>
        <v>0.8666666666666667</v>
      </c>
      <c r="CO30" s="333">
        <f t="shared" si="43"/>
        <v>0</v>
      </c>
      <c r="CP30" s="333">
        <f t="shared" si="44"/>
        <v>0.9</v>
      </c>
      <c r="CQ30" s="333">
        <f t="shared" si="45"/>
        <v>0.93333333333333335</v>
      </c>
      <c r="CR30" s="333">
        <f t="shared" si="46"/>
        <v>0.96666666666666667</v>
      </c>
      <c r="CS30" s="333">
        <f t="shared" si="47"/>
        <v>1</v>
      </c>
      <c r="CT30" s="334">
        <f t="shared" si="26"/>
        <v>12048800.590768239</v>
      </c>
      <c r="CU30" s="334">
        <f t="shared" si="27"/>
        <v>0</v>
      </c>
      <c r="CV30" s="334">
        <f t="shared" si="48"/>
        <v>7245357.1982144127</v>
      </c>
      <c r="CX30" s="220">
        <f t="shared" si="24"/>
        <v>12048800.590768239</v>
      </c>
      <c r="CY30" s="299">
        <f t="shared" si="49"/>
        <v>0</v>
      </c>
    </row>
    <row r="31" spans="1:103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321">
        <f t="shared" si="28"/>
        <v>0</v>
      </c>
      <c r="CA31" s="333">
        <f t="shared" si="29"/>
        <v>0</v>
      </c>
      <c r="CB31" s="333">
        <f t="shared" si="30"/>
        <v>0.46666666666666667</v>
      </c>
      <c r="CC31" s="333">
        <f t="shared" si="31"/>
        <v>0.5</v>
      </c>
      <c r="CD31" s="333">
        <f t="shared" si="32"/>
        <v>0.53333333333333333</v>
      </c>
      <c r="CE31" s="333">
        <f t="shared" si="33"/>
        <v>0.56666666666666665</v>
      </c>
      <c r="CF31" s="333">
        <f t="shared" si="34"/>
        <v>0.6</v>
      </c>
      <c r="CG31" s="333">
        <f t="shared" si="35"/>
        <v>0.6333333333333333</v>
      </c>
      <c r="CH31" s="333">
        <f t="shared" si="36"/>
        <v>0.66666666666666674</v>
      </c>
      <c r="CI31" s="333">
        <f t="shared" si="37"/>
        <v>0.7</v>
      </c>
      <c r="CJ31" s="333">
        <f t="shared" si="38"/>
        <v>0.73333333333333339</v>
      </c>
      <c r="CK31" s="333">
        <f t="shared" si="39"/>
        <v>0.76666666666666661</v>
      </c>
      <c r="CL31" s="333">
        <f t="shared" si="40"/>
        <v>0.8</v>
      </c>
      <c r="CM31" s="333">
        <f t="shared" si="41"/>
        <v>0.83333333333333337</v>
      </c>
      <c r="CN31" s="333">
        <f t="shared" si="42"/>
        <v>0.8666666666666667</v>
      </c>
      <c r="CO31" s="333">
        <f t="shared" si="43"/>
        <v>0</v>
      </c>
      <c r="CP31" s="333">
        <f t="shared" si="44"/>
        <v>0.9</v>
      </c>
      <c r="CQ31" s="333">
        <f t="shared" si="45"/>
        <v>0.93333333333333335</v>
      </c>
      <c r="CR31" s="333">
        <f t="shared" si="46"/>
        <v>0.96666666666666667</v>
      </c>
      <c r="CS31" s="333">
        <f t="shared" si="47"/>
        <v>1</v>
      </c>
      <c r="CT31" s="334">
        <f t="shared" si="26"/>
        <v>837779.53492671531</v>
      </c>
      <c r="CU31" s="334">
        <f t="shared" si="27"/>
        <v>0</v>
      </c>
      <c r="CV31" s="334">
        <f t="shared" si="48"/>
        <v>789507.43105642824</v>
      </c>
      <c r="CX31" s="220">
        <f t="shared" si="24"/>
        <v>837779.53492671531</v>
      </c>
      <c r="CY31" s="299">
        <f t="shared" si="49"/>
        <v>0</v>
      </c>
    </row>
    <row r="32" spans="1:103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333"/>
      <c r="CA32" s="333"/>
      <c r="CB32" s="333"/>
      <c r="CC32" s="333"/>
      <c r="CD32" s="333"/>
      <c r="CE32" s="333"/>
      <c r="CF32" s="333"/>
      <c r="CG32" s="333"/>
      <c r="CH32" s="333"/>
      <c r="CI32" s="333"/>
      <c r="CJ32" s="333"/>
      <c r="CK32" s="333"/>
      <c r="CL32" s="333"/>
      <c r="CM32" s="333"/>
      <c r="CN32" s="333"/>
      <c r="CO32" s="333"/>
      <c r="CP32" s="333"/>
      <c r="CQ32" s="333"/>
      <c r="CR32" s="333"/>
      <c r="CS32" s="333"/>
      <c r="CT32" s="334">
        <f t="shared" si="26"/>
        <v>0</v>
      </c>
      <c r="CU32" s="334">
        <f t="shared" si="27"/>
        <v>0</v>
      </c>
      <c r="CV32" s="334"/>
      <c r="CX32" s="220">
        <f t="shared" si="24"/>
        <v>0</v>
      </c>
      <c r="CY32" s="299">
        <f t="shared" si="49"/>
        <v>0</v>
      </c>
    </row>
    <row r="33" spans="1:103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321">
        <f>IF(D33=0,0,2001-(D33-F33)*C33/D33)</f>
        <v>0</v>
      </c>
      <c r="CA33" s="333">
        <f>IF((1-($CT$2-$BZ33)/$C33)&gt;0,(1-($CT$2-$BZ33)/$C33),0)</f>
        <v>0</v>
      </c>
      <c r="CB33" s="333">
        <f>IF((1-($CT$2-G$2)/$C33)&gt;0,(1-($CT$2-G$2)/$C33),0)</f>
        <v>0.46666666666666667</v>
      </c>
      <c r="CC33" s="333">
        <f>IF((1-($CT$2-K$2)/$C33)&gt;0,(1-($CT$2-K$2)/$C33),0)</f>
        <v>0.5</v>
      </c>
      <c r="CD33" s="333">
        <f>IF((1-($CT$2-O$2)/$C33)&gt;0,(1-($CT$2-O$2)/$C33),0)</f>
        <v>0.53333333333333333</v>
      </c>
      <c r="CE33" s="333">
        <f>IF((1-($CT$2-S$2)/$C33)&gt;0,(1-($CT$2-S$2)/$C33),0)</f>
        <v>0.56666666666666665</v>
      </c>
      <c r="CF33" s="333">
        <f>IF((1-($CT$2-W$2)/$C33)&gt;0,(1-($CT$2-W$2)/$C33),0)</f>
        <v>0.6</v>
      </c>
      <c r="CG33" s="333">
        <f>IF((1-($CT$2-AA$2)/$C33)&gt;0,(1-($CT$2-AA$2)/$C33),0)</f>
        <v>0.6333333333333333</v>
      </c>
      <c r="CH33" s="333">
        <f>IF((1-($CT$2-AE$2)/$C33)&gt;0,(1-($CT$2-AE$2)/$C33),0)</f>
        <v>0.66666666666666674</v>
      </c>
      <c r="CI33" s="333">
        <f>IF((1-($CT$2-AI$2)/$C33)&gt;0,(1-($CT$2-AI$2)/$C33),0)</f>
        <v>0.7</v>
      </c>
      <c r="CJ33" s="333">
        <f>IF((1-($CT$2-AM$2)/$C33)&gt;0,(1-($CT$2-AM$2)/$C33),0)</f>
        <v>0.73333333333333339</v>
      </c>
      <c r="CK33" s="333">
        <f>IF((1-($CT$2-AQ$2)/$C33)&gt;0,(1-($CT$2-AQ$2)/$C33),0)</f>
        <v>0.76666666666666661</v>
      </c>
      <c r="CL33" s="333">
        <f>IF((1-($CT$2-AU$2)/$C33)&gt;0,(1-($CT$2-AU$2)/$C33),0)</f>
        <v>0.8</v>
      </c>
      <c r="CM33" s="333">
        <f>IF((1-($CT$2-AY$2)/$C33)&gt;0,(1-($CT$2-AY$2)/$C33),0)</f>
        <v>0.83333333333333337</v>
      </c>
      <c r="CN33" s="333">
        <f>IF((1-($CT$2-BC$2)/$C33)&gt;0,(1-($CT$2-BC$2)/$C33),0)</f>
        <v>0.8666666666666667</v>
      </c>
      <c r="CO33" s="333">
        <f>IF(BG33=0,0,1-($CT$2-(2014.5-(BG33-BI33)*C33/BG33))/C33)</f>
        <v>0.63745741249573107</v>
      </c>
      <c r="CP33" s="333">
        <f>IF((1-($CT$2-BJ$2)/$C33)&gt;0,(1-($CT$2-BJ$2)/$C33),0)</f>
        <v>0.9</v>
      </c>
      <c r="CQ33" s="333">
        <f>IF((1-($CT$2-BN$2)/$C33)&gt;0,(1-($CT$2-BN$2)/$C33),0)</f>
        <v>0.93333333333333335</v>
      </c>
      <c r="CR33" s="333">
        <f>IF((1-($CT$2-BR$2)/$C33)&gt;0,(1-($CT$2-BR$2)/$C33),0)</f>
        <v>0.96666666666666667</v>
      </c>
      <c r="CS33" s="333">
        <f>IF((1-($CT$2-BV$2)/$C33)&gt;0,(1-($CT$2-BV$2)/$C33),0)</f>
        <v>1</v>
      </c>
      <c r="CT33" s="334">
        <f t="shared" si="26"/>
        <v>18772420.293940768</v>
      </c>
      <c r="CU33" s="334">
        <f t="shared" si="27"/>
        <v>0</v>
      </c>
      <c r="CV33" s="334">
        <f>(D33-E33)*CA33+((G33-H33-(I33-J33))*G$61)*CB33+((K33-L33-(M33-N33))*K$61)*CC33+((O33-P33-(Q33-R33))*O$61)*CD33+((S33-T33-(U33-V33))*S$61)*CE33+((W33-X33-(Y33-Z33))*W$61)*CF33+((AA33-AB33-(AC33-AD33))*AA$61)*CG33+((AE33-AF33-(AG33-AH33))*AE$61)*CH33+((AI33-AJ33-(AK33-AL33))*AI$61)*CI33+((AM33-AN33-(AO33-AP33))*$AM$61)*CJ33+((AQ33-AR33-(AS33-AT33))*$AQ$61)*CK33+((AU33-AV33-(AW33-AX33))*$AU$61)*CL33+((AY33-AZ33-(BA33-BB33))*$AY$61)*CM33+((BC33-BD33-(BE33-BF33))*$BC$61)*CN33+((BJ33-BK33-(BL33-BM33))*$BJ$61)*CP33+(BG33-BH33)*CO33+((BN33-BO33-(BP33-BQ33))*$BN$61)*CQ33+((BR33-BS33-(BT33-BU33))*$BR$61)*CR33+((BV33-BW33-(BX33-BY33))*$BV$61)*CS33</f>
        <v>14866012.475885129</v>
      </c>
      <c r="CX33" s="220">
        <f t="shared" si="24"/>
        <v>18772420.293940768</v>
      </c>
      <c r="CY33" s="299">
        <f t="shared" si="49"/>
        <v>0</v>
      </c>
    </row>
    <row r="34" spans="1:103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321">
        <f>IF(D34=0,0,2001-(D34-F34)*C34/D34)</f>
        <v>0</v>
      </c>
      <c r="CA34" s="333">
        <f>IF((1-($CT$2-$BZ34)/$C34)&gt;0,(1-($CT$2-$BZ34)/$C34),0)</f>
        <v>0</v>
      </c>
      <c r="CB34" s="333">
        <f>IF((1-($CT$2-G$2)/$C34)&gt;0,(1-($CT$2-G$2)/$C34),0)</f>
        <v>0.46666666666666667</v>
      </c>
      <c r="CC34" s="333">
        <f>IF((1-($CT$2-K$2)/$C34)&gt;0,(1-($CT$2-K$2)/$C34),0)</f>
        <v>0.5</v>
      </c>
      <c r="CD34" s="333">
        <f>IF((1-($CT$2-O$2)/$C34)&gt;0,(1-($CT$2-O$2)/$C34),0)</f>
        <v>0.53333333333333333</v>
      </c>
      <c r="CE34" s="333">
        <f>IF((1-($CT$2-S$2)/$C34)&gt;0,(1-($CT$2-S$2)/$C34),0)</f>
        <v>0.56666666666666665</v>
      </c>
      <c r="CF34" s="333">
        <f>IF((1-($CT$2-W$2)/$C34)&gt;0,(1-($CT$2-W$2)/$C34),0)</f>
        <v>0.6</v>
      </c>
      <c r="CG34" s="333">
        <f>IF((1-($CT$2-AA$2)/$C34)&gt;0,(1-($CT$2-AA$2)/$C34),0)</f>
        <v>0.6333333333333333</v>
      </c>
      <c r="CH34" s="333">
        <f>IF((1-($CT$2-AE$2)/$C34)&gt;0,(1-($CT$2-AE$2)/$C34),0)</f>
        <v>0.66666666666666674</v>
      </c>
      <c r="CI34" s="333">
        <f>IF((1-($CT$2-AI$2)/$C34)&gt;0,(1-($CT$2-AI$2)/$C34),0)</f>
        <v>0.7</v>
      </c>
      <c r="CJ34" s="333">
        <f>IF((1-($CT$2-AM$2)/$C34)&gt;0,(1-($CT$2-AM$2)/$C34),0)</f>
        <v>0.73333333333333339</v>
      </c>
      <c r="CK34" s="333">
        <f>IF((1-($CT$2-AQ$2)/$C34)&gt;0,(1-($CT$2-AQ$2)/$C34),0)</f>
        <v>0.76666666666666661</v>
      </c>
      <c r="CL34" s="333">
        <f>IF((1-($CT$2-AU$2)/$C34)&gt;0,(1-($CT$2-AU$2)/$C34),0)</f>
        <v>0.8</v>
      </c>
      <c r="CM34" s="333">
        <f>IF((1-($CT$2-AY$2)/$C34)&gt;0,(1-($CT$2-AY$2)/$C34),0)</f>
        <v>0.83333333333333337</v>
      </c>
      <c r="CN34" s="333">
        <f>IF((1-($CT$2-BC$2)/$C34)&gt;0,(1-($CT$2-BC$2)/$C34),0)</f>
        <v>0.8666666666666667</v>
      </c>
      <c r="CO34" s="333">
        <f>IF(BG34=0,0,1-($CT$2-(2014.5-(BG34-BI34)*C34/BG34))/C34)</f>
        <v>0</v>
      </c>
      <c r="CP34" s="333">
        <f>IF((1-($CT$2-BJ$2)/$C34)&gt;0,(1-($CT$2-BJ$2)/$C34),0)</f>
        <v>0.9</v>
      </c>
      <c r="CQ34" s="333">
        <f>IF((1-($CT$2-BN$2)/$C34)&gt;0,(1-($CT$2-BN$2)/$C34),0)</f>
        <v>0.93333333333333335</v>
      </c>
      <c r="CR34" s="333">
        <f>IF((1-($CT$2-BR$2)/$C34)&gt;0,(1-($CT$2-BR$2)/$C34),0)</f>
        <v>0.96666666666666667</v>
      </c>
      <c r="CS34" s="333">
        <f>IF((1-($CT$2-BV$2)/$C34)&gt;0,(1-($CT$2-BV$2)/$C34),0)</f>
        <v>1</v>
      </c>
      <c r="CT34" s="334">
        <f t="shared" si="26"/>
        <v>6275763.5852377648</v>
      </c>
      <c r="CU34" s="334">
        <f t="shared" si="27"/>
        <v>0</v>
      </c>
      <c r="CV34" s="334">
        <f>(D34-E34)*CA34+((G34-H34-(I34-J34))*G$61)*CB34+((K34-L34-(M34-N34))*K$61)*CC34+((O34-P34-(Q34-R34))*O$61)*CD34+((S34-T34-(U34-V34))*S$61)*CE34+((W34-X34-(Y34-Z34))*W$61)*CF34+((AA34-AB34-(AC34-AD34))*AA$61)*CG34+((AE34-AF34-(AG34-AH34))*AE$61)*CH34+((AI34-AJ34-(AK34-AL34))*AI$61)*CI34+((AM34-AN34-(AO34-AP34))*$AM$61)*CJ34+((AQ34-AR34-(AS34-AT34))*$AQ$61)*CK34+((AU34-AV34-(AW34-AX34))*$AU$61)*CL34+((AY34-AZ34-(BA34-BB34))*$AY$61)*CM34+((BC34-BD34-(BE34-BF34))*$BC$61)*CN34+((BJ34-BK34-(BL34-BM34))*$BJ$61)*CP34+(BG34-BH34)*CO34+((BN34-BO34-(BP34-BQ34))*$BN$61)*CQ34+((BR34-BS34-(BT34-BU34))*$BR$61)*CR34+((BV34-BW34-(BX34-BY34))*$BV$61)*CS34</f>
        <v>5885517.6105123889</v>
      </c>
      <c r="CX34" s="220">
        <f t="shared" si="24"/>
        <v>6275763.5852377648</v>
      </c>
      <c r="CY34" s="299">
        <f t="shared" si="49"/>
        <v>0</v>
      </c>
    </row>
    <row r="35" spans="1:103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321">
        <f>IF(D35=0,0,2001-(D35-F35)*C35/D35)</f>
        <v>1991.607642802117</v>
      </c>
      <c r="CA35" s="333">
        <f>IF((1-($CT$2-$BZ35)/$C35)&gt;0,(1-($CT$2-$BZ35)/$C35),0)</f>
        <v>0.12025476007056568</v>
      </c>
      <c r="CB35" s="333">
        <f>IF((1-($CT$2-G$2)/$C35)&gt;0,(1-($CT$2-G$2)/$C35),0)</f>
        <v>0.46666666666666667</v>
      </c>
      <c r="CC35" s="333">
        <f>IF((1-($CT$2-K$2)/$C35)&gt;0,(1-($CT$2-K$2)/$C35),0)</f>
        <v>0.5</v>
      </c>
      <c r="CD35" s="333">
        <f>IF((1-($CT$2-O$2)/$C35)&gt;0,(1-($CT$2-O$2)/$C35),0)</f>
        <v>0.53333333333333333</v>
      </c>
      <c r="CE35" s="333">
        <f>IF((1-($CT$2-S$2)/$C35)&gt;0,(1-($CT$2-S$2)/$C35),0)</f>
        <v>0.56666666666666665</v>
      </c>
      <c r="CF35" s="333">
        <f>IF((1-($CT$2-W$2)/$C35)&gt;0,(1-($CT$2-W$2)/$C35),0)</f>
        <v>0.6</v>
      </c>
      <c r="CG35" s="333">
        <f>IF((1-($CT$2-AA$2)/$C35)&gt;0,(1-($CT$2-AA$2)/$C35),0)</f>
        <v>0.6333333333333333</v>
      </c>
      <c r="CH35" s="333">
        <f>IF((1-($CT$2-AE$2)/$C35)&gt;0,(1-($CT$2-AE$2)/$C35),0)</f>
        <v>0.66666666666666674</v>
      </c>
      <c r="CI35" s="333">
        <f>IF((1-($CT$2-AI$2)/$C35)&gt;0,(1-($CT$2-AI$2)/$C35),0)</f>
        <v>0.7</v>
      </c>
      <c r="CJ35" s="333">
        <f>IF((1-($CT$2-AM$2)/$C35)&gt;0,(1-($CT$2-AM$2)/$C35),0)</f>
        <v>0.73333333333333339</v>
      </c>
      <c r="CK35" s="333">
        <f>IF((1-($CT$2-AQ$2)/$C35)&gt;0,(1-($CT$2-AQ$2)/$C35),0)</f>
        <v>0.76666666666666661</v>
      </c>
      <c r="CL35" s="333">
        <f>IF((1-($CT$2-AU$2)/$C35)&gt;0,(1-($CT$2-AU$2)/$C35),0)</f>
        <v>0.8</v>
      </c>
      <c r="CM35" s="333">
        <f>IF((1-($CT$2-AY$2)/$C35)&gt;0,(1-($CT$2-AY$2)/$C35),0)</f>
        <v>0.83333333333333337</v>
      </c>
      <c r="CN35" s="333">
        <f>IF((1-($CT$2-BC$2)/$C35)&gt;0,(1-($CT$2-BC$2)/$C35),0)</f>
        <v>0.8666666666666667</v>
      </c>
      <c r="CO35" s="333">
        <f>IF(BG35=0,0,1-($CT$2-(2014.5-(BG35-BI35)*C35/BG35))/C35)</f>
        <v>0.63745741249573107</v>
      </c>
      <c r="CP35" s="333">
        <f>IF((1-($CT$2-BJ$2)/$C35)&gt;0,(1-($CT$2-BJ$2)/$C35),0)</f>
        <v>0.9</v>
      </c>
      <c r="CQ35" s="333">
        <f>IF((1-($CT$2-BN$2)/$C35)&gt;0,(1-($CT$2-BN$2)/$C35),0)</f>
        <v>0.93333333333333335</v>
      </c>
      <c r="CR35" s="333">
        <f>IF((1-($CT$2-BR$2)/$C35)&gt;0,(1-($CT$2-BR$2)/$C35),0)</f>
        <v>0.96666666666666667</v>
      </c>
      <c r="CS35" s="333">
        <f>IF((1-($CT$2-BV$2)/$C35)&gt;0,(1-($CT$2-BV$2)/$C35),0)</f>
        <v>1</v>
      </c>
      <c r="CT35" s="334">
        <f t="shared" si="26"/>
        <v>14155517.853465414</v>
      </c>
      <c r="CU35" s="334">
        <f t="shared" si="27"/>
        <v>0</v>
      </c>
      <c r="CV35" s="334">
        <f>(D35-E35)*CA35+((G35-H35-(I35-J35))*G$61)*CB35+((K35-L35-(M35-N35))*K$61)*CC35+((O35-P35-(Q35-R35))*O$61)*CD35+((S35-T35-(U35-V35))*S$61)*CE35+((W35-X35-(Y35-Z35))*W$61)*CF35+((AA35-AB35-(AC35-AD35))*AA$61)*CG35+((AE35-AF35-(AG35-AH35))*AE$61)*CH35+((AI35-AJ35-(AK35-AL35))*AI$61)*CI35+((AM35-AN35-(AO35-AP35))*$AM$61)*CJ35+((AQ35-AR35-(AS35-AT35))*$AQ$61)*CK35+((AU35-AV35-(AW35-AX35))*$AU$61)*CL35+((AY35-AZ35-(BA35-BB35))*$AY$61)*CM35+((BC35-BD35-(BE35-BF35))*$BC$61)*CN35+((BJ35-BK35-(BL35-BM35))*$BJ$61)*CP35+(BG35-BH35)*CO35+((BN35-BO35-(BP35-BQ35))*$BN$61)*CQ35+((BR35-BS35-(BT35-BU35))*$BR$61)*CR35+((BV35-BW35-(BX35-BY35))*$BV$61)*CS35</f>
        <v>4223085.9092169162</v>
      </c>
      <c r="CX35" s="220">
        <f t="shared" si="24"/>
        <v>14155517.853465414</v>
      </c>
      <c r="CY35" s="299">
        <f t="shared" si="49"/>
        <v>0</v>
      </c>
    </row>
    <row r="36" spans="1:103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333"/>
      <c r="CA36" s="333"/>
      <c r="CB36" s="333"/>
      <c r="CC36" s="333"/>
      <c r="CD36" s="333"/>
      <c r="CE36" s="333"/>
      <c r="CF36" s="333"/>
      <c r="CG36" s="333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4">
        <f t="shared" si="26"/>
        <v>0</v>
      </c>
      <c r="CU36" s="334">
        <f t="shared" si="27"/>
        <v>0</v>
      </c>
      <c r="CV36" s="334"/>
      <c r="CX36" s="220">
        <f t="shared" si="24"/>
        <v>0</v>
      </c>
      <c r="CY36" s="299">
        <f t="shared" si="49"/>
        <v>0</v>
      </c>
    </row>
    <row r="37" spans="1:103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321">
        <f t="shared" ref="BZ37:BZ44" si="50">IF(D37=0,0,2001-(D37-F37)*C37/D37)</f>
        <v>0</v>
      </c>
      <c r="CA37" s="333">
        <f t="shared" ref="CA37:CA44" si="51">IF((1-($CT$2-$BZ37)/$C37)&gt;0,(1-($CT$2-$BZ37)/$C37),0)</f>
        <v>0</v>
      </c>
      <c r="CB37" s="333">
        <f t="shared" ref="CB37:CB44" si="52">IF((1-($CT$2-G$2)/$C37)&gt;0,(1-($CT$2-G$2)/$C37),0)</f>
        <v>0</v>
      </c>
      <c r="CC37" s="333">
        <f t="shared" ref="CC37:CC44" si="53">IF((1-($CT$2-K$2)/$C37)&gt;0,(1-($CT$2-K$2)/$C37),0)</f>
        <v>0</v>
      </c>
      <c r="CD37" s="333">
        <f t="shared" ref="CD37:CD44" si="54">IF((1-($CT$2-O$2)/$C37)&gt;0,(1-($CT$2-O$2)/$C37),0)</f>
        <v>0</v>
      </c>
      <c r="CE37" s="333">
        <f t="shared" ref="CE37:CE44" si="55">IF((1-($CT$2-S$2)/$C37)&gt;0,(1-($CT$2-S$2)/$C37),0)</f>
        <v>0</v>
      </c>
      <c r="CF37" s="333">
        <f t="shared" ref="CF37:CF44" si="56">IF((1-($CT$2-W$2)/$C37)&gt;0,(1-($CT$2-W$2)/$C37),0)</f>
        <v>0</v>
      </c>
      <c r="CG37" s="333">
        <f t="shared" ref="CG37:CG44" si="57">IF((1-($CT$2-AA$2)/$C37)&gt;0,(1-($CT$2-AA$2)/$C37),0)</f>
        <v>0</v>
      </c>
      <c r="CH37" s="333">
        <f t="shared" ref="CH37:CH44" si="58">IF((1-($CT$2-AE$2)/$C37)&gt;0,(1-($CT$2-AE$2)/$C37),0)</f>
        <v>0</v>
      </c>
      <c r="CI37" s="333">
        <f t="shared" ref="CI37:CI44" si="59">IF((1-($CT$2-AI$2)/$C37)&gt;0,(1-($CT$2-AI$2)/$C37),0)</f>
        <v>9.9999999999999978E-2</v>
      </c>
      <c r="CJ37" s="333">
        <f t="shared" ref="CJ37:CJ44" si="60">IF((1-($CT$2-AM$2)/$C37)&gt;0,(1-($CT$2-AM$2)/$C37),0)</f>
        <v>0.19999999999999996</v>
      </c>
      <c r="CK37" s="333">
        <f t="shared" ref="CK37:CK44" si="61">IF((1-($CT$2-AQ$2)/$C37)&gt;0,(1-($CT$2-AQ$2)/$C37),0)</f>
        <v>0.30000000000000004</v>
      </c>
      <c r="CL37" s="333">
        <f t="shared" ref="CL37:CL44" si="62">IF((1-($CT$2-AU$2)/$C37)&gt;0,(1-($CT$2-AU$2)/$C37),0)</f>
        <v>0.4</v>
      </c>
      <c r="CM37" s="333">
        <f t="shared" ref="CM37:CM44" si="63">IF((1-($CT$2-AY$2)/$C37)&gt;0,(1-($CT$2-AY$2)/$C37),0)</f>
        <v>0.5</v>
      </c>
      <c r="CN37" s="333">
        <f t="shared" ref="CN37:CN44" si="64">IF((1-($CT$2-BC$2)/$C37)&gt;0,(1-($CT$2-BC$2)/$C37),0)</f>
        <v>0.6</v>
      </c>
      <c r="CO37" s="333">
        <f t="shared" ref="CO37:CO44" si="65">IF(BG37=0,0,1-($CT$2-(2014.5-(BG37-BI37)*C37/BG37))/C37)</f>
        <v>0</v>
      </c>
      <c r="CP37" s="333">
        <f t="shared" ref="CP37:CP44" si="66">IF((1-($CT$2-BJ$2)/$C37)&gt;0,(1-($CT$2-BJ$2)/$C37),0)</f>
        <v>0.7</v>
      </c>
      <c r="CQ37" s="333">
        <f t="shared" ref="CQ37:CQ44" si="67">IF((1-($CT$2-BN$2)/$C37)&gt;0,(1-($CT$2-BN$2)/$C37),0)</f>
        <v>0.8</v>
      </c>
      <c r="CR37" s="333">
        <f t="shared" ref="CR37:CR44" si="68">IF((1-($CT$2-BR$2)/$C37)&gt;0,(1-($CT$2-BR$2)/$C37),0)</f>
        <v>0.9</v>
      </c>
      <c r="CS37" s="333">
        <f t="shared" ref="CS37:CS44" si="69">IF((1-($CT$2-BV$2)/$C37)&gt;0,(1-($CT$2-BV$2)/$C37),0)</f>
        <v>1</v>
      </c>
      <c r="CT37" s="334">
        <f t="shared" si="26"/>
        <v>0</v>
      </c>
      <c r="CU37" s="334">
        <f t="shared" si="27"/>
        <v>0</v>
      </c>
      <c r="CV37" s="334">
        <f t="shared" ref="CV37:CV44" si="70">(D37-E37)*CA37+((G37-H37-(I37-J37))*G$61)*CB37+((K37-L37-(M37-N37))*K$61)*CC37+((O37-P37-(Q37-R37))*O$61)*CD37+((S37-T37-(U37-V37))*S$61)*CE37+((W37-X37-(Y37-Z37))*W$61)*CF37+((AA37-AB37-(AC37-AD37))*AA$61)*CG37+((AE37-AF37-(AG37-AH37))*AE$61)*CH37+((AI37-AJ37-(AK37-AL37))*AI$61)*CI37+((AM37-AN37-(AO37-AP37))*$AM$61)*CJ37+((AQ37-AR37-(AS37-AT37))*$AQ$61)*CK37+((AU37-AV37-(AW37-AX37))*$AU$61)*CL37+((AY37-AZ37-(BA37-BB37))*$AY$61)*CM37+((BC37-BD37-(BE37-BF37))*$BC$61)*CN37+((BJ37-BK37-(BL37-BM37))*$BJ$61)*CP37+(BG37-BH37)*CO37+((BN37-BO37-(BP37-BQ37))*$BN$61)*CQ37+((BR37-BS37-(BT37-BU37))*$BR$61)*CR37+((BV37-BW37-(BX37-BY37))*$BV$61)*CS37</f>
        <v>0</v>
      </c>
      <c r="CX37" s="220">
        <f t="shared" si="24"/>
        <v>0</v>
      </c>
      <c r="CY37" s="299">
        <f t="shared" si="49"/>
        <v>0</v>
      </c>
    </row>
    <row r="38" spans="1:103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321">
        <f t="shared" si="50"/>
        <v>0</v>
      </c>
      <c r="CA38" s="333">
        <f t="shared" si="51"/>
        <v>0</v>
      </c>
      <c r="CB38" s="333">
        <f t="shared" si="52"/>
        <v>0</v>
      </c>
      <c r="CC38" s="333">
        <f t="shared" si="53"/>
        <v>0</v>
      </c>
      <c r="CD38" s="333">
        <f t="shared" si="54"/>
        <v>0</v>
      </c>
      <c r="CE38" s="333">
        <f t="shared" si="55"/>
        <v>0</v>
      </c>
      <c r="CF38" s="333">
        <f t="shared" si="56"/>
        <v>0</v>
      </c>
      <c r="CG38" s="333">
        <f t="shared" si="57"/>
        <v>0</v>
      </c>
      <c r="CH38" s="333">
        <f t="shared" si="58"/>
        <v>0</v>
      </c>
      <c r="CI38" s="333">
        <f t="shared" si="59"/>
        <v>0</v>
      </c>
      <c r="CJ38" s="333">
        <f t="shared" si="60"/>
        <v>0</v>
      </c>
      <c r="CK38" s="333">
        <f t="shared" si="61"/>
        <v>0</v>
      </c>
      <c r="CL38" s="333">
        <f t="shared" si="62"/>
        <v>0</v>
      </c>
      <c r="CM38" s="333">
        <f t="shared" si="63"/>
        <v>0</v>
      </c>
      <c r="CN38" s="333">
        <f t="shared" si="64"/>
        <v>0.19999999999999996</v>
      </c>
      <c r="CO38" s="333">
        <f t="shared" si="65"/>
        <v>0</v>
      </c>
      <c r="CP38" s="333">
        <f t="shared" si="66"/>
        <v>0.4</v>
      </c>
      <c r="CQ38" s="333">
        <f t="shared" si="67"/>
        <v>0.6</v>
      </c>
      <c r="CR38" s="333">
        <f t="shared" si="68"/>
        <v>0.8</v>
      </c>
      <c r="CS38" s="333">
        <f t="shared" si="69"/>
        <v>1</v>
      </c>
      <c r="CT38" s="334">
        <f t="shared" si="26"/>
        <v>7670.8689809675761</v>
      </c>
      <c r="CU38" s="334">
        <f t="shared" si="27"/>
        <v>7670.8689809675761</v>
      </c>
      <c r="CV38" s="334">
        <f t="shared" si="70"/>
        <v>0</v>
      </c>
      <c r="CX38" s="220">
        <f t="shared" si="24"/>
        <v>0</v>
      </c>
      <c r="CY38" s="299">
        <f t="shared" si="49"/>
        <v>0</v>
      </c>
    </row>
    <row r="39" spans="1:103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321">
        <f t="shared" si="50"/>
        <v>0</v>
      </c>
      <c r="CA39" s="333">
        <f t="shared" si="51"/>
        <v>0</v>
      </c>
      <c r="CB39" s="333">
        <f t="shared" si="52"/>
        <v>0.98399999999999999</v>
      </c>
      <c r="CC39" s="333">
        <f t="shared" si="53"/>
        <v>0.98499999999999999</v>
      </c>
      <c r="CD39" s="333">
        <f t="shared" si="54"/>
        <v>0.98599999999999999</v>
      </c>
      <c r="CE39" s="333">
        <f t="shared" si="55"/>
        <v>0.98699999999999999</v>
      </c>
      <c r="CF39" s="333">
        <f t="shared" si="56"/>
        <v>0.98799999999999999</v>
      </c>
      <c r="CG39" s="333">
        <f t="shared" si="57"/>
        <v>0.98899999999999999</v>
      </c>
      <c r="CH39" s="333">
        <f t="shared" si="58"/>
        <v>0.99</v>
      </c>
      <c r="CI39" s="333">
        <f t="shared" si="59"/>
        <v>0.99099999999999999</v>
      </c>
      <c r="CJ39" s="333">
        <f t="shared" si="60"/>
        <v>0.99199999999999999</v>
      </c>
      <c r="CK39" s="333">
        <f t="shared" si="61"/>
        <v>0.99299999999999999</v>
      </c>
      <c r="CL39" s="333">
        <f t="shared" si="62"/>
        <v>0.99399999999999999</v>
      </c>
      <c r="CM39" s="333">
        <f t="shared" si="63"/>
        <v>0.995</v>
      </c>
      <c r="CN39" s="333">
        <f t="shared" si="64"/>
        <v>0.996</v>
      </c>
      <c r="CO39" s="333">
        <f t="shared" si="65"/>
        <v>0</v>
      </c>
      <c r="CP39" s="333">
        <f t="shared" si="66"/>
        <v>0.997</v>
      </c>
      <c r="CQ39" s="333">
        <f t="shared" si="67"/>
        <v>0.998</v>
      </c>
      <c r="CR39" s="333">
        <f t="shared" si="68"/>
        <v>0.999</v>
      </c>
      <c r="CS39" s="333">
        <f t="shared" si="69"/>
        <v>1</v>
      </c>
      <c r="CT39" s="334">
        <f t="shared" si="26"/>
        <v>0</v>
      </c>
      <c r="CU39" s="334">
        <f t="shared" si="27"/>
        <v>0</v>
      </c>
      <c r="CV39" s="334">
        <f t="shared" si="70"/>
        <v>0</v>
      </c>
      <c r="CX39" s="220">
        <f t="shared" si="24"/>
        <v>0</v>
      </c>
      <c r="CY39" s="299">
        <f t="shared" si="49"/>
        <v>0</v>
      </c>
    </row>
    <row r="40" spans="1:103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321">
        <f t="shared" si="50"/>
        <v>0</v>
      </c>
      <c r="CA40" s="333">
        <f t="shared" si="51"/>
        <v>0</v>
      </c>
      <c r="CB40" s="333">
        <f t="shared" si="52"/>
        <v>0.6</v>
      </c>
      <c r="CC40" s="333">
        <f t="shared" si="53"/>
        <v>0.625</v>
      </c>
      <c r="CD40" s="333">
        <f t="shared" si="54"/>
        <v>0.65</v>
      </c>
      <c r="CE40" s="333">
        <f t="shared" si="55"/>
        <v>0.67500000000000004</v>
      </c>
      <c r="CF40" s="333">
        <f t="shared" si="56"/>
        <v>0.7</v>
      </c>
      <c r="CG40" s="333">
        <f t="shared" si="57"/>
        <v>0.72499999999999998</v>
      </c>
      <c r="CH40" s="333">
        <f t="shared" si="58"/>
        <v>0.75</v>
      </c>
      <c r="CI40" s="333">
        <f t="shared" si="59"/>
        <v>0.77500000000000002</v>
      </c>
      <c r="CJ40" s="333">
        <f t="shared" si="60"/>
        <v>0.8</v>
      </c>
      <c r="CK40" s="333">
        <f t="shared" si="61"/>
        <v>0.82499999999999996</v>
      </c>
      <c r="CL40" s="333">
        <f t="shared" si="62"/>
        <v>0.85</v>
      </c>
      <c r="CM40" s="333">
        <f t="shared" si="63"/>
        <v>0.875</v>
      </c>
      <c r="CN40" s="333">
        <f t="shared" si="64"/>
        <v>0.9</v>
      </c>
      <c r="CO40" s="333">
        <f t="shared" si="65"/>
        <v>0</v>
      </c>
      <c r="CP40" s="333">
        <f t="shared" si="66"/>
        <v>0.92500000000000004</v>
      </c>
      <c r="CQ40" s="333">
        <f t="shared" si="67"/>
        <v>0.95</v>
      </c>
      <c r="CR40" s="333">
        <f t="shared" si="68"/>
        <v>0.97499999999999998</v>
      </c>
      <c r="CS40" s="333">
        <f t="shared" si="69"/>
        <v>1</v>
      </c>
      <c r="CT40" s="334">
        <f t="shared" si="26"/>
        <v>0</v>
      </c>
      <c r="CU40" s="334">
        <f t="shared" si="27"/>
        <v>0</v>
      </c>
      <c r="CV40" s="334">
        <f t="shared" si="70"/>
        <v>0</v>
      </c>
      <c r="CX40" s="220">
        <f t="shared" si="24"/>
        <v>0</v>
      </c>
      <c r="CY40" s="299">
        <f t="shared" si="49"/>
        <v>0</v>
      </c>
    </row>
    <row r="41" spans="1:103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321">
        <f t="shared" si="50"/>
        <v>1991</v>
      </c>
      <c r="CA41" s="333">
        <f t="shared" si="51"/>
        <v>0</v>
      </c>
      <c r="CB41" s="333">
        <f t="shared" si="52"/>
        <v>0</v>
      </c>
      <c r="CC41" s="333">
        <f t="shared" si="53"/>
        <v>0</v>
      </c>
      <c r="CD41" s="333">
        <f t="shared" si="54"/>
        <v>0</v>
      </c>
      <c r="CE41" s="333">
        <f t="shared" si="55"/>
        <v>0</v>
      </c>
      <c r="CF41" s="333">
        <f t="shared" si="56"/>
        <v>0</v>
      </c>
      <c r="CG41" s="333">
        <f t="shared" si="57"/>
        <v>0</v>
      </c>
      <c r="CH41" s="333">
        <f t="shared" si="58"/>
        <v>0</v>
      </c>
      <c r="CI41" s="333">
        <f t="shared" si="59"/>
        <v>9.9999999999999978E-2</v>
      </c>
      <c r="CJ41" s="333">
        <f t="shared" si="60"/>
        <v>0.19999999999999996</v>
      </c>
      <c r="CK41" s="333">
        <f t="shared" si="61"/>
        <v>0.30000000000000004</v>
      </c>
      <c r="CL41" s="333">
        <f t="shared" si="62"/>
        <v>0.4</v>
      </c>
      <c r="CM41" s="333">
        <f t="shared" si="63"/>
        <v>0.5</v>
      </c>
      <c r="CN41" s="333">
        <f t="shared" si="64"/>
        <v>0.6</v>
      </c>
      <c r="CO41" s="333">
        <f t="shared" si="65"/>
        <v>0</v>
      </c>
      <c r="CP41" s="333">
        <f t="shared" si="66"/>
        <v>0.7</v>
      </c>
      <c r="CQ41" s="333">
        <f t="shared" si="67"/>
        <v>0.8</v>
      </c>
      <c r="CR41" s="333">
        <f t="shared" si="68"/>
        <v>0.9</v>
      </c>
      <c r="CS41" s="333">
        <f t="shared" si="69"/>
        <v>1</v>
      </c>
      <c r="CT41" s="334">
        <f t="shared" si="26"/>
        <v>3768742.491413088</v>
      </c>
      <c r="CU41" s="334">
        <f t="shared" si="27"/>
        <v>279957.24884206423</v>
      </c>
      <c r="CV41" s="334">
        <f t="shared" si="70"/>
        <v>2782539.0894535747</v>
      </c>
      <c r="CX41" s="220">
        <f t="shared" si="24"/>
        <v>3488785.2425710238</v>
      </c>
      <c r="CY41" s="299">
        <f t="shared" si="49"/>
        <v>0</v>
      </c>
    </row>
    <row r="42" spans="1:103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321">
        <f t="shared" si="50"/>
        <v>0</v>
      </c>
      <c r="CA42" s="333">
        <f t="shared" si="51"/>
        <v>0</v>
      </c>
      <c r="CB42" s="333">
        <f t="shared" si="52"/>
        <v>0.27272727272727271</v>
      </c>
      <c r="CC42" s="333">
        <f t="shared" si="53"/>
        <v>0.31818181818181823</v>
      </c>
      <c r="CD42" s="333">
        <f t="shared" si="54"/>
        <v>0.36363636363636365</v>
      </c>
      <c r="CE42" s="333">
        <f t="shared" si="55"/>
        <v>0.40909090909090906</v>
      </c>
      <c r="CF42" s="333">
        <f t="shared" si="56"/>
        <v>0.45454545454545459</v>
      </c>
      <c r="CG42" s="333">
        <f t="shared" si="57"/>
        <v>0.5</v>
      </c>
      <c r="CH42" s="333">
        <f t="shared" si="58"/>
        <v>0.54545454545454541</v>
      </c>
      <c r="CI42" s="333">
        <f t="shared" si="59"/>
        <v>0.59090909090909083</v>
      </c>
      <c r="CJ42" s="333">
        <f t="shared" si="60"/>
        <v>0.63636363636363635</v>
      </c>
      <c r="CK42" s="333">
        <f t="shared" si="61"/>
        <v>0.68181818181818188</v>
      </c>
      <c r="CL42" s="333">
        <f t="shared" si="62"/>
        <v>0.72727272727272729</v>
      </c>
      <c r="CM42" s="333">
        <f t="shared" si="63"/>
        <v>0.77272727272727271</v>
      </c>
      <c r="CN42" s="333">
        <f t="shared" si="64"/>
        <v>0.81818181818181812</v>
      </c>
      <c r="CO42" s="333">
        <f t="shared" si="65"/>
        <v>0</v>
      </c>
      <c r="CP42" s="333">
        <f t="shared" si="66"/>
        <v>0.86363636363636365</v>
      </c>
      <c r="CQ42" s="333">
        <f t="shared" si="67"/>
        <v>0.90909090909090906</v>
      </c>
      <c r="CR42" s="333">
        <f t="shared" si="68"/>
        <v>0.95454545454545459</v>
      </c>
      <c r="CS42" s="333">
        <f t="shared" si="69"/>
        <v>1</v>
      </c>
      <c r="CT42" s="334">
        <f t="shared" si="26"/>
        <v>518439.60079707752</v>
      </c>
      <c r="CU42" s="334">
        <f t="shared" si="27"/>
        <v>0</v>
      </c>
      <c r="CV42" s="334">
        <f t="shared" si="70"/>
        <v>444753.94805549446</v>
      </c>
      <c r="CX42" s="220">
        <f t="shared" si="24"/>
        <v>518439.60079707752</v>
      </c>
      <c r="CY42" s="299">
        <f t="shared" si="49"/>
        <v>0</v>
      </c>
    </row>
    <row r="43" spans="1:103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321">
        <f t="shared" si="50"/>
        <v>0</v>
      </c>
      <c r="CA43" s="333">
        <f t="shared" si="51"/>
        <v>0</v>
      </c>
      <c r="CB43" s="333">
        <f t="shared" si="52"/>
        <v>0</v>
      </c>
      <c r="CC43" s="333">
        <f t="shared" si="53"/>
        <v>0</v>
      </c>
      <c r="CD43" s="333">
        <f t="shared" si="54"/>
        <v>0</v>
      </c>
      <c r="CE43" s="333">
        <f t="shared" si="55"/>
        <v>0</v>
      </c>
      <c r="CF43" s="333">
        <f t="shared" si="56"/>
        <v>0</v>
      </c>
      <c r="CG43" s="333">
        <f t="shared" si="57"/>
        <v>0</v>
      </c>
      <c r="CH43" s="333">
        <f t="shared" si="58"/>
        <v>0</v>
      </c>
      <c r="CI43" s="333">
        <f t="shared" si="59"/>
        <v>0</v>
      </c>
      <c r="CJ43" s="333">
        <f t="shared" si="60"/>
        <v>0</v>
      </c>
      <c r="CK43" s="333">
        <f t="shared" si="61"/>
        <v>0</v>
      </c>
      <c r="CL43" s="333">
        <f t="shared" si="62"/>
        <v>0</v>
      </c>
      <c r="CM43" s="333">
        <f t="shared" si="63"/>
        <v>0</v>
      </c>
      <c r="CN43" s="333">
        <f t="shared" si="64"/>
        <v>0</v>
      </c>
      <c r="CO43" s="333">
        <f t="shared" si="65"/>
        <v>0</v>
      </c>
      <c r="CP43" s="333">
        <f t="shared" si="66"/>
        <v>0.25</v>
      </c>
      <c r="CQ43" s="333">
        <f t="shared" si="67"/>
        <v>0.5</v>
      </c>
      <c r="CR43" s="333">
        <f t="shared" si="68"/>
        <v>0.75</v>
      </c>
      <c r="CS43" s="333">
        <f t="shared" si="69"/>
        <v>1</v>
      </c>
      <c r="CT43" s="334">
        <f t="shared" si="26"/>
        <v>0</v>
      </c>
      <c r="CU43" s="334">
        <f t="shared" si="27"/>
        <v>0</v>
      </c>
      <c r="CV43" s="334">
        <f t="shared" si="70"/>
        <v>0</v>
      </c>
      <c r="CX43" s="220">
        <f t="shared" si="24"/>
        <v>0</v>
      </c>
      <c r="CY43" s="299">
        <f t="shared" si="49"/>
        <v>0</v>
      </c>
    </row>
    <row r="44" spans="1:103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321">
        <f t="shared" si="50"/>
        <v>0</v>
      </c>
      <c r="CA44" s="348">
        <f t="shared" si="51"/>
        <v>0</v>
      </c>
      <c r="CB44" s="333">
        <f t="shared" si="52"/>
        <v>0</v>
      </c>
      <c r="CC44" s="333">
        <f t="shared" si="53"/>
        <v>0</v>
      </c>
      <c r="CD44" s="333">
        <f t="shared" si="54"/>
        <v>0</v>
      </c>
      <c r="CE44" s="333">
        <f t="shared" si="55"/>
        <v>0</v>
      </c>
      <c r="CF44" s="333">
        <f t="shared" si="56"/>
        <v>0</v>
      </c>
      <c r="CG44" s="333">
        <f t="shared" si="57"/>
        <v>0</v>
      </c>
      <c r="CH44" s="333">
        <f t="shared" si="58"/>
        <v>0</v>
      </c>
      <c r="CI44" s="333">
        <f t="shared" si="59"/>
        <v>0</v>
      </c>
      <c r="CJ44" s="333">
        <f t="shared" si="60"/>
        <v>0</v>
      </c>
      <c r="CK44" s="333">
        <f t="shared" si="61"/>
        <v>0.125</v>
      </c>
      <c r="CL44" s="333">
        <f t="shared" si="62"/>
        <v>0.25</v>
      </c>
      <c r="CM44" s="333">
        <f t="shared" si="63"/>
        <v>0.375</v>
      </c>
      <c r="CN44" s="333">
        <f t="shared" si="64"/>
        <v>0.5</v>
      </c>
      <c r="CO44" s="333">
        <f t="shared" si="65"/>
        <v>0</v>
      </c>
      <c r="CP44" s="333">
        <f t="shared" si="66"/>
        <v>0.625</v>
      </c>
      <c r="CQ44" s="333">
        <f t="shared" si="67"/>
        <v>0.75</v>
      </c>
      <c r="CR44" s="333">
        <f t="shared" si="68"/>
        <v>0.875</v>
      </c>
      <c r="CS44" s="333">
        <f t="shared" si="69"/>
        <v>1</v>
      </c>
      <c r="CT44" s="334">
        <f t="shared" si="26"/>
        <v>153091.81329945009</v>
      </c>
      <c r="CU44" s="334">
        <f t="shared" si="27"/>
        <v>153091.81329945009</v>
      </c>
      <c r="CV44" s="334">
        <f t="shared" si="70"/>
        <v>0</v>
      </c>
      <c r="CX44" s="220">
        <f t="shared" si="24"/>
        <v>0</v>
      </c>
      <c r="CY44" s="299">
        <f t="shared" si="49"/>
        <v>0</v>
      </c>
    </row>
    <row r="45" spans="1:103" s="1" customFormat="1" ht="12.75" customHeight="1" thickBot="1" x14ac:dyDescent="0.35">
      <c r="A45" s="300"/>
      <c r="B45" s="294" t="s">
        <v>34</v>
      </c>
      <c r="C45" s="301"/>
      <c r="D45" s="296">
        <v>64380215.578287996</v>
      </c>
      <c r="E45" s="296"/>
      <c r="F45" s="296">
        <v>36745444.950886555</v>
      </c>
      <c r="G45" s="296">
        <v>1262365.3598000002</v>
      </c>
      <c r="H45" s="296">
        <v>0</v>
      </c>
      <c r="I45" s="296"/>
      <c r="J45" s="296">
        <v>0</v>
      </c>
      <c r="K45" s="296">
        <v>2422005.5850740555</v>
      </c>
      <c r="L45" s="296">
        <v>315949</v>
      </c>
      <c r="M45" s="296"/>
      <c r="N45" s="296">
        <v>0</v>
      </c>
      <c r="O45" s="296">
        <v>2468106.6800000002</v>
      </c>
      <c r="P45" s="296">
        <v>0</v>
      </c>
      <c r="Q45" s="296"/>
      <c r="R45" s="296">
        <v>0</v>
      </c>
      <c r="S45" s="403">
        <v>2636963</v>
      </c>
      <c r="T45" s="404">
        <v>0</v>
      </c>
      <c r="U45" s="404"/>
      <c r="V45" s="405">
        <v>0</v>
      </c>
      <c r="W45" s="296">
        <v>2901614.0900000003</v>
      </c>
      <c r="X45" s="296">
        <v>0</v>
      </c>
      <c r="Y45" s="296"/>
      <c r="Z45" s="296">
        <v>0</v>
      </c>
      <c r="AA45" s="296">
        <v>4650052.8100000005</v>
      </c>
      <c r="AB45" s="296">
        <v>556386.07000000007</v>
      </c>
      <c r="AC45" s="296"/>
      <c r="AD45" s="296">
        <v>0</v>
      </c>
      <c r="AE45" s="296">
        <v>5437854.6999999993</v>
      </c>
      <c r="AF45" s="296">
        <v>0</v>
      </c>
      <c r="AG45" s="296"/>
      <c r="AH45" s="397">
        <v>0</v>
      </c>
      <c r="AI45" s="403">
        <v>7755169.0999999968</v>
      </c>
      <c r="AJ45" s="404">
        <v>0</v>
      </c>
      <c r="AK45" s="404"/>
      <c r="AL45" s="405">
        <v>0</v>
      </c>
      <c r="AM45" s="296">
        <v>5445007.6719999984</v>
      </c>
      <c r="AN45" s="296">
        <v>0</v>
      </c>
      <c r="AO45" s="296"/>
      <c r="AP45" s="296"/>
      <c r="AQ45" s="406">
        <v>6483412.9600000028</v>
      </c>
      <c r="AR45" s="407">
        <v>0</v>
      </c>
      <c r="AS45" s="407"/>
      <c r="AT45" s="407"/>
      <c r="AU45" s="407">
        <v>4744163.7299999967</v>
      </c>
      <c r="AV45" s="407">
        <v>0</v>
      </c>
      <c r="AW45" s="407"/>
      <c r="AX45" s="407"/>
      <c r="AY45" s="407">
        <v>8655575.7579999957</v>
      </c>
      <c r="AZ45" s="407">
        <v>0</v>
      </c>
      <c r="BA45" s="407"/>
      <c r="BB45" s="407"/>
      <c r="BC45" s="408">
        <f>+SUM(BC14:BC44)</f>
        <v>8595478.4899999984</v>
      </c>
      <c r="BD45" s="407"/>
      <c r="BE45" s="407"/>
      <c r="BF45" s="407"/>
      <c r="BG45" s="407">
        <f>+SUM(BG14:BG44)</f>
        <v>6931047.2479580687</v>
      </c>
      <c r="BH45" s="407">
        <f>+SUM(BH14:BH44)</f>
        <v>5763524.5579580693</v>
      </c>
      <c r="BI45" s="407">
        <f>+SUM(BI14:BI44)</f>
        <v>4907911.2199999988</v>
      </c>
      <c r="BJ45" s="407">
        <f t="shared" ref="BJ45:BU45" si="71">+SUM(BJ14:BJ44)</f>
        <v>10289030.280000001</v>
      </c>
      <c r="BK45" s="407">
        <f t="shared" si="71"/>
        <v>0</v>
      </c>
      <c r="BL45" s="407"/>
      <c r="BM45" s="407">
        <f t="shared" si="71"/>
        <v>0</v>
      </c>
      <c r="BN45" s="401">
        <f t="shared" si="71"/>
        <v>23273467.399999995</v>
      </c>
      <c r="BO45" s="401">
        <f t="shared" si="71"/>
        <v>0</v>
      </c>
      <c r="BP45" s="401"/>
      <c r="BQ45" s="401">
        <f t="shared" si="71"/>
        <v>0</v>
      </c>
      <c r="BR45" s="401">
        <f t="shared" si="71"/>
        <v>16573617.789999997</v>
      </c>
      <c r="BS45" s="401">
        <f t="shared" si="71"/>
        <v>65610.73</v>
      </c>
      <c r="BT45" s="401"/>
      <c r="BU45" s="401">
        <f t="shared" si="71"/>
        <v>0</v>
      </c>
      <c r="BV45" s="401">
        <f>SUM(BV14:BV44)</f>
        <v>17574337.189999998</v>
      </c>
      <c r="BW45" s="296">
        <f>SUM(BW14:BW44)</f>
        <v>2126529.2643995676</v>
      </c>
      <c r="BX45" s="401">
        <f>SUM(BX14:BX44)</f>
        <v>0</v>
      </c>
      <c r="BY45" s="401">
        <f>SUM(BY14:BY44)</f>
        <v>0</v>
      </c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7"/>
      <c r="CK45" s="297"/>
      <c r="CL45" s="297"/>
      <c r="CM45" s="297"/>
      <c r="CN45" s="297"/>
      <c r="CO45" s="297"/>
      <c r="CP45" s="297"/>
      <c r="CQ45" s="297"/>
      <c r="CR45" s="297"/>
      <c r="CS45" s="297"/>
      <c r="CT45" s="298">
        <f>SUM(CT14:CT44)</f>
        <v>177932891.61322677</v>
      </c>
      <c r="CU45" s="298">
        <f>SUM(CU14:CU44)</f>
        <v>47041954.415162817</v>
      </c>
      <c r="CV45" s="298">
        <f>SUM(CV14:CV44)</f>
        <v>91476667.655326113</v>
      </c>
      <c r="CX45" s="220">
        <f t="shared" si="24"/>
        <v>130890937.19806395</v>
      </c>
      <c r="CY45" s="299">
        <f t="shared" si="49"/>
        <v>0</v>
      </c>
    </row>
    <row r="46" spans="1:103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2">
        <v>715400.34000000008</v>
      </c>
      <c r="BW46" s="290">
        <v>0</v>
      </c>
      <c r="BX46" s="292"/>
      <c r="BY46" s="292"/>
      <c r="BZ46" s="321">
        <f>IF(D46=0,0,2001-(D46-F46)*C46/D46)</f>
        <v>1993.2473056022818</v>
      </c>
      <c r="CA46" s="374">
        <f>IF((1-($CT$2-$BZ46)/$C46)&gt;0,(1-($CT$2-$BZ46)/$C46),0)</f>
        <v>0</v>
      </c>
      <c r="CB46" s="333">
        <f>IF((1-($CT$2-G$2)/$C46)&gt;0,(1-($CT$2-G$2)/$C46),0)</f>
        <v>0.27272727272727271</v>
      </c>
      <c r="CC46" s="333">
        <f>IF((1-($CT$2-K$2)/$C46)&gt;0,(1-($CT$2-K$2)/$C46),0)</f>
        <v>0.31818181818181823</v>
      </c>
      <c r="CD46" s="333">
        <f>IF((1-($CT$2-O$2)/$C46)&gt;0,(1-($CT$2-O$2)/$C46),0)</f>
        <v>0.36363636363636365</v>
      </c>
      <c r="CE46" s="333">
        <f>IF((1-($CT$2-S$2)/$C46)&gt;0,(1-($CT$2-S$2)/$C46),0)</f>
        <v>0.40909090909090906</v>
      </c>
      <c r="CF46" s="333">
        <f>IF((1-($CT$2-W$2)/$C46)&gt;0,(1-($CT$2-W$2)/$C46),0)</f>
        <v>0.45454545454545459</v>
      </c>
      <c r="CG46" s="333">
        <f>IF((1-($CT$2-AA$2)/$C46)&gt;0,(1-($CT$2-AA$2)/$C46),0)</f>
        <v>0.5</v>
      </c>
      <c r="CH46" s="333">
        <f>IF((1-($CT$2-AE$2)/$C46)&gt;0,(1-($CT$2-AE$2)/$C46),0)</f>
        <v>0.54545454545454541</v>
      </c>
      <c r="CI46" s="333">
        <f>IF((1-($CT$2-AI$2)/$C46)&gt;0,(1-($CT$2-AI$2)/$C46),0)</f>
        <v>0.59090909090909083</v>
      </c>
      <c r="CJ46" s="333">
        <f>IF((1-($CT$2-AM$2)/$C46)&gt;0,(1-($CT$2-AM$2)/$C46),0)</f>
        <v>0.63636363636363635</v>
      </c>
      <c r="CK46" s="333">
        <f>IF((1-($CT$2-AQ$2)/$C46)&gt;0,(1-($CT$2-AQ$2)/$C46),0)</f>
        <v>0.68181818181818188</v>
      </c>
      <c r="CL46" s="333">
        <f>IF((1-($CT$2-AU$2)/$C46)&gt;0,(1-($CT$2-AU$2)/$C46),0)</f>
        <v>0.72727272727272729</v>
      </c>
      <c r="CM46" s="333">
        <f>IF((1-($CT$2-AY$2)/$C46)&gt;0,(1-($CT$2-AY$2)/$C46),0)</f>
        <v>0.77272727272727271</v>
      </c>
      <c r="CN46" s="333">
        <f>IF((1-($CT$2-BC$2)/$C46)&gt;0,(1-($CT$2-BC$2)/$C46),0)</f>
        <v>0.81818181818181812</v>
      </c>
      <c r="CO46" s="333">
        <f>IF(BG46=0,0,1-($CT$2-(2014.5-(BG46-BI46)*C46/BG46))/C46)</f>
        <v>0</v>
      </c>
      <c r="CP46" s="333">
        <f>IF((1-($CT$2-BJ$2)/$C46)&gt;0,(1-($CT$2-BJ$2)/$C46),0)</f>
        <v>0.86363636363636365</v>
      </c>
      <c r="CQ46" s="333">
        <f>IF((1-($CT$2-BN$2)/$C46)&gt;0,(1-($CT$2-BN$2)/$C46),0)</f>
        <v>0.90909090909090906</v>
      </c>
      <c r="CR46" s="333">
        <f>IF((1-($CT$2-BR$2)/$C46)&gt;0,(1-($CT$2-BR$2)/$C46),0)</f>
        <v>0.95454545454545459</v>
      </c>
      <c r="CS46" s="333">
        <f>IF((1-($CT$2-BV$2)/$C46)&gt;0,(1-($CT$2-BV$2)/$C46),0)</f>
        <v>1</v>
      </c>
      <c r="CT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</f>
        <v>11602326.103222053</v>
      </c>
      <c r="CU46" s="334">
        <f>IF(CA46=0,D46-E46,0)+IF(CB46=0,(G46-H46-I46)*G$62,0)+IF(CC46=0,(K46-L46-M46)*K$62,0)+IF(CD46=0,(O46-P46-Q46)*O$62,0)+IF(CE46=0,(S46-T46-U46)*S$62,0)+IF(CF46=0,(W46-X46-Y46)*W$62,0)+IF(CG46=0,(AA46-AB46-AC46)*AA$62,0)+IF(CH46=0,(AE46-AF46-AG46)*AE$62,0)+IF(CI46=0,(AI46-AJ46-AK46)*AI$62,0)+IF(CJ46=0,(AM46-AN46-AO46)*AM$62,0)+IF(CK46=0,(AQ46-AR46-AS46)*$AQ$62,0)+IF(CL46=0,(AU46-AV46-AW46)*$AU$62,0)+IF(CM46=0,(AY46-AZ46-BA46)*$AY$62,0)++IF(CN46=0,(BC46-BD46-BE46)*$BC$62,0)+IF(CP46=0,(BJ46-BK46-BL46)*$BJ$62,0)+IF(CO46=0,BG46,0)+IF(CQ46=0,(BN46-BO46-BP46)*$BN$62,0)+IF(CR46=0,(BR46-BS46-BT46)*$BR$62,0)+IF(CS46=0,(BV46-BW46-BX46)*$BV$62,0)</f>
        <v>2957226.5007306808</v>
      </c>
      <c r="CV46" s="334">
        <f>(D46-E46)*CA46+((G46-H46-(I46-J46))*G$62)*CB46+((K46-L46-(M46-N46))*K$62)*CC46+((O46-P46-(Q46-R46))*O$62)*CD46+((S46-T46-(U46-V46))*S$62)*CE46+((W46-X46-(Y46-Z46))*W$62)*CF46+((AA46-AB46-(AC46-AD46))*AA$62)*CG46+((AE46-AF46-(AG46-AH46))*AE$62)*CH46+((AI46-AJ46-(AK46-AL46))*AI$62)*CI46+((AM46-AN46-(AO46-AP46))*$AM$62)*CJ46+((AQ46-AR46-(AS46-AT46))*$AQ$62)*CK46+((AU46-AV46-(AW46-AX46))*$AU$62)*CL46+((AY46-AZ46-(BA46-BB46))*$AY$62)*CM46+((BC46-BD46-(BE46-BF46))*$BC$62)*CN46+((BJ46-BK46-(BL46-BM46))*$BJ$62)*CP46+(BG46-BH46)*CO46+((BN46-BO46-(BP46-BQ46))*$BN$62)*CQ46+((BR46-BS46-(BT46-BU46))*$BR$62)*CR46+((BV46-BW46-(BX46-BY46))*$BV$62)*CS46</f>
        <v>5998915.2163350275</v>
      </c>
      <c r="CX46" s="220">
        <f t="shared" si="24"/>
        <v>8645099.6024913732</v>
      </c>
      <c r="CY46" s="299">
        <f t="shared" si="49"/>
        <v>0</v>
      </c>
    </row>
    <row r="47" spans="1:103" s="1" customFormat="1" ht="12.75" customHeight="1" thickBot="1" x14ac:dyDescent="0.35">
      <c r="A47" s="575"/>
      <c r="B47" s="294" t="s">
        <v>37</v>
      </c>
      <c r="C47" s="301"/>
      <c r="D47" s="296">
        <v>2957226.5007306808</v>
      </c>
      <c r="E47" s="296"/>
      <c r="F47" s="296">
        <v>1915114.0768671127</v>
      </c>
      <c r="G47" s="296">
        <v>383603.42</v>
      </c>
      <c r="H47" s="296">
        <v>0</v>
      </c>
      <c r="I47" s="296"/>
      <c r="J47" s="296">
        <v>0</v>
      </c>
      <c r="K47" s="296">
        <v>723366.95</v>
      </c>
      <c r="L47" s="296">
        <v>0</v>
      </c>
      <c r="M47" s="296"/>
      <c r="N47" s="296">
        <v>0</v>
      </c>
      <c r="O47" s="296">
        <v>345218.57</v>
      </c>
      <c r="P47" s="296">
        <v>0</v>
      </c>
      <c r="Q47" s="296"/>
      <c r="R47" s="296">
        <v>0</v>
      </c>
      <c r="S47" s="403">
        <v>343113</v>
      </c>
      <c r="T47" s="404">
        <v>0</v>
      </c>
      <c r="U47" s="404"/>
      <c r="V47" s="405">
        <v>0</v>
      </c>
      <c r="W47" s="296">
        <v>288347.67</v>
      </c>
      <c r="X47" s="296">
        <v>0</v>
      </c>
      <c r="Y47" s="296"/>
      <c r="Z47" s="296">
        <v>0</v>
      </c>
      <c r="AA47" s="296">
        <v>301261.25000000006</v>
      </c>
      <c r="AB47" s="296">
        <v>0</v>
      </c>
      <c r="AC47" s="296"/>
      <c r="AD47" s="296">
        <v>0</v>
      </c>
      <c r="AE47" s="296">
        <v>418664.33</v>
      </c>
      <c r="AF47" s="296">
        <v>0</v>
      </c>
      <c r="AG47" s="296"/>
      <c r="AH47" s="397">
        <v>0</v>
      </c>
      <c r="AI47" s="403">
        <v>191547.63</v>
      </c>
      <c r="AJ47" s="404">
        <v>0</v>
      </c>
      <c r="AK47" s="404"/>
      <c r="AL47" s="405">
        <v>0</v>
      </c>
      <c r="AM47" s="296">
        <v>284788.3</v>
      </c>
      <c r="AN47" s="296">
        <v>0</v>
      </c>
      <c r="AO47" s="296"/>
      <c r="AP47" s="296"/>
      <c r="AQ47" s="406">
        <v>417455.78889137268</v>
      </c>
      <c r="AR47" s="407">
        <v>0</v>
      </c>
      <c r="AS47" s="407"/>
      <c r="AT47" s="407"/>
      <c r="AU47" s="407">
        <v>846640.63000000012</v>
      </c>
      <c r="AV47" s="407">
        <v>0</v>
      </c>
      <c r="AW47" s="407"/>
      <c r="AX47" s="407"/>
      <c r="AY47" s="407">
        <v>696982</v>
      </c>
      <c r="AZ47" s="407">
        <v>0</v>
      </c>
      <c r="BA47" s="407"/>
      <c r="BB47" s="407"/>
      <c r="BC47" s="408">
        <f>+BC46</f>
        <v>611593.03</v>
      </c>
      <c r="BD47" s="407"/>
      <c r="BE47" s="407"/>
      <c r="BF47" s="407"/>
      <c r="BG47" s="407">
        <f>+BG46</f>
        <v>0</v>
      </c>
      <c r="BH47" s="407">
        <f>+BH46</f>
        <v>0</v>
      </c>
      <c r="BI47" s="407">
        <f>+BI46</f>
        <v>0</v>
      </c>
      <c r="BJ47" s="407">
        <f t="shared" ref="BJ47:BY47" si="72">+BJ46</f>
        <v>717101.01</v>
      </c>
      <c r="BK47" s="407">
        <f t="shared" si="72"/>
        <v>0</v>
      </c>
      <c r="BL47" s="407"/>
      <c r="BM47" s="407">
        <f t="shared" si="72"/>
        <v>0</v>
      </c>
      <c r="BN47" s="401">
        <f t="shared" si="72"/>
        <v>778834.53</v>
      </c>
      <c r="BO47" s="401">
        <f t="shared" si="72"/>
        <v>0</v>
      </c>
      <c r="BP47" s="401"/>
      <c r="BQ47" s="401">
        <f t="shared" si="72"/>
        <v>0</v>
      </c>
      <c r="BR47" s="401">
        <f t="shared" si="72"/>
        <v>1066066.3500000001</v>
      </c>
      <c r="BS47" s="401">
        <f t="shared" si="72"/>
        <v>0</v>
      </c>
      <c r="BT47" s="401"/>
      <c r="BU47" s="401">
        <f t="shared" si="72"/>
        <v>0</v>
      </c>
      <c r="BV47" s="401">
        <f t="shared" si="72"/>
        <v>715400.34000000008</v>
      </c>
      <c r="BW47" s="296">
        <f t="shared" si="72"/>
        <v>0</v>
      </c>
      <c r="BX47" s="401">
        <f t="shared" si="72"/>
        <v>0</v>
      </c>
      <c r="BY47" s="401">
        <f t="shared" si="72"/>
        <v>0</v>
      </c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7"/>
      <c r="CK47" s="297"/>
      <c r="CL47" s="297"/>
      <c r="CM47" s="297"/>
      <c r="CN47" s="297"/>
      <c r="CO47" s="297"/>
      <c r="CP47" s="297"/>
      <c r="CQ47" s="297"/>
      <c r="CR47" s="297"/>
      <c r="CS47" s="297"/>
      <c r="CT47" s="298">
        <f>CT46</f>
        <v>11602326.103222053</v>
      </c>
      <c r="CU47" s="298">
        <f>CU46</f>
        <v>2957226.5007306808</v>
      </c>
      <c r="CV47" s="298">
        <f>CV46</f>
        <v>5998915.2163350275</v>
      </c>
      <c r="CX47" s="220">
        <f t="shared" si="24"/>
        <v>8645099.6024913732</v>
      </c>
      <c r="CY47" s="299">
        <f t="shared" si="49"/>
        <v>0</v>
      </c>
    </row>
    <row r="48" spans="1:103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321">
        <f t="shared" ref="BZ48:BZ57" si="73">IF(D48=0,0,2001-(D48-F48)*C48/D48)</f>
        <v>0</v>
      </c>
      <c r="CA48" s="385">
        <f t="shared" ref="CA48:CA57" si="74">IF((1-($CT$2-$BZ48)/$C48)&gt;0,(1-($CT$2-$BZ48)/$C48),0)</f>
        <v>0</v>
      </c>
      <c r="CB48" s="333">
        <f t="shared" ref="CB48:CB57" si="75">IF((1-($CT$2-G$2)/$C48)&gt;0,(1-($CT$2-G$2)/$C48),0)</f>
        <v>0</v>
      </c>
      <c r="CC48" s="333">
        <f t="shared" ref="CC48:CC57" si="76">IF((1-($CT$2-K$2)/$C48)&gt;0,(1-($CT$2-K$2)/$C48),0)</f>
        <v>0</v>
      </c>
      <c r="CD48" s="333">
        <f t="shared" ref="CD48:CD57" si="77">IF((1-($CT$2-O$2)/$C48)&gt;0,(1-($CT$2-O$2)/$C48),0)</f>
        <v>0</v>
      </c>
      <c r="CE48" s="333">
        <f t="shared" ref="CE48:CE57" si="78">IF((1-($CT$2-S$2)/$C48)&gt;0,(1-($CT$2-S$2)/$C48),0)</f>
        <v>0</v>
      </c>
      <c r="CF48" s="333">
        <f t="shared" ref="CF48:CF57" si="79">IF((1-($CT$2-W$2)/$C48)&gt;0,(1-($CT$2-W$2)/$C48),0)</f>
        <v>0</v>
      </c>
      <c r="CG48" s="333">
        <f t="shared" ref="CG48:CG57" si="80">IF((1-($CT$2-AA$2)/$C48)&gt;0,(1-($CT$2-AA$2)/$C48),0)</f>
        <v>0</v>
      </c>
      <c r="CH48" s="333">
        <f t="shared" ref="CH48:CH57" si="81">IF((1-($CT$2-AE$2)/$C48)&gt;0,(1-($CT$2-AE$2)/$C48),0)</f>
        <v>0</v>
      </c>
      <c r="CI48" s="333">
        <f t="shared" ref="CI48:CI57" si="82">IF((1-($CT$2-AI$2)/$C48)&gt;0,(1-($CT$2-AI$2)/$C48),0)</f>
        <v>0</v>
      </c>
      <c r="CJ48" s="333">
        <f t="shared" ref="CJ48:CJ57" si="83">IF((1-($CT$2-AM$2)/$C48)&gt;0,(1-($CT$2-AM$2)/$C48),0)</f>
        <v>0</v>
      </c>
      <c r="CK48" s="333">
        <f t="shared" ref="CK48:CK57" si="84">IF((1-($CT$2-AQ$2)/$C48)&gt;0,(1-($CT$2-AQ$2)/$C48),0)</f>
        <v>0</v>
      </c>
      <c r="CL48" s="333">
        <f t="shared" ref="CL48:CL57" si="85">IF((1-($CT$2-AU$2)/$C48)&gt;0,(1-($CT$2-AU$2)/$C48),0)</f>
        <v>0</v>
      </c>
      <c r="CM48" s="333">
        <f t="shared" ref="CM48:CM57" si="86">IF((1-($CT$2-AY$2)/$C48)&gt;0,(1-($CT$2-AY$2)/$C48),0)</f>
        <v>0</v>
      </c>
      <c r="CN48" s="333">
        <f t="shared" ref="CN48:CN57" si="87">IF((1-($CT$2-BC$2)/$C48)&gt;0,(1-($CT$2-BC$2)/$C48),0)</f>
        <v>0</v>
      </c>
      <c r="CO48" s="333">
        <f t="shared" ref="CO48:CO57" si="88">IF(BG48=0,0,1-($CT$2-(2014.5-(BG48-BI48)*C48/BG48))/C48)</f>
        <v>0</v>
      </c>
      <c r="CP48" s="333">
        <f t="shared" ref="CP48:CP57" si="89">IF((1-($CT$2-BJ$2)/$C48)&gt;0,(1-($CT$2-BJ$2)/$C48),0)</f>
        <v>0.25</v>
      </c>
      <c r="CQ48" s="333">
        <f t="shared" ref="CQ48:CQ57" si="90">IF((1-($CT$2-BN$2)/$C48)&gt;0,(1-($CT$2-BN$2)/$C48),0)</f>
        <v>0.5</v>
      </c>
      <c r="CR48" s="333">
        <f t="shared" ref="CR48:CR57" si="91">IF((1-($CT$2-BR$2)/$C48)&gt;0,(1-($CT$2-BR$2)/$C48),0)</f>
        <v>0.75</v>
      </c>
      <c r="CS48" s="333">
        <f t="shared" ref="CS48:CS57" si="92">IF((1-($CT$2-BV$2)/$C48)&gt;0,(1-($CT$2-BV$2)/$C48),0)</f>
        <v>1</v>
      </c>
      <c r="CT48" s="334">
        <f t="shared" ref="CT48:CT57" si="93"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</f>
        <v>0</v>
      </c>
      <c r="CU48" s="334">
        <f t="shared" ref="CU48:CU57" si="94">IF(CA48=0,D48-E48,0)+IF(CB48=0,(G48-H48-I48)*G$63,0)+IF(CC48=0,(K48-L48-M48)*K$63,0)+IF(CD48=0,(O48-P48-Q48)*O$63,0)+IF(CE48=0,(S48-T48-U48)*S$63,0)+IF(CF48=0,(W48-X48-Y48)*W$63,0)+IF(CG48=0,(AA48-AB48-AC48)*AA$63,0)+IF(CH48=0,(AE48-AF48-AG48)*AE$63,0)+IF(CI48=0,(AI48-AJ48-AK48)*AI$63,0)+IF(CJ48=0,(AM48-AN48-AO48)*AM$63,0)+IF(CK48=0,(AQ48-AR48-AS48)*$AQ$63,0)+IF(CL48=0,(AU48-AV48-AW48)*$AU$63,0)+IF(CM48=0,(AY48-AZ48-BA48)*$AY$63,0)++IF(CN48=0,(BC48-BD48-BE48)*$BC$63,0)+IF(CP48=0,(BJ48-BK48-BL48)*$BJ$63,0)+IF(CO48=0,BG48,0)+IF(CQ48=0,(BN48-BO48-BP48)*$BN$63,0)+IF(CR48=0,(BR48-BS48-BT48)*$BR$63,0)+IF(CS48=0,(BV48-BW48-BX48)*$BV$63,0)</f>
        <v>0</v>
      </c>
      <c r="CV48" s="334">
        <f t="shared" ref="CV48:CV57" si="95">(D48-E48)*CA48+((G48-H48-(I48-J48))*G$63)*CB48+((K48-L48-(M48-N48))*K$63)*CC48+((O48-P48-(Q48-R48))*O$63)*CD48+((S48-T48-(U48-V48))*S$63)*CE48+((W48-X48-(Y48-Z48))*W$63)*CF48+((AA48-AB48-(AC48-AD48))*AA$63)*CG48+((AE48-AF48-(AG48-AH48))*AE$63)*CH48+((AI48-AJ48-(AK48-AL48))*AI$63)*CI48+((AM48-AN48-(AO48-AP48))*$AM$63)*CJ48+((AQ48-AR48-(AS48-AT48))*$AQ$63)*CK48+((AU48-AV48-(AW48-AX48))*$AU$63)*CL48+((AY48-AZ48-(BA48-BB48))*$AY$63)*CM48+((BC48-BD48-(BE48-BF48))*$BC$63)*CN48+((BJ48-BK48-(BL48-BM48))*$BJ$63)*CP48+(BG48-BH48)*CO48+((BN48-BO48-(BP48-BQ48))*$BN$63)*CQ48+((BR48-BS48-(BT48-BU48))*$BR$63)*CR48+((BV48-BW48-(BX48-BY48))*$BV$63)*CS48</f>
        <v>0</v>
      </c>
      <c r="CX48" s="220">
        <f t="shared" si="24"/>
        <v>0</v>
      </c>
      <c r="CY48" s="299">
        <f t="shared" si="49"/>
        <v>0</v>
      </c>
    </row>
    <row r="49" spans="1:103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321">
        <f t="shared" si="73"/>
        <v>0</v>
      </c>
      <c r="CA49" s="385">
        <f t="shared" si="74"/>
        <v>0</v>
      </c>
      <c r="CB49" s="333">
        <f t="shared" si="75"/>
        <v>0.98399999999999999</v>
      </c>
      <c r="CC49" s="333">
        <f t="shared" si="76"/>
        <v>0.98499999999999999</v>
      </c>
      <c r="CD49" s="333">
        <f t="shared" si="77"/>
        <v>0.98599999999999999</v>
      </c>
      <c r="CE49" s="333">
        <f t="shared" si="78"/>
        <v>0.98699999999999999</v>
      </c>
      <c r="CF49" s="333">
        <f t="shared" si="79"/>
        <v>0.98799999999999999</v>
      </c>
      <c r="CG49" s="333">
        <f t="shared" si="80"/>
        <v>0.98899999999999999</v>
      </c>
      <c r="CH49" s="333">
        <f t="shared" si="81"/>
        <v>0.99</v>
      </c>
      <c r="CI49" s="333">
        <f t="shared" si="82"/>
        <v>0.99099999999999999</v>
      </c>
      <c r="CJ49" s="333">
        <f t="shared" si="83"/>
        <v>0.99199999999999999</v>
      </c>
      <c r="CK49" s="333">
        <f t="shared" si="84"/>
        <v>0.99299999999999999</v>
      </c>
      <c r="CL49" s="333">
        <f t="shared" si="85"/>
        <v>0.99399999999999999</v>
      </c>
      <c r="CM49" s="333">
        <f t="shared" si="86"/>
        <v>0.995</v>
      </c>
      <c r="CN49" s="333">
        <f t="shared" si="87"/>
        <v>0.996</v>
      </c>
      <c r="CO49" s="333">
        <f t="shared" si="88"/>
        <v>0</v>
      </c>
      <c r="CP49" s="333">
        <f t="shared" si="89"/>
        <v>0.997</v>
      </c>
      <c r="CQ49" s="333">
        <f t="shared" si="90"/>
        <v>0.998</v>
      </c>
      <c r="CR49" s="333">
        <f t="shared" si="91"/>
        <v>0.999</v>
      </c>
      <c r="CS49" s="333">
        <f t="shared" si="92"/>
        <v>1</v>
      </c>
      <c r="CT49" s="334">
        <f t="shared" si="93"/>
        <v>0</v>
      </c>
      <c r="CU49" s="334">
        <f t="shared" si="94"/>
        <v>0</v>
      </c>
      <c r="CV49" s="334">
        <f t="shared" si="95"/>
        <v>0</v>
      </c>
      <c r="CX49" s="220">
        <f t="shared" si="24"/>
        <v>0</v>
      </c>
      <c r="CY49" s="299">
        <f t="shared" si="49"/>
        <v>0</v>
      </c>
    </row>
    <row r="50" spans="1:103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321">
        <f t="shared" si="73"/>
        <v>1991.8040336868928</v>
      </c>
      <c r="CA50" s="333">
        <f t="shared" si="74"/>
        <v>0.34510084217232018</v>
      </c>
      <c r="CB50" s="333">
        <f t="shared" si="75"/>
        <v>0.6</v>
      </c>
      <c r="CC50" s="333">
        <f t="shared" si="76"/>
        <v>0.625</v>
      </c>
      <c r="CD50" s="333">
        <f t="shared" si="77"/>
        <v>0.65</v>
      </c>
      <c r="CE50" s="333">
        <f t="shared" si="78"/>
        <v>0.67500000000000004</v>
      </c>
      <c r="CF50" s="333">
        <f t="shared" si="79"/>
        <v>0.7</v>
      </c>
      <c r="CG50" s="333">
        <f t="shared" si="80"/>
        <v>0.72499999999999998</v>
      </c>
      <c r="CH50" s="333">
        <f t="shared" si="81"/>
        <v>0.75</v>
      </c>
      <c r="CI50" s="333">
        <f t="shared" si="82"/>
        <v>0.77500000000000002</v>
      </c>
      <c r="CJ50" s="333">
        <f t="shared" si="83"/>
        <v>0.8</v>
      </c>
      <c r="CK50" s="333">
        <f t="shared" si="84"/>
        <v>0.82499999999999996</v>
      </c>
      <c r="CL50" s="333">
        <f t="shared" si="85"/>
        <v>0.85</v>
      </c>
      <c r="CM50" s="333">
        <f t="shared" si="86"/>
        <v>0.875</v>
      </c>
      <c r="CN50" s="333">
        <f t="shared" si="87"/>
        <v>0.9</v>
      </c>
      <c r="CO50" s="333">
        <f t="shared" si="88"/>
        <v>0</v>
      </c>
      <c r="CP50" s="333">
        <f t="shared" si="89"/>
        <v>0.92500000000000004</v>
      </c>
      <c r="CQ50" s="333">
        <f t="shared" si="90"/>
        <v>0.95</v>
      </c>
      <c r="CR50" s="333">
        <f t="shared" si="91"/>
        <v>0.97499999999999998</v>
      </c>
      <c r="CS50" s="333">
        <f t="shared" si="92"/>
        <v>1</v>
      </c>
      <c r="CT50" s="334">
        <f t="shared" si="93"/>
        <v>1094161.605459783</v>
      </c>
      <c r="CU50" s="334">
        <f t="shared" si="94"/>
        <v>0</v>
      </c>
      <c r="CV50" s="334">
        <f t="shared" si="95"/>
        <v>384788.11468865356</v>
      </c>
      <c r="CX50" s="220">
        <f t="shared" si="24"/>
        <v>1094161.605459783</v>
      </c>
      <c r="CY50" s="299">
        <f t="shared" si="49"/>
        <v>0</v>
      </c>
    </row>
    <row r="51" spans="1:103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321">
        <f t="shared" si="73"/>
        <v>1994.6431227317414</v>
      </c>
      <c r="CA51" s="333">
        <f t="shared" si="74"/>
        <v>0</v>
      </c>
      <c r="CB51" s="333">
        <f t="shared" si="75"/>
        <v>0.27272727272727271</v>
      </c>
      <c r="CC51" s="333">
        <f t="shared" si="76"/>
        <v>0.31818181818181823</v>
      </c>
      <c r="CD51" s="333">
        <f t="shared" si="77"/>
        <v>0.36363636363636365</v>
      </c>
      <c r="CE51" s="333">
        <f t="shared" si="78"/>
        <v>0.40909090909090906</v>
      </c>
      <c r="CF51" s="333">
        <f t="shared" si="79"/>
        <v>0.45454545454545459</v>
      </c>
      <c r="CG51" s="333">
        <f t="shared" si="80"/>
        <v>0.5</v>
      </c>
      <c r="CH51" s="333">
        <f t="shared" si="81"/>
        <v>0.54545454545454541</v>
      </c>
      <c r="CI51" s="333">
        <f t="shared" si="82"/>
        <v>0.59090909090909083</v>
      </c>
      <c r="CJ51" s="333">
        <f t="shared" si="83"/>
        <v>0.63636363636363635</v>
      </c>
      <c r="CK51" s="333">
        <f t="shared" si="84"/>
        <v>0.68181818181818188</v>
      </c>
      <c r="CL51" s="333">
        <f t="shared" si="85"/>
        <v>0.72727272727272729</v>
      </c>
      <c r="CM51" s="333">
        <f t="shared" si="86"/>
        <v>0.77272727272727271</v>
      </c>
      <c r="CN51" s="333">
        <f t="shared" si="87"/>
        <v>0.81818181818181812</v>
      </c>
      <c r="CO51" s="333">
        <f t="shared" si="88"/>
        <v>0.49368708416848639</v>
      </c>
      <c r="CP51" s="333">
        <f t="shared" si="89"/>
        <v>0.86363636363636365</v>
      </c>
      <c r="CQ51" s="333">
        <f t="shared" si="90"/>
        <v>0.90909090909090906</v>
      </c>
      <c r="CR51" s="333">
        <f t="shared" si="91"/>
        <v>0.95454545454545459</v>
      </c>
      <c r="CS51" s="333">
        <f t="shared" si="92"/>
        <v>1</v>
      </c>
      <c r="CT51" s="334">
        <f t="shared" si="93"/>
        <v>12444564.451811006</v>
      </c>
      <c r="CU51" s="334">
        <f t="shared" si="94"/>
        <v>4570414.9220673665</v>
      </c>
      <c r="CV51" s="334">
        <f t="shared" si="95"/>
        <v>5378977.6022455767</v>
      </c>
      <c r="CX51" s="220">
        <f t="shared" si="24"/>
        <v>7874149.5297436398</v>
      </c>
      <c r="CY51" s="299">
        <f t="shared" si="49"/>
        <v>0</v>
      </c>
    </row>
    <row r="52" spans="1:103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321">
        <f t="shared" si="73"/>
        <v>0</v>
      </c>
      <c r="CA52" s="333">
        <f t="shared" si="74"/>
        <v>0</v>
      </c>
      <c r="CB52" s="333">
        <f t="shared" si="75"/>
        <v>0.27272727272727271</v>
      </c>
      <c r="CC52" s="333">
        <f t="shared" si="76"/>
        <v>0.31818181818181823</v>
      </c>
      <c r="CD52" s="333">
        <f t="shared" si="77"/>
        <v>0.36363636363636365</v>
      </c>
      <c r="CE52" s="333">
        <f t="shared" si="78"/>
        <v>0.40909090909090906</v>
      </c>
      <c r="CF52" s="333">
        <f t="shared" si="79"/>
        <v>0.45454545454545459</v>
      </c>
      <c r="CG52" s="333">
        <f t="shared" si="80"/>
        <v>0.5</v>
      </c>
      <c r="CH52" s="333">
        <f t="shared" si="81"/>
        <v>0.54545454545454541</v>
      </c>
      <c r="CI52" s="333">
        <f t="shared" si="82"/>
        <v>0.59090909090909083</v>
      </c>
      <c r="CJ52" s="333">
        <f t="shared" si="83"/>
        <v>0.63636363636363635</v>
      </c>
      <c r="CK52" s="333">
        <f t="shared" si="84"/>
        <v>0.68181818181818188</v>
      </c>
      <c r="CL52" s="333">
        <f t="shared" si="85"/>
        <v>0.72727272727272729</v>
      </c>
      <c r="CM52" s="333">
        <f t="shared" si="86"/>
        <v>0.77272727272727271</v>
      </c>
      <c r="CN52" s="333">
        <f t="shared" si="87"/>
        <v>0.81818181818181812</v>
      </c>
      <c r="CO52" s="333">
        <f t="shared" si="88"/>
        <v>0</v>
      </c>
      <c r="CP52" s="333">
        <f t="shared" si="89"/>
        <v>0.86363636363636365</v>
      </c>
      <c r="CQ52" s="333">
        <f t="shared" si="90"/>
        <v>0.90909090909090906</v>
      </c>
      <c r="CR52" s="333">
        <f t="shared" si="91"/>
        <v>0.95454545454545459</v>
      </c>
      <c r="CS52" s="333">
        <f t="shared" si="92"/>
        <v>1</v>
      </c>
      <c r="CT52" s="334">
        <f t="shared" si="93"/>
        <v>0</v>
      </c>
      <c r="CU52" s="334">
        <f t="shared" si="94"/>
        <v>0</v>
      </c>
      <c r="CV52" s="334">
        <f t="shared" si="95"/>
        <v>0</v>
      </c>
      <c r="CX52" s="220">
        <f t="shared" si="24"/>
        <v>0</v>
      </c>
      <c r="CY52" s="299">
        <f t="shared" si="49"/>
        <v>0</v>
      </c>
    </row>
    <row r="53" spans="1:103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321">
        <f t="shared" si="73"/>
        <v>2000.9353796694659</v>
      </c>
      <c r="CA53" s="333">
        <f t="shared" si="74"/>
        <v>0</v>
      </c>
      <c r="CB53" s="333">
        <f t="shared" si="75"/>
        <v>0</v>
      </c>
      <c r="CC53" s="333">
        <f t="shared" si="76"/>
        <v>0</v>
      </c>
      <c r="CD53" s="333">
        <f t="shared" si="77"/>
        <v>0</v>
      </c>
      <c r="CE53" s="333">
        <f t="shared" si="78"/>
        <v>0</v>
      </c>
      <c r="CF53" s="333">
        <f t="shared" si="79"/>
        <v>0</v>
      </c>
      <c r="CG53" s="333">
        <f t="shared" si="80"/>
        <v>0</v>
      </c>
      <c r="CH53" s="333">
        <f t="shared" si="81"/>
        <v>0</v>
      </c>
      <c r="CI53" s="333">
        <f t="shared" si="82"/>
        <v>0</v>
      </c>
      <c r="CJ53" s="333">
        <f t="shared" si="83"/>
        <v>0</v>
      </c>
      <c r="CK53" s="333">
        <f t="shared" si="84"/>
        <v>0</v>
      </c>
      <c r="CL53" s="333">
        <f t="shared" si="85"/>
        <v>0.1428571428571429</v>
      </c>
      <c r="CM53" s="333">
        <f t="shared" si="86"/>
        <v>0.2857142857142857</v>
      </c>
      <c r="CN53" s="333">
        <f t="shared" si="87"/>
        <v>0.4285714285714286</v>
      </c>
      <c r="CO53" s="333">
        <f t="shared" si="88"/>
        <v>0</v>
      </c>
      <c r="CP53" s="333">
        <f t="shared" si="89"/>
        <v>0.5714285714285714</v>
      </c>
      <c r="CQ53" s="333">
        <f t="shared" si="90"/>
        <v>0.7142857142857143</v>
      </c>
      <c r="CR53" s="333">
        <f t="shared" si="91"/>
        <v>0.85714285714285721</v>
      </c>
      <c r="CS53" s="333">
        <f t="shared" si="92"/>
        <v>1</v>
      </c>
      <c r="CT53" s="334">
        <f t="shared" si="93"/>
        <v>14383.151123919413</v>
      </c>
      <c r="CU53" s="334">
        <f t="shared" si="94"/>
        <v>14383.151123919413</v>
      </c>
      <c r="CV53" s="334">
        <f t="shared" si="95"/>
        <v>0</v>
      </c>
      <c r="CX53" s="220">
        <f t="shared" si="24"/>
        <v>0</v>
      </c>
      <c r="CY53" s="299">
        <f t="shared" si="49"/>
        <v>0</v>
      </c>
    </row>
    <row r="54" spans="1:103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321">
        <f t="shared" si="73"/>
        <v>0</v>
      </c>
      <c r="CA54" s="333">
        <f t="shared" si="74"/>
        <v>0</v>
      </c>
      <c r="CB54" s="333">
        <f t="shared" si="75"/>
        <v>0</v>
      </c>
      <c r="CC54" s="333">
        <f t="shared" si="76"/>
        <v>0</v>
      </c>
      <c r="CD54" s="333">
        <f t="shared" si="77"/>
        <v>0</v>
      </c>
      <c r="CE54" s="333">
        <f t="shared" si="78"/>
        <v>0</v>
      </c>
      <c r="CF54" s="333">
        <f t="shared" si="79"/>
        <v>0</v>
      </c>
      <c r="CG54" s="333">
        <f t="shared" si="80"/>
        <v>0</v>
      </c>
      <c r="CH54" s="333">
        <f t="shared" si="81"/>
        <v>0</v>
      </c>
      <c r="CI54" s="333">
        <f t="shared" si="82"/>
        <v>0</v>
      </c>
      <c r="CJ54" s="333">
        <f t="shared" si="83"/>
        <v>0</v>
      </c>
      <c r="CK54" s="333">
        <f t="shared" si="84"/>
        <v>0</v>
      </c>
      <c r="CL54" s="333">
        <f t="shared" si="85"/>
        <v>0</v>
      </c>
      <c r="CM54" s="333">
        <f t="shared" si="86"/>
        <v>0</v>
      </c>
      <c r="CN54" s="333">
        <f t="shared" si="87"/>
        <v>0</v>
      </c>
      <c r="CO54" s="333">
        <f t="shared" si="88"/>
        <v>0</v>
      </c>
      <c r="CP54" s="333">
        <f t="shared" si="89"/>
        <v>0.25</v>
      </c>
      <c r="CQ54" s="333">
        <f t="shared" si="90"/>
        <v>0.5</v>
      </c>
      <c r="CR54" s="333">
        <f t="shared" si="91"/>
        <v>0.75</v>
      </c>
      <c r="CS54" s="333">
        <f t="shared" si="92"/>
        <v>1</v>
      </c>
      <c r="CT54" s="334">
        <f t="shared" si="93"/>
        <v>0</v>
      </c>
      <c r="CU54" s="334">
        <f t="shared" si="94"/>
        <v>0</v>
      </c>
      <c r="CV54" s="334">
        <f t="shared" si="95"/>
        <v>0</v>
      </c>
      <c r="CX54" s="220">
        <f t="shared" si="24"/>
        <v>0</v>
      </c>
      <c r="CY54" s="299">
        <f t="shared" si="49"/>
        <v>0</v>
      </c>
    </row>
    <row r="55" spans="1:103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321">
        <f t="shared" si="73"/>
        <v>0</v>
      </c>
      <c r="CA55" s="333">
        <f t="shared" si="74"/>
        <v>0</v>
      </c>
      <c r="CB55" s="333">
        <f t="shared" si="75"/>
        <v>0</v>
      </c>
      <c r="CC55" s="333">
        <f t="shared" si="76"/>
        <v>0</v>
      </c>
      <c r="CD55" s="333">
        <f t="shared" si="77"/>
        <v>0</v>
      </c>
      <c r="CE55" s="333">
        <f t="shared" si="78"/>
        <v>0</v>
      </c>
      <c r="CF55" s="333">
        <f t="shared" si="79"/>
        <v>0</v>
      </c>
      <c r="CG55" s="333">
        <f t="shared" si="80"/>
        <v>0</v>
      </c>
      <c r="CH55" s="333">
        <f t="shared" si="81"/>
        <v>0</v>
      </c>
      <c r="CI55" s="333">
        <f t="shared" si="82"/>
        <v>0</v>
      </c>
      <c r="CJ55" s="333">
        <f t="shared" si="83"/>
        <v>0</v>
      </c>
      <c r="CK55" s="333">
        <f t="shared" si="84"/>
        <v>0</v>
      </c>
      <c r="CL55" s="333">
        <f t="shared" si="85"/>
        <v>0</v>
      </c>
      <c r="CM55" s="333">
        <f t="shared" si="86"/>
        <v>0</v>
      </c>
      <c r="CN55" s="333">
        <f t="shared" si="87"/>
        <v>0.19999999999999996</v>
      </c>
      <c r="CO55" s="333">
        <f t="shared" si="88"/>
        <v>0</v>
      </c>
      <c r="CP55" s="333">
        <f t="shared" si="89"/>
        <v>0.4</v>
      </c>
      <c r="CQ55" s="333">
        <f t="shared" si="90"/>
        <v>0.6</v>
      </c>
      <c r="CR55" s="333">
        <f t="shared" si="91"/>
        <v>0.8</v>
      </c>
      <c r="CS55" s="333">
        <f t="shared" si="92"/>
        <v>1</v>
      </c>
      <c r="CT55" s="334">
        <f t="shared" si="93"/>
        <v>0</v>
      </c>
      <c r="CU55" s="334">
        <f t="shared" si="94"/>
        <v>0</v>
      </c>
      <c r="CV55" s="334">
        <f t="shared" si="95"/>
        <v>0</v>
      </c>
      <c r="CX55" s="220">
        <f t="shared" si="24"/>
        <v>0</v>
      </c>
      <c r="CY55" s="299">
        <f t="shared" si="49"/>
        <v>0</v>
      </c>
    </row>
    <row r="56" spans="1:103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321">
        <f t="shared" si="73"/>
        <v>0</v>
      </c>
      <c r="CA56" s="333">
        <f t="shared" si="74"/>
        <v>0</v>
      </c>
      <c r="CB56" s="333">
        <f t="shared" si="75"/>
        <v>0</v>
      </c>
      <c r="CC56" s="333">
        <f t="shared" si="76"/>
        <v>0</v>
      </c>
      <c r="CD56" s="333">
        <f t="shared" si="77"/>
        <v>0</v>
      </c>
      <c r="CE56" s="333">
        <f t="shared" si="78"/>
        <v>0</v>
      </c>
      <c r="CF56" s="333">
        <f t="shared" si="79"/>
        <v>0</v>
      </c>
      <c r="CG56" s="333">
        <f t="shared" si="80"/>
        <v>0</v>
      </c>
      <c r="CH56" s="333">
        <f t="shared" si="81"/>
        <v>0</v>
      </c>
      <c r="CI56" s="333">
        <f t="shared" si="82"/>
        <v>0</v>
      </c>
      <c r="CJ56" s="333">
        <f t="shared" si="83"/>
        <v>0</v>
      </c>
      <c r="CK56" s="333">
        <f t="shared" si="84"/>
        <v>0.125</v>
      </c>
      <c r="CL56" s="333">
        <f t="shared" si="85"/>
        <v>0.25</v>
      </c>
      <c r="CM56" s="333">
        <f t="shared" si="86"/>
        <v>0.375</v>
      </c>
      <c r="CN56" s="333">
        <f t="shared" si="87"/>
        <v>0.5</v>
      </c>
      <c r="CO56" s="333">
        <f t="shared" si="88"/>
        <v>0</v>
      </c>
      <c r="CP56" s="333">
        <f t="shared" si="89"/>
        <v>0.625</v>
      </c>
      <c r="CQ56" s="333">
        <f t="shared" si="90"/>
        <v>0.75</v>
      </c>
      <c r="CR56" s="333">
        <f t="shared" si="91"/>
        <v>0.875</v>
      </c>
      <c r="CS56" s="333">
        <f t="shared" si="92"/>
        <v>1</v>
      </c>
      <c r="CT56" s="334">
        <f t="shared" si="93"/>
        <v>0</v>
      </c>
      <c r="CU56" s="334">
        <f t="shared" si="94"/>
        <v>0</v>
      </c>
      <c r="CV56" s="334">
        <f t="shared" si="95"/>
        <v>0</v>
      </c>
      <c r="CX56" s="220">
        <f t="shared" si="24"/>
        <v>0</v>
      </c>
      <c r="CY56" s="299">
        <f t="shared" si="49"/>
        <v>0</v>
      </c>
    </row>
    <row r="57" spans="1:103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1">
        <v>0</v>
      </c>
      <c r="BW57" s="290">
        <v>0</v>
      </c>
      <c r="BX57" s="291"/>
      <c r="BY57" s="291"/>
      <c r="BZ57" s="321">
        <f t="shared" si="73"/>
        <v>0</v>
      </c>
      <c r="CA57" s="348">
        <f t="shared" si="74"/>
        <v>0</v>
      </c>
      <c r="CB57" s="333">
        <f t="shared" si="75"/>
        <v>5.8823529411764719E-2</v>
      </c>
      <c r="CC57" s="333">
        <f t="shared" si="76"/>
        <v>0.11764705882352944</v>
      </c>
      <c r="CD57" s="333">
        <f t="shared" si="77"/>
        <v>0.17647058823529416</v>
      </c>
      <c r="CE57" s="333">
        <f t="shared" si="78"/>
        <v>0.23529411764705888</v>
      </c>
      <c r="CF57" s="333">
        <f t="shared" si="79"/>
        <v>0.29411764705882348</v>
      </c>
      <c r="CG57" s="333">
        <f t="shared" si="80"/>
        <v>0.3529411764705882</v>
      </c>
      <c r="CH57" s="333">
        <f t="shared" si="81"/>
        <v>0.41176470588235292</v>
      </c>
      <c r="CI57" s="333">
        <f t="shared" si="82"/>
        <v>0.47058823529411764</v>
      </c>
      <c r="CJ57" s="333">
        <f t="shared" si="83"/>
        <v>0.52941176470588236</v>
      </c>
      <c r="CK57" s="333">
        <f t="shared" si="84"/>
        <v>0.58823529411764708</v>
      </c>
      <c r="CL57" s="333">
        <f t="shared" si="85"/>
        <v>0.64705882352941169</v>
      </c>
      <c r="CM57" s="333">
        <f t="shared" si="86"/>
        <v>0.70588235294117641</v>
      </c>
      <c r="CN57" s="333">
        <f t="shared" si="87"/>
        <v>0.76470588235294112</v>
      </c>
      <c r="CO57" s="333">
        <f t="shared" si="88"/>
        <v>0</v>
      </c>
      <c r="CP57" s="333">
        <f t="shared" si="89"/>
        <v>0.82352941176470584</v>
      </c>
      <c r="CQ57" s="333">
        <f t="shared" si="90"/>
        <v>0.88235294117647056</v>
      </c>
      <c r="CR57" s="333">
        <f t="shared" si="91"/>
        <v>0.94117647058823528</v>
      </c>
      <c r="CS57" s="333">
        <f t="shared" si="92"/>
        <v>1</v>
      </c>
      <c r="CT57" s="334">
        <f t="shared" si="93"/>
        <v>0</v>
      </c>
      <c r="CU57" s="334">
        <f t="shared" si="94"/>
        <v>0</v>
      </c>
      <c r="CV57" s="334">
        <f t="shared" si="95"/>
        <v>0</v>
      </c>
      <c r="CX57" s="220">
        <f t="shared" si="24"/>
        <v>0</v>
      </c>
      <c r="CY57" s="299">
        <f t="shared" si="49"/>
        <v>0</v>
      </c>
    </row>
    <row r="58" spans="1:103" s="1" customFormat="1" ht="12.75" customHeight="1" thickBot="1" x14ac:dyDescent="0.35">
      <c r="A58" s="576"/>
      <c r="B58" s="409" t="s">
        <v>42</v>
      </c>
      <c r="C58" s="302"/>
      <c r="D58" s="296">
        <v>5660028.2779788757</v>
      </c>
      <c r="E58" s="296"/>
      <c r="F58" s="296">
        <v>4092084.3124159449</v>
      </c>
      <c r="G58" s="296">
        <v>385845.48</v>
      </c>
      <c r="H58" s="296">
        <v>0</v>
      </c>
      <c r="I58" s="296"/>
      <c r="J58" s="296">
        <v>0</v>
      </c>
      <c r="K58" s="296">
        <v>452747.86</v>
      </c>
      <c r="L58" s="296">
        <v>0</v>
      </c>
      <c r="M58" s="296"/>
      <c r="N58" s="296">
        <v>0</v>
      </c>
      <c r="O58" s="296">
        <v>370817.32</v>
      </c>
      <c r="P58" s="296">
        <v>0</v>
      </c>
      <c r="Q58" s="296"/>
      <c r="R58" s="296">
        <v>0</v>
      </c>
      <c r="S58" s="395">
        <v>396757.73</v>
      </c>
      <c r="T58" s="296">
        <v>0</v>
      </c>
      <c r="U58" s="296"/>
      <c r="V58" s="396">
        <v>0</v>
      </c>
      <c r="W58" s="296">
        <v>291785.66999999993</v>
      </c>
      <c r="X58" s="296">
        <v>0</v>
      </c>
      <c r="Y58" s="296"/>
      <c r="Z58" s="296">
        <v>0</v>
      </c>
      <c r="AA58" s="296">
        <v>471133.24000000005</v>
      </c>
      <c r="AB58" s="296">
        <v>0</v>
      </c>
      <c r="AC58" s="410"/>
      <c r="AD58" s="296">
        <v>0</v>
      </c>
      <c r="AE58" s="296">
        <v>641039</v>
      </c>
      <c r="AF58" s="296">
        <v>0</v>
      </c>
      <c r="AG58" s="296"/>
      <c r="AH58" s="397">
        <v>0</v>
      </c>
      <c r="AI58" s="395">
        <v>528906.63000000012</v>
      </c>
      <c r="AJ58" s="296">
        <v>0</v>
      </c>
      <c r="AK58" s="296"/>
      <c r="AL58" s="396">
        <v>0</v>
      </c>
      <c r="AM58" s="296">
        <v>421950.02999999991</v>
      </c>
      <c r="AN58" s="296">
        <v>0</v>
      </c>
      <c r="AO58" s="296"/>
      <c r="AP58" s="296"/>
      <c r="AQ58" s="406">
        <v>401723.83</v>
      </c>
      <c r="AR58" s="407">
        <v>0</v>
      </c>
      <c r="AS58" s="407"/>
      <c r="AT58" s="407"/>
      <c r="AU58" s="407">
        <v>401723.83</v>
      </c>
      <c r="AV58" s="407">
        <v>0</v>
      </c>
      <c r="AW58" s="407"/>
      <c r="AX58" s="407"/>
      <c r="AY58" s="407">
        <v>555885.05319699994</v>
      </c>
      <c r="AZ58" s="407">
        <v>0</v>
      </c>
      <c r="BA58" s="407"/>
      <c r="BB58" s="407"/>
      <c r="BC58" s="408">
        <f>+SUM(BC48:BC57)</f>
        <v>660890.24999999988</v>
      </c>
      <c r="BD58" s="407"/>
      <c r="BE58" s="407"/>
      <c r="BF58" s="407"/>
      <c r="BG58" s="407">
        <f>+SUM(BG48:BG57)</f>
        <v>265555</v>
      </c>
      <c r="BH58" s="407">
        <f>+SUM(BH48:BH57)</f>
        <v>265555</v>
      </c>
      <c r="BI58" s="407">
        <f>+SUM(BI48:BI57)</f>
        <v>173348.46</v>
      </c>
      <c r="BJ58" s="407">
        <f t="shared" ref="BJ58:BQ58" si="96">+SUM(BJ48:BJ57)</f>
        <v>682413</v>
      </c>
      <c r="BK58" s="407">
        <f t="shared" si="96"/>
        <v>0</v>
      </c>
      <c r="BL58" s="407"/>
      <c r="BM58" s="407">
        <f t="shared" si="96"/>
        <v>0</v>
      </c>
      <c r="BN58" s="401">
        <f t="shared" si="96"/>
        <v>805417.89999999991</v>
      </c>
      <c r="BO58" s="401">
        <f t="shared" si="96"/>
        <v>0</v>
      </c>
      <c r="BP58" s="401"/>
      <c r="BQ58" s="401">
        <f t="shared" si="96"/>
        <v>0</v>
      </c>
      <c r="BR58" s="401">
        <f>+SUM(BR48:BR57)</f>
        <v>811234.00000000012</v>
      </c>
      <c r="BS58" s="401">
        <f>+SUM(BS48:BS57)</f>
        <v>0</v>
      </c>
      <c r="BT58" s="401"/>
      <c r="BU58" s="401">
        <f>+SUM(BU48:BU57)</f>
        <v>0</v>
      </c>
      <c r="BV58" s="401">
        <f>SUM(BV48:BV57)</f>
        <v>994683.03999999969</v>
      </c>
      <c r="BW58" s="305">
        <f>SUM(BW48:BW57)</f>
        <v>0</v>
      </c>
      <c r="BX58" s="401">
        <f>SUM(BX48:BX57)</f>
        <v>0</v>
      </c>
      <c r="BY58" s="401">
        <f>SUM(BY48:BY57)</f>
        <v>0</v>
      </c>
      <c r="BZ58" s="411"/>
      <c r="CA58" s="297"/>
      <c r="CB58" s="297"/>
      <c r="CC58" s="297"/>
      <c r="CD58" s="297"/>
      <c r="CE58" s="297"/>
      <c r="CF58" s="297"/>
      <c r="CG58" s="297"/>
      <c r="CH58" s="297"/>
      <c r="CI58" s="297"/>
      <c r="CJ58" s="297"/>
      <c r="CK58" s="297"/>
      <c r="CL58" s="297"/>
      <c r="CM58" s="297"/>
      <c r="CN58" s="297"/>
      <c r="CO58" s="297"/>
      <c r="CP58" s="297"/>
      <c r="CQ58" s="297"/>
      <c r="CR58" s="297"/>
      <c r="CS58" s="297"/>
      <c r="CT58" s="298">
        <f>SUM(CT48:CT57)</f>
        <v>13553109.208394708</v>
      </c>
      <c r="CU58" s="298">
        <f>SUM(CU48:CU57)</f>
        <v>4584798.0731912861</v>
      </c>
      <c r="CV58" s="298">
        <f>SUM(CV48:CV57)</f>
        <v>5763765.7169342302</v>
      </c>
      <c r="CX58" s="220">
        <f t="shared" si="24"/>
        <v>8968311.1352034211</v>
      </c>
      <c r="CY58" s="299">
        <f t="shared" si="49"/>
        <v>0</v>
      </c>
    </row>
    <row r="59" spans="1:103" s="23" customFormat="1" ht="30" customHeight="1" thickBot="1" x14ac:dyDescent="0.3">
      <c r="A59" s="412"/>
      <c r="B59" s="413" t="s">
        <v>43</v>
      </c>
      <c r="C59" s="414"/>
      <c r="D59" s="415">
        <v>80363913.342109516</v>
      </c>
      <c r="E59" s="415"/>
      <c r="F59" s="415">
        <v>45909466.481640987</v>
      </c>
      <c r="G59" s="415">
        <v>2297920.7887920002</v>
      </c>
      <c r="H59" s="415">
        <v>0</v>
      </c>
      <c r="I59" s="415"/>
      <c r="J59" s="415">
        <v>0</v>
      </c>
      <c r="K59" s="415">
        <v>3705380.7350740549</v>
      </c>
      <c r="L59" s="415">
        <v>315949</v>
      </c>
      <c r="M59" s="415"/>
      <c r="N59" s="415">
        <v>0</v>
      </c>
      <c r="O59" s="415">
        <v>3354159.6110609998</v>
      </c>
      <c r="P59" s="415">
        <v>0</v>
      </c>
      <c r="Q59" s="415"/>
      <c r="R59" s="415">
        <v>0</v>
      </c>
      <c r="S59" s="416">
        <v>3518386.36</v>
      </c>
      <c r="T59" s="416">
        <v>0</v>
      </c>
      <c r="U59" s="416"/>
      <c r="V59" s="416">
        <v>0</v>
      </c>
      <c r="W59" s="415">
        <v>3815993.5700000003</v>
      </c>
      <c r="X59" s="415">
        <v>0</v>
      </c>
      <c r="Y59" s="415"/>
      <c r="Z59" s="415">
        <v>0</v>
      </c>
      <c r="AA59" s="415">
        <v>5590315.4300000006</v>
      </c>
      <c r="AB59" s="415">
        <v>556386.07000000007</v>
      </c>
      <c r="AC59" s="415"/>
      <c r="AD59" s="415">
        <v>0</v>
      </c>
      <c r="AE59" s="417">
        <v>6630069.3099999996</v>
      </c>
      <c r="AF59" s="415">
        <v>0</v>
      </c>
      <c r="AG59" s="415"/>
      <c r="AH59" s="415">
        <v>0</v>
      </c>
      <c r="AI59" s="416">
        <v>8798937.4638769962</v>
      </c>
      <c r="AJ59" s="416">
        <v>0</v>
      </c>
      <c r="AK59" s="416"/>
      <c r="AL59" s="416">
        <v>0</v>
      </c>
      <c r="AM59" s="418">
        <v>6243081.9319999982</v>
      </c>
      <c r="AN59" s="418">
        <v>0</v>
      </c>
      <c r="AO59" s="419"/>
      <c r="AP59" s="418"/>
      <c r="AQ59" s="420">
        <v>7546107.3088913755</v>
      </c>
      <c r="AR59" s="421">
        <v>0</v>
      </c>
      <c r="AS59" s="421"/>
      <c r="AT59" s="421"/>
      <c r="AU59" s="421">
        <v>5992528.1899999967</v>
      </c>
      <c r="AV59" s="421">
        <v>0</v>
      </c>
      <c r="AW59" s="421"/>
      <c r="AX59" s="421"/>
      <c r="AY59" s="421">
        <v>9964863.5911969952</v>
      </c>
      <c r="AZ59" s="421">
        <v>0</v>
      </c>
      <c r="BA59" s="421"/>
      <c r="BB59" s="421"/>
      <c r="BC59" s="422">
        <f>+BC58+BC47+BC45+BC13</f>
        <v>11143773.309999999</v>
      </c>
      <c r="BD59" s="421"/>
      <c r="BE59" s="421"/>
      <c r="BF59" s="421"/>
      <c r="BG59" s="421">
        <f>+BG58+BG47+BG45+BG13</f>
        <v>8136602.2479580687</v>
      </c>
      <c r="BH59" s="421">
        <f>+BH58+BH47+BH45+BH13</f>
        <v>6029079.5579580693</v>
      </c>
      <c r="BI59" s="421">
        <f>+BI58+BI47+BI45+BI13</f>
        <v>6021259.6799999988</v>
      </c>
      <c r="BJ59" s="421">
        <f t="shared" ref="BJ59:BQ59" si="97">+BJ58+BJ47+BJ45+BJ13</f>
        <v>12605720.15</v>
      </c>
      <c r="BK59" s="421">
        <f t="shared" si="97"/>
        <v>0</v>
      </c>
      <c r="BL59" s="421"/>
      <c r="BM59" s="421">
        <f t="shared" si="97"/>
        <v>0</v>
      </c>
      <c r="BN59" s="423">
        <f t="shared" si="97"/>
        <v>25963295.499999996</v>
      </c>
      <c r="BO59" s="423">
        <f t="shared" si="97"/>
        <v>0</v>
      </c>
      <c r="BP59" s="423"/>
      <c r="BQ59" s="423">
        <f t="shared" si="97"/>
        <v>0</v>
      </c>
      <c r="BR59" s="423">
        <f>+BR58+BR47+BR45+BR13</f>
        <v>19553374.009999998</v>
      </c>
      <c r="BS59" s="423">
        <f>+BS58+BS47+BS45+BS13</f>
        <v>65610.73</v>
      </c>
      <c r="BT59" s="423"/>
      <c r="BU59" s="423">
        <f>+BU58+BU47+BU45+BU13</f>
        <v>0</v>
      </c>
      <c r="BV59" s="423">
        <f>BV58+BV47+BV13+BV45</f>
        <v>20404493.799999997</v>
      </c>
      <c r="BW59" s="311">
        <f>BW58+BW47+BW13+BW45</f>
        <v>2126529.2643995676</v>
      </c>
      <c r="BX59" s="423">
        <f>BX58+BX47+BX13+BX45</f>
        <v>0</v>
      </c>
      <c r="BY59" s="423">
        <f>BY58+BY47+BY13+BY45</f>
        <v>0</v>
      </c>
      <c r="BZ59" s="424"/>
      <c r="CA59" s="424"/>
      <c r="CB59" s="424"/>
      <c r="CC59" s="424"/>
      <c r="CD59" s="424"/>
      <c r="CE59" s="424"/>
      <c r="CF59" s="424"/>
      <c r="CG59" s="424"/>
      <c r="CH59" s="424"/>
      <c r="CI59" s="424"/>
      <c r="CJ59" s="424"/>
      <c r="CK59" s="424"/>
      <c r="CL59" s="424"/>
      <c r="CM59" s="424"/>
      <c r="CN59" s="424"/>
      <c r="CO59" s="424"/>
      <c r="CP59" s="424"/>
      <c r="CQ59" s="424"/>
      <c r="CR59" s="424"/>
      <c r="CS59" s="424"/>
      <c r="CT59" s="425">
        <f>CT13+CT45+CT47+CT58</f>
        <v>218027451.69530392</v>
      </c>
      <c r="CU59" s="425">
        <f>CU13+CU45+CU47+CU58</f>
        <v>63022260.416042745</v>
      </c>
      <c r="CV59" s="425">
        <f>CV13+CV45+CV47+CV58</f>
        <v>107508599.40131268</v>
      </c>
      <c r="CX59" s="220">
        <f t="shared" si="24"/>
        <v>155005191.27926117</v>
      </c>
      <c r="CY59" s="299">
        <f t="shared" si="49"/>
        <v>0</v>
      </c>
    </row>
    <row r="60" spans="1:103" ht="12.75" customHeight="1" x14ac:dyDescent="0.25">
      <c r="A60" s="577" t="s">
        <v>46</v>
      </c>
      <c r="B60" s="561" t="s">
        <v>6</v>
      </c>
      <c r="C60" s="561"/>
      <c r="D60" s="558">
        <v>1</v>
      </c>
      <c r="E60" s="559"/>
      <c r="F60" s="560"/>
      <c r="G60" s="558">
        <v>0.73425935745407456</v>
      </c>
      <c r="H60" s="559"/>
      <c r="I60" s="559"/>
      <c r="J60" s="560"/>
      <c r="K60" s="558">
        <v>0.7223278986436179</v>
      </c>
      <c r="L60" s="559"/>
      <c r="M60" s="559"/>
      <c r="N60" s="560"/>
      <c r="O60" s="558">
        <v>0.80446415375460911</v>
      </c>
      <c r="P60" s="559"/>
      <c r="Q60" s="559"/>
      <c r="R60" s="560"/>
      <c r="S60" s="562">
        <v>0.6</v>
      </c>
      <c r="T60" s="563"/>
      <c r="U60" s="563"/>
      <c r="V60" s="564"/>
      <c r="W60" s="558">
        <v>0.88619671568982039</v>
      </c>
      <c r="X60" s="559"/>
      <c r="Y60" s="559"/>
      <c r="Z60" s="560"/>
      <c r="AA60" s="558">
        <v>0.83739907628684485</v>
      </c>
      <c r="AB60" s="559"/>
      <c r="AC60" s="559"/>
      <c r="AD60" s="560"/>
      <c r="AE60" s="558">
        <v>0.85489205145403468</v>
      </c>
      <c r="AF60" s="559"/>
      <c r="AG60" s="559"/>
      <c r="AH60" s="560"/>
      <c r="AI60" s="558">
        <v>0.860049343536328</v>
      </c>
      <c r="AJ60" s="559"/>
      <c r="AK60" s="559"/>
      <c r="AL60" s="560"/>
      <c r="AM60" s="558">
        <v>1</v>
      </c>
      <c r="AN60" s="559">
        <v>0</v>
      </c>
      <c r="AO60" s="559">
        <v>0</v>
      </c>
      <c r="AP60" s="560">
        <v>0</v>
      </c>
      <c r="AQ60" s="558">
        <v>0.96450748585106127</v>
      </c>
      <c r="AR60" s="559">
        <v>0</v>
      </c>
      <c r="AS60" s="559">
        <v>0</v>
      </c>
      <c r="AT60" s="560">
        <v>0</v>
      </c>
      <c r="AU60" s="568">
        <v>0</v>
      </c>
      <c r="AV60" s="569">
        <v>0</v>
      </c>
      <c r="AW60" s="569">
        <v>0</v>
      </c>
      <c r="AX60" s="570">
        <v>0</v>
      </c>
      <c r="AY60" s="558">
        <v>1</v>
      </c>
      <c r="AZ60" s="559">
        <v>0</v>
      </c>
      <c r="BA60" s="559">
        <v>0</v>
      </c>
      <c r="BB60" s="560">
        <v>0</v>
      </c>
      <c r="BC60" s="558">
        <v>0.90074035778042882</v>
      </c>
      <c r="BD60" s="559"/>
      <c r="BE60" s="559"/>
      <c r="BF60" s="560"/>
      <c r="BG60" s="390"/>
      <c r="BH60" s="390"/>
      <c r="BI60" s="390"/>
      <c r="BJ60" s="558">
        <v>0.82138749486930474</v>
      </c>
      <c r="BK60" s="559"/>
      <c r="BL60" s="559"/>
      <c r="BM60" s="560"/>
      <c r="BN60" s="558">
        <v>0.89522906288268778</v>
      </c>
      <c r="BO60" s="559"/>
      <c r="BP60" s="559"/>
      <c r="BQ60" s="560"/>
      <c r="BR60" s="558">
        <v>0.93156588934484996</v>
      </c>
      <c r="BS60" s="559"/>
      <c r="BT60" s="559"/>
      <c r="BU60" s="560"/>
      <c r="BV60" s="565">
        <v>0.89999999999999991</v>
      </c>
      <c r="BW60" s="566"/>
      <c r="BX60" s="566"/>
      <c r="BY60" s="567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</row>
    <row r="61" spans="1:103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</row>
    <row r="62" spans="1:103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</row>
    <row r="63" spans="1:103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</row>
    <row r="64" spans="1:103" ht="12.75" customHeight="1" x14ac:dyDescent="0.25"/>
    <row r="65" spans="4:75" x14ac:dyDescent="0.25">
      <c r="BV65" s="221">
        <v>0</v>
      </c>
      <c r="BW65" s="391">
        <v>0</v>
      </c>
    </row>
    <row r="66" spans="4:75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</row>
    <row r="68" spans="4:75" ht="13.25" customHeight="1" x14ac:dyDescent="0.25"/>
    <row r="70" spans="4:75" ht="13.25" customHeight="1" x14ac:dyDescent="0.25"/>
    <row r="74" spans="4:75" x14ac:dyDescent="0.25">
      <c r="AU74" s="220"/>
      <c r="AV74" s="220"/>
      <c r="AW74" s="221"/>
      <c r="AX74" s="221"/>
      <c r="AY74" s="221"/>
      <c r="AZ74" s="221"/>
      <c r="BA74" s="221"/>
      <c r="BB74" s="221"/>
    </row>
    <row r="75" spans="4:75" x14ac:dyDescent="0.25">
      <c r="AU75" s="221"/>
      <c r="AV75" s="221"/>
      <c r="AW75" s="221"/>
      <c r="AX75" s="221"/>
      <c r="AY75" s="221"/>
      <c r="AZ75" s="221"/>
      <c r="BA75" s="221"/>
      <c r="BB75" s="221"/>
    </row>
    <row r="81" customFormat="1" ht="13.25" customHeigh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198"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AY2:BB2"/>
    <mergeCell ref="BC2:BF2"/>
    <mergeCell ref="BJ2:BM2"/>
    <mergeCell ref="BN2:BQ2"/>
    <mergeCell ref="BR2:BU2"/>
    <mergeCell ref="J3:J4"/>
    <mergeCell ref="K3:K4"/>
    <mergeCell ref="L3:L4"/>
    <mergeCell ref="M3:M4"/>
    <mergeCell ref="N3:N4"/>
    <mergeCell ref="O3:O4"/>
    <mergeCell ref="D3:D4"/>
    <mergeCell ref="E3:E4"/>
    <mergeCell ref="F3:F4"/>
    <mergeCell ref="CT2:CV2"/>
    <mergeCell ref="BG2:BI2"/>
    <mergeCell ref="BV2:BY2"/>
    <mergeCell ref="AA2:AD2"/>
    <mergeCell ref="AE2:AH2"/>
    <mergeCell ref="AI2:AL2"/>
    <mergeCell ref="AM2:AP2"/>
    <mergeCell ref="AQ2:AT2"/>
    <mergeCell ref="AU2:AX2"/>
    <mergeCell ref="G3:G4"/>
    <mergeCell ref="H3:H4"/>
    <mergeCell ref="I3:I4"/>
    <mergeCell ref="V3:V4"/>
    <mergeCell ref="W3:W4"/>
    <mergeCell ref="X3:X4"/>
    <mergeCell ref="Y3:Y4"/>
    <mergeCell ref="Z3:Z4"/>
    <mergeCell ref="AA3:AA4"/>
    <mergeCell ref="P3:P4"/>
    <mergeCell ref="Q3:Q4"/>
    <mergeCell ref="R3:R4"/>
    <mergeCell ref="S3:S4"/>
    <mergeCell ref="T3:T4"/>
    <mergeCell ref="U3:U4"/>
    <mergeCell ref="AH3:AH4"/>
    <mergeCell ref="AI3:AI4"/>
    <mergeCell ref="AJ3:AJ4"/>
    <mergeCell ref="AK3:AK4"/>
    <mergeCell ref="AL3:AL4"/>
    <mergeCell ref="AM3:AM4"/>
    <mergeCell ref="AB3:AB4"/>
    <mergeCell ref="AC3:AC4"/>
    <mergeCell ref="AD3:AD4"/>
    <mergeCell ref="AE3:AE4"/>
    <mergeCell ref="AF3:AF4"/>
    <mergeCell ref="AG3:AG4"/>
    <mergeCell ref="AT3:AT4"/>
    <mergeCell ref="AU3:AU4"/>
    <mergeCell ref="AV3:AV4"/>
    <mergeCell ref="AW3:AW4"/>
    <mergeCell ref="AX3:AX4"/>
    <mergeCell ref="AY3:AY4"/>
    <mergeCell ref="AN3:AN4"/>
    <mergeCell ref="AO3:AO4"/>
    <mergeCell ref="AP3:AP4"/>
    <mergeCell ref="AQ3:AQ4"/>
    <mergeCell ref="AR3:AR4"/>
    <mergeCell ref="AS3:AS4"/>
    <mergeCell ref="BM3:BM4"/>
    <mergeCell ref="BN3:BN4"/>
    <mergeCell ref="BO3:BO4"/>
    <mergeCell ref="BP3:BP4"/>
    <mergeCell ref="BQ3:BQ4"/>
    <mergeCell ref="BR3:BR4"/>
    <mergeCell ref="BI3:BI4"/>
    <mergeCell ref="AZ3:AZ4"/>
    <mergeCell ref="BA3:BA4"/>
    <mergeCell ref="BB3:BB4"/>
    <mergeCell ref="BC3:BC4"/>
    <mergeCell ref="BL3:BL4"/>
    <mergeCell ref="BJ3:BJ4"/>
    <mergeCell ref="BK3:BK4"/>
    <mergeCell ref="BG3:BG4"/>
    <mergeCell ref="BH3:BH4"/>
    <mergeCell ref="BS3:BS4"/>
    <mergeCell ref="BT3:BT4"/>
    <mergeCell ref="BU3:BU4"/>
    <mergeCell ref="BZ3:BZ4"/>
    <mergeCell ref="CA3:CA4"/>
    <mergeCell ref="CB3:CB4"/>
    <mergeCell ref="BV3:BV4"/>
    <mergeCell ref="BW3:BW4"/>
    <mergeCell ref="BX3:BX4"/>
    <mergeCell ref="BY3:BY4"/>
    <mergeCell ref="CK3:CK4"/>
    <mergeCell ref="CL3:CL4"/>
    <mergeCell ref="CM3:CM4"/>
    <mergeCell ref="CN3:CN4"/>
    <mergeCell ref="CC3:CC4"/>
    <mergeCell ref="CD3:CD4"/>
    <mergeCell ref="CE3:CE4"/>
    <mergeCell ref="CF3:CF4"/>
    <mergeCell ref="CG3:CG4"/>
    <mergeCell ref="CH3:CH4"/>
    <mergeCell ref="O60:R60"/>
    <mergeCell ref="S60:V60"/>
    <mergeCell ref="W60:Z60"/>
    <mergeCell ref="AA60:AD60"/>
    <mergeCell ref="AE60:AH60"/>
    <mergeCell ref="AI60:AL60"/>
    <mergeCell ref="CO3:CO4"/>
    <mergeCell ref="CV3:CV4"/>
    <mergeCell ref="A5:A13"/>
    <mergeCell ref="A46:A47"/>
    <mergeCell ref="A48:A58"/>
    <mergeCell ref="A60:A63"/>
    <mergeCell ref="B60:C60"/>
    <mergeCell ref="D60:F60"/>
    <mergeCell ref="G60:J60"/>
    <mergeCell ref="K60:N60"/>
    <mergeCell ref="CP3:CP4"/>
    <mergeCell ref="CQ3:CQ4"/>
    <mergeCell ref="CR3:CR4"/>
    <mergeCell ref="CT3:CT4"/>
    <mergeCell ref="CU3:CU4"/>
    <mergeCell ref="CS3:CS4"/>
    <mergeCell ref="CI3:CI4"/>
    <mergeCell ref="CJ3:CJ4"/>
    <mergeCell ref="B62:C62"/>
    <mergeCell ref="D62:F62"/>
    <mergeCell ref="G62:J62"/>
    <mergeCell ref="K62:N62"/>
    <mergeCell ref="O62:R62"/>
    <mergeCell ref="S62:V62"/>
    <mergeCell ref="AE61:AH61"/>
    <mergeCell ref="AI61:AL61"/>
    <mergeCell ref="AM61:AP61"/>
    <mergeCell ref="B61:C61"/>
    <mergeCell ref="D61:F61"/>
    <mergeCell ref="G61:J61"/>
    <mergeCell ref="K61:N61"/>
    <mergeCell ref="O61:R61"/>
    <mergeCell ref="S61:V61"/>
    <mergeCell ref="W61:Z61"/>
    <mergeCell ref="AA61:AD61"/>
    <mergeCell ref="W62:Z62"/>
    <mergeCell ref="AA62:AD62"/>
    <mergeCell ref="AE62:AH62"/>
    <mergeCell ref="AI62:AL62"/>
    <mergeCell ref="AM62:AP62"/>
    <mergeCell ref="BN60:BQ60"/>
    <mergeCell ref="AQ62:AT62"/>
    <mergeCell ref="BC61:BF61"/>
    <mergeCell ref="BJ61:BM61"/>
    <mergeCell ref="BN61:BQ61"/>
    <mergeCell ref="AQ61:AT61"/>
    <mergeCell ref="AU61:AX61"/>
    <mergeCell ref="AY61:BB61"/>
    <mergeCell ref="W63:Z63"/>
    <mergeCell ref="AA63:AD63"/>
    <mergeCell ref="AE63:AH63"/>
    <mergeCell ref="AI63:AL63"/>
    <mergeCell ref="AM63:AP63"/>
    <mergeCell ref="AQ63:AT63"/>
    <mergeCell ref="AM60:AP60"/>
    <mergeCell ref="AQ60:AT60"/>
    <mergeCell ref="AU60:AX60"/>
    <mergeCell ref="AY60:BB60"/>
    <mergeCell ref="BC60:BF60"/>
    <mergeCell ref="BJ60:BM60"/>
    <mergeCell ref="BR60:BU60"/>
    <mergeCell ref="B63:C63"/>
    <mergeCell ref="D63:F63"/>
    <mergeCell ref="G63:J63"/>
    <mergeCell ref="K63:N63"/>
    <mergeCell ref="O63:R63"/>
    <mergeCell ref="S63:V63"/>
    <mergeCell ref="BV60:BY60"/>
    <mergeCell ref="BV61:BY61"/>
    <mergeCell ref="BV62:BY62"/>
    <mergeCell ref="BV63:BY63"/>
    <mergeCell ref="AU63:AX63"/>
    <mergeCell ref="AY63:BB63"/>
    <mergeCell ref="BC63:BF63"/>
    <mergeCell ref="BJ63:BM63"/>
    <mergeCell ref="BN63:BQ63"/>
    <mergeCell ref="BR63:BU63"/>
    <mergeCell ref="AU62:AX62"/>
    <mergeCell ref="AY62:BB62"/>
    <mergeCell ref="BC62:BF62"/>
    <mergeCell ref="BJ62:BM62"/>
    <mergeCell ref="BN62:BQ62"/>
    <mergeCell ref="BR62:BU62"/>
    <mergeCell ref="BR61:BU6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BDF46-D508-4CB2-9831-77F4BE3489D2}">
  <sheetPr>
    <tabColor rgb="FFFFFF00"/>
  </sheetPr>
  <dimension ref="A1:DA426"/>
  <sheetViews>
    <sheetView workbookViewId="0">
      <pane xSplit="3" ySplit="4" topLeftCell="CW36" activePane="bottomRight" state="frozen"/>
      <selection pane="topRight" activeCell="D1" sqref="D1"/>
      <selection pane="bottomLeft" activeCell="A5" sqref="A5"/>
      <selection pane="bottomRight" activeCell="CY48" sqref="CY48:CZ57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8" width="8" bestFit="1" customWidth="1"/>
    <col min="9" max="9" width="8.81640625" bestFit="1" customWidth="1"/>
    <col min="10" max="10" width="8" bestFit="1" customWidth="1"/>
    <col min="11" max="11" width="13.453125" bestFit="1" customWidth="1"/>
    <col min="12" max="12" width="11.9062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4.6328125" bestFit="1" customWidth="1"/>
    <col min="75" max="75" width="11.08984375" bestFit="1" customWidth="1"/>
    <col min="76" max="77" width="8.81640625" bestFit="1" customWidth="1"/>
    <col min="78" max="78" width="14.6328125" bestFit="1" customWidth="1"/>
    <col min="79" max="79" width="12.08984375" bestFit="1" customWidth="1"/>
    <col min="80" max="81" width="8.81640625" bestFit="1" customWidth="1"/>
    <col min="82" max="89" width="11.1796875" customWidth="1"/>
    <col min="90" max="90" width="11.1796875" bestFit="1" customWidth="1"/>
    <col min="91" max="91" width="13" customWidth="1"/>
    <col min="92" max="92" width="15.453125" customWidth="1"/>
    <col min="95" max="95" width="10.1796875" customWidth="1"/>
  </cols>
  <sheetData>
    <row r="1" spans="1:105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</row>
    <row r="2" spans="1:105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392"/>
      <c r="CU2" s="392"/>
      <c r="CV2" s="392"/>
      <c r="CW2" s="392"/>
      <c r="CX2" s="392"/>
      <c r="CY2" s="584">
        <v>2019</v>
      </c>
      <c r="CZ2" s="585"/>
      <c r="DA2" s="586"/>
    </row>
    <row r="3" spans="1:105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571" t="s">
        <v>63</v>
      </c>
      <c r="CE3" s="571" t="s">
        <v>71</v>
      </c>
      <c r="CF3" s="571" t="s">
        <v>72</v>
      </c>
      <c r="CG3" s="571" t="s">
        <v>73</v>
      </c>
      <c r="CH3" s="571" t="s">
        <v>74</v>
      </c>
      <c r="CI3" s="571" t="s">
        <v>75</v>
      </c>
      <c r="CJ3" s="571" t="s">
        <v>62</v>
      </c>
      <c r="CK3" s="571" t="s">
        <v>64</v>
      </c>
      <c r="CL3" s="571" t="s">
        <v>65</v>
      </c>
      <c r="CM3" s="571" t="s">
        <v>66</v>
      </c>
      <c r="CN3" s="571" t="s">
        <v>67</v>
      </c>
      <c r="CO3" s="571" t="s">
        <v>76</v>
      </c>
      <c r="CP3" s="571" t="s">
        <v>77</v>
      </c>
      <c r="CQ3" s="571" t="s">
        <v>78</v>
      </c>
      <c r="CR3" s="571" t="s">
        <v>79</v>
      </c>
      <c r="CS3" s="571" t="s">
        <v>108</v>
      </c>
      <c r="CT3" s="571" t="s">
        <v>98</v>
      </c>
      <c r="CU3" s="571" t="s">
        <v>99</v>
      </c>
      <c r="CV3" s="571" t="s">
        <v>100</v>
      </c>
      <c r="CW3" s="571" t="s">
        <v>101</v>
      </c>
      <c r="CX3" s="571" t="s">
        <v>117</v>
      </c>
      <c r="CY3" s="490" t="s">
        <v>56</v>
      </c>
      <c r="CZ3" s="490" t="s">
        <v>57</v>
      </c>
      <c r="DA3" s="490" t="s">
        <v>58</v>
      </c>
    </row>
    <row r="4" spans="1:105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572"/>
      <c r="CE4" s="572"/>
      <c r="CF4" s="572"/>
      <c r="CG4" s="572"/>
      <c r="CH4" s="572"/>
      <c r="CI4" s="572"/>
      <c r="CJ4" s="572"/>
      <c r="CK4" s="572"/>
      <c r="CL4" s="572"/>
      <c r="CM4" s="572"/>
      <c r="CN4" s="572"/>
      <c r="CO4" s="572"/>
      <c r="CP4" s="572"/>
      <c r="CQ4" s="572"/>
      <c r="CR4" s="572"/>
      <c r="CS4" s="572"/>
      <c r="CT4" s="572"/>
      <c r="CU4" s="572"/>
      <c r="CV4" s="572"/>
      <c r="CW4" s="572"/>
      <c r="CX4" s="597"/>
      <c r="CY4" s="491"/>
      <c r="CZ4" s="491"/>
      <c r="DA4" s="491"/>
    </row>
    <row r="5" spans="1:105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321">
        <f t="shared" ref="CD5:CD12" si="0">IF(D5=0,0,2001-(D5-F5)*C5/D5)</f>
        <v>1999.6451111805941</v>
      </c>
      <c r="CE5" s="333">
        <f t="shared" ref="CE5:CE12" si="1">IF((1-($CY$2-$CD5)/$C5)&gt;0,(1-($CY$2-$CD5)/$C5),0)</f>
        <v>0</v>
      </c>
      <c r="CF5" s="333">
        <f t="shared" ref="CF5:CF12" si="2">IF((1-($CY$2-G$2)/$C5)&gt;0,(1-($CY$2-G$2)/$C5),0)</f>
        <v>0</v>
      </c>
      <c r="CG5" s="333">
        <f t="shared" ref="CG5:CG12" si="3">IF((1-($CY$2-K$2)/$C5)&gt;0,(1-($CY$2-K$2)/$C5),0)</f>
        <v>0</v>
      </c>
      <c r="CH5" s="333">
        <f t="shared" ref="CH5:CH12" si="4">IF((1-($CY$2-O$2)/$C5)&gt;0,(1-($CY$2-O$2)/$C5),0)</f>
        <v>0</v>
      </c>
      <c r="CI5" s="333">
        <f t="shared" ref="CI5:CI12" si="5">IF((1-($CY$2-S$2)/$C5)&gt;0,(1-($CY$2-S$2)/$C5),0)</f>
        <v>0</v>
      </c>
      <c r="CJ5" s="333">
        <f t="shared" ref="CJ5:CJ12" si="6">IF((1-($CY$2-W$2)/$C5)&gt;0,(1-($CY$2-W$2)/$C5),0)</f>
        <v>0</v>
      </c>
      <c r="CK5" s="333">
        <f t="shared" ref="CK5:CK12" si="7">IF((1-($CY$2-AA$2)/$C5)&gt;0,(1-($CY$2-AA$2)/$C5),0)</f>
        <v>0</v>
      </c>
      <c r="CL5" s="333">
        <f t="shared" ref="CL5:CL12" si="8">IF((1-($CY$2-AE$2)/$C5)&gt;0,(1-($CY$2-AE$2)/$C5),0)</f>
        <v>0</v>
      </c>
      <c r="CM5" s="333">
        <f t="shared" ref="CM5:CM12" si="9">IF((1-($CY$2-AI$2)/$C5)&gt;0,(1-($CY$2-AI$2)/$C5),0)</f>
        <v>0</v>
      </c>
      <c r="CN5" s="333">
        <f t="shared" ref="CN5:CN12" si="10">IF((1-($CY$2-AM$2)/$C5)&gt;0,(1-($CY$2-AM$2)/$C5),0)</f>
        <v>0</v>
      </c>
      <c r="CO5" s="333">
        <f t="shared" ref="CO5:CO12" si="11">IF((1-($CY$2-AQ$2)/$C5)&gt;0,(1-($CY$2-AQ$2)/$C5),0)</f>
        <v>0</v>
      </c>
      <c r="CP5" s="333">
        <f t="shared" ref="CP5:CP12" si="12">IF((1-($CY$2-AU$2)/$C5)&gt;0,(1-($CY$2-AU$2)/$C5),0)</f>
        <v>0</v>
      </c>
      <c r="CQ5" s="333">
        <f t="shared" ref="CQ5:CQ12" si="13">IF((1-($CY$2-AY$2)/$C5)&gt;0,(1-($CY$2-AY$2)/$C5),0)</f>
        <v>0</v>
      </c>
      <c r="CR5" s="333">
        <f t="shared" ref="CR5:CR12" si="14">IF((1-($CY$2-BC$2)/$C5)&gt;0,(1-($CY$2-BC$2)/$C5),0)</f>
        <v>0</v>
      </c>
      <c r="CS5" s="333">
        <f t="shared" ref="CS5:CS12" si="15">IF(BG5=0,0,1-($CY$2-(2014.5-(BG5-BI5)*C5/BG5))/C5)</f>
        <v>0</v>
      </c>
      <c r="CT5" s="333">
        <f t="shared" ref="CT5:CT12" si="16">IF((1-($CY$2-BJ$2)/$C5)&gt;0,(1-($CY$2-BJ$2)/$C5),0)</f>
        <v>0</v>
      </c>
      <c r="CU5" s="333">
        <f t="shared" ref="CU5:CU12" si="17">IF((1-($CY$2-BN$2)/$C5)&gt;0,(1-($CY$2-BN$2)/$C5),0)</f>
        <v>0.25</v>
      </c>
      <c r="CV5" s="333">
        <f t="shared" ref="CV5:CV12" si="18">IF((1-($CY$2-BR$2)/$C5)&gt;0,(1-($CY$2-BR$2)/$C5),0)</f>
        <v>0.5</v>
      </c>
      <c r="CW5" s="333">
        <f t="shared" ref="CW5:CW12" si="19">IF((1-($CY$2-BV$2)/$C5)&gt;0,(1-($CY$2-BV$2)/$C5),0)</f>
        <v>0.75</v>
      </c>
      <c r="CX5" s="333">
        <f t="shared" ref="CX5:CX12" si="20">IF((1-($CY$2-BZ$2)/$C5)&gt;0,(1-($CY$2-BZ$2)/$C5),0)</f>
        <v>1</v>
      </c>
      <c r="CY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</f>
        <v>8936421.4117265418</v>
      </c>
      <c r="CZ5" s="334">
        <f>IF(CE5=0,D5-E5,0)+IF(CF5=0,(G5-H5-I5)*G$60,0)+IF(CG5=0,(K5-L5-M5)*K$60,0)+IF(CH5=0,(O5-P5-Q5)*O$60,0)+IF(CI5=0,(S5-T5-U5)*S$60,0)+IF(CJ5=0,(W5-X5-Y5)*W$60,0)+IF(CK5=0,(AA5-AB5-AC5)*AA$60,0)+IF(CL5=0,(AE5-AF5-AG5)*AE$60,0)+IF(CM5=0,(AI5-AJ5-AK5)*AI$60,0)+IF(CN5=0,(AM5-AN5-AO5)*AM$60,0)+IF(CO5=0,(AQ5-AR5-AS5)*$AQ$60,0)+IF(CP5=0,(AU5-AV5-AW5)*$AU$60,0)+IF(CQ5=0,(AY5-AZ5-BA5)*$AY$60,0)++IF(CR5=0,(BC5-BD5-BE5)*$BC$60,0)+IF(CT5=0,(BJ5-BK5-BL5)*$BJ$60,0)+IF(CS5=0,BG5,0)+IF(CU5=0,(BN5-BO5-BP5)*$BN$60,0)+IF(CV5=0,(BR5-BS5-BT5)*$BR$60,0)+IF(CW5=0,(BV5-BW5-BX5)*$BV$60,0)+IF(CX5=0,(BZ5-CA5-CB5)*$BZ$60,0)</f>
        <v>3602142.6188568319</v>
      </c>
      <c r="DA5" s="334">
        <f t="shared" ref="DA5:DA12" si="21">(D5-E5)*CE5+((G5-H5-(I5-J5))*G$60)*CF5+((K5-L5-(M5-N5))*K$60)*CG5+((O5-P5-(Q5-R5))*O$60)*CH5+((S5-T5-(U5-V5))*S$60)*CI5+((W5-X5-(Y5-Z5))*W$60)*CJ5+((AA5-AB5-(AC5-AD5))*AA$60)*CK5+((AE5-AF5-(AG5-AH5))*AE$60)*CL5+((AI5-AJ5-(AK5-AL5))*AI$60)*CM5+((AM5-AN5-(AO5-AP5))*$AM$60)*CN5+((AQ5-AR5-(AS5-AT5))*$AQ$60)*CO5+((AU5-AV5-(AW5-AX5))*$AU$60)*CP5+((AY5-AZ5-(BA5-BB5))*$AY$60)*CQ5+((BC5-BD5-(BE5-BF5))*$BC$60)*CR5+((BJ5-BK5-(BL5-BM5))*$BJ$60)*CT5+(BG5-BH5)*CS5+((BN5-BO5-(BP5-BQ5))*$BN$60)*CU5+((BR5-BS5-(BT5-BU5))*$BR$60)*CV5+((BV5-BW5-(BX5-BY5))*$BV$60)*CW5+((BZ5-CA5-(CB5-CC5))*$BZ$60)*CX5</f>
        <v>4176784.169436119</v>
      </c>
    </row>
    <row r="6" spans="1:105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321">
        <f t="shared" si="0"/>
        <v>2001</v>
      </c>
      <c r="CE6" s="333">
        <f t="shared" si="1"/>
        <v>0.98199999999999998</v>
      </c>
      <c r="CF6" s="333">
        <f t="shared" si="2"/>
        <v>0.98299999999999998</v>
      </c>
      <c r="CG6" s="333">
        <f t="shared" si="3"/>
        <v>0.98399999999999999</v>
      </c>
      <c r="CH6" s="333">
        <f t="shared" si="4"/>
        <v>0.98499999999999999</v>
      </c>
      <c r="CI6" s="333">
        <f t="shared" si="5"/>
        <v>0.98599999999999999</v>
      </c>
      <c r="CJ6" s="333">
        <f t="shared" si="6"/>
        <v>0.98699999999999999</v>
      </c>
      <c r="CK6" s="333">
        <f t="shared" si="7"/>
        <v>0.98799999999999999</v>
      </c>
      <c r="CL6" s="333">
        <f t="shared" si="8"/>
        <v>0.98899999999999999</v>
      </c>
      <c r="CM6" s="333">
        <f t="shared" si="9"/>
        <v>0.99</v>
      </c>
      <c r="CN6" s="333">
        <f t="shared" si="10"/>
        <v>0.99099999999999999</v>
      </c>
      <c r="CO6" s="333">
        <f t="shared" si="11"/>
        <v>0.99199999999999999</v>
      </c>
      <c r="CP6" s="333">
        <f t="shared" si="12"/>
        <v>0.99299999999999999</v>
      </c>
      <c r="CQ6" s="333">
        <f t="shared" si="13"/>
        <v>0.99399999999999999</v>
      </c>
      <c r="CR6" s="333">
        <f t="shared" si="14"/>
        <v>0.995</v>
      </c>
      <c r="CS6" s="333">
        <f t="shared" si="15"/>
        <v>0.99550000000000005</v>
      </c>
      <c r="CT6" s="333">
        <f t="shared" si="16"/>
        <v>0.996</v>
      </c>
      <c r="CU6" s="333">
        <f t="shared" si="17"/>
        <v>0.997</v>
      </c>
      <c r="CV6" s="333">
        <f t="shared" si="18"/>
        <v>0.998</v>
      </c>
      <c r="CW6" s="333">
        <f t="shared" si="19"/>
        <v>0.999</v>
      </c>
      <c r="CX6" s="333">
        <f t="shared" si="20"/>
        <v>1</v>
      </c>
      <c r="CY6" s="334">
        <f t="shared" ref="CY6:CY12" si="22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</f>
        <v>1314125.0854951243</v>
      </c>
      <c r="CZ6" s="334">
        <f t="shared" ref="CZ6:CZ12" si="23">IF(CE6=0,D6-E6,0)+IF(CF6=0,(G6-H6-I6)*G$60,0)+IF(CG6=0,(K6-L6-M6)*K$60,0)+IF(CH6=0,(O6-P6-Q6)*O$60,0)+IF(CI6=0,(S6-T6-U6)*S$60,0)+IF(CJ6=0,(W6-X6-Y6)*W$60,0)+IF(CK6=0,(AA6-AB6-AC6)*AA$60,0)+IF(CL6=0,(AE6-AF6-AG6)*AE$60,0)+IF(CM6=0,(AI6-AJ6-AK6)*AI$60,0)+IF(CN6=0,(AM6-AN6-AO6)*AM$60,0)+IF(CO6=0,(AQ6-AR6-AS6)*$AQ$60,0)+IF(CP6=0,(AU6-AV6-AW6)*$AU$60,0)+IF(CQ6=0,(AY6-AZ6-BA6)*$AY$60,0)++IF(CR6=0,(BC6-BD6-BE6)*$BC$60,0)+IF(CT6=0,(BJ6-BK6-BL6)*$BJ$60,0)+IF(CS6=0,BG6,0)+IF(CU6=0,(BN6-BO6-BP6)*$BN$60,0)+IF(CV6=0,(BR6-BS6-BT6)*$BR$60,0)+IF(CW6=0,(BV6-BW6-BX6)*$BV$60,0)+IF(CX6=0,(BZ6-CA6-CB6)*$BZ$60,0)</f>
        <v>0</v>
      </c>
      <c r="DA6" s="334">
        <f t="shared" si="21"/>
        <v>1307498.6882705681</v>
      </c>
    </row>
    <row r="7" spans="1:105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321">
        <f t="shared" si="0"/>
        <v>1985.8657049273502</v>
      </c>
      <c r="CE7" s="333">
        <f t="shared" si="1"/>
        <v>0.17164262318375445</v>
      </c>
      <c r="CF7" s="333">
        <f t="shared" si="2"/>
        <v>0.57499999999999996</v>
      </c>
      <c r="CG7" s="333">
        <f t="shared" si="3"/>
        <v>0.6</v>
      </c>
      <c r="CH7" s="333">
        <f t="shared" si="4"/>
        <v>0.625</v>
      </c>
      <c r="CI7" s="333">
        <f t="shared" si="5"/>
        <v>0.65</v>
      </c>
      <c r="CJ7" s="333">
        <f t="shared" si="6"/>
        <v>0.67500000000000004</v>
      </c>
      <c r="CK7" s="333">
        <f t="shared" si="7"/>
        <v>0.7</v>
      </c>
      <c r="CL7" s="333">
        <f t="shared" si="8"/>
        <v>0.72499999999999998</v>
      </c>
      <c r="CM7" s="333">
        <f t="shared" si="9"/>
        <v>0.75</v>
      </c>
      <c r="CN7" s="333">
        <f t="shared" si="10"/>
        <v>0.77500000000000002</v>
      </c>
      <c r="CO7" s="333">
        <f t="shared" si="11"/>
        <v>0.8</v>
      </c>
      <c r="CP7" s="333">
        <f t="shared" si="12"/>
        <v>0.82499999999999996</v>
      </c>
      <c r="CQ7" s="333">
        <f t="shared" si="13"/>
        <v>0.85</v>
      </c>
      <c r="CR7" s="333">
        <f t="shared" si="14"/>
        <v>0.875</v>
      </c>
      <c r="CS7" s="333">
        <f t="shared" si="15"/>
        <v>0.88749999999999996</v>
      </c>
      <c r="CT7" s="333">
        <f t="shared" si="16"/>
        <v>0.9</v>
      </c>
      <c r="CU7" s="333">
        <f t="shared" si="17"/>
        <v>0.92500000000000004</v>
      </c>
      <c r="CV7" s="333">
        <f t="shared" si="18"/>
        <v>0.95</v>
      </c>
      <c r="CW7" s="333">
        <f t="shared" si="19"/>
        <v>0.97499999999999998</v>
      </c>
      <c r="CX7" s="333">
        <f t="shared" si="20"/>
        <v>1</v>
      </c>
      <c r="CY7" s="334">
        <f t="shared" si="22"/>
        <v>1660884.9416337118</v>
      </c>
      <c r="CZ7" s="334">
        <f t="shared" si="23"/>
        <v>0</v>
      </c>
      <c r="DA7" s="334">
        <f t="shared" si="21"/>
        <v>637379.67447059089</v>
      </c>
    </row>
    <row r="8" spans="1:105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321">
        <f t="shared" si="0"/>
        <v>1994.501126969511</v>
      </c>
      <c r="CE8" s="333">
        <f t="shared" si="1"/>
        <v>0</v>
      </c>
      <c r="CF8" s="333">
        <f t="shared" si="2"/>
        <v>0</v>
      </c>
      <c r="CG8" s="333">
        <f t="shared" si="3"/>
        <v>0</v>
      </c>
      <c r="CH8" s="333">
        <f t="shared" si="4"/>
        <v>0</v>
      </c>
      <c r="CI8" s="333">
        <f t="shared" si="5"/>
        <v>0</v>
      </c>
      <c r="CJ8" s="333">
        <f t="shared" si="6"/>
        <v>0</v>
      </c>
      <c r="CK8" s="333">
        <f t="shared" si="7"/>
        <v>0</v>
      </c>
      <c r="CL8" s="333">
        <f t="shared" si="8"/>
        <v>0</v>
      </c>
      <c r="CM8" s="333">
        <f t="shared" si="9"/>
        <v>0</v>
      </c>
      <c r="CN8" s="333">
        <f t="shared" si="10"/>
        <v>0</v>
      </c>
      <c r="CO8" s="333">
        <f t="shared" si="11"/>
        <v>0</v>
      </c>
      <c r="CP8" s="333">
        <f t="shared" si="12"/>
        <v>0</v>
      </c>
      <c r="CQ8" s="333">
        <f t="shared" si="13"/>
        <v>0.1428571428571429</v>
      </c>
      <c r="CR8" s="333">
        <f t="shared" si="14"/>
        <v>0.2857142857142857</v>
      </c>
      <c r="CS8" s="333">
        <f t="shared" si="15"/>
        <v>0</v>
      </c>
      <c r="CT8" s="333">
        <f t="shared" si="16"/>
        <v>0.4285714285714286</v>
      </c>
      <c r="CU8" s="333">
        <f t="shared" si="17"/>
        <v>0.5714285714285714</v>
      </c>
      <c r="CV8" s="333">
        <f t="shared" si="18"/>
        <v>0.7142857142857143</v>
      </c>
      <c r="CW8" s="333">
        <f t="shared" si="19"/>
        <v>0.85714285714285721</v>
      </c>
      <c r="CX8" s="333">
        <f t="shared" si="20"/>
        <v>1</v>
      </c>
      <c r="CY8" s="334">
        <f t="shared" si="22"/>
        <v>1052558.8288791813</v>
      </c>
      <c r="CZ8" s="334">
        <f t="shared" si="23"/>
        <v>994596.5550798584</v>
      </c>
      <c r="DA8" s="334">
        <f t="shared" si="21"/>
        <v>28368.745443477485</v>
      </c>
    </row>
    <row r="9" spans="1:105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321">
        <f t="shared" si="0"/>
        <v>1997.9397485452369</v>
      </c>
      <c r="CE9" s="333">
        <f t="shared" si="1"/>
        <v>0</v>
      </c>
      <c r="CF9" s="333">
        <f t="shared" si="2"/>
        <v>0</v>
      </c>
      <c r="CG9" s="333">
        <f t="shared" si="3"/>
        <v>0</v>
      </c>
      <c r="CH9" s="333">
        <f t="shared" si="4"/>
        <v>0</v>
      </c>
      <c r="CI9" s="333">
        <f t="shared" si="5"/>
        <v>0</v>
      </c>
      <c r="CJ9" s="333">
        <f t="shared" si="6"/>
        <v>0</v>
      </c>
      <c r="CK9" s="333">
        <f t="shared" si="7"/>
        <v>0</v>
      </c>
      <c r="CL9" s="333">
        <f t="shared" si="8"/>
        <v>0</v>
      </c>
      <c r="CM9" s="333">
        <f t="shared" si="9"/>
        <v>0</v>
      </c>
      <c r="CN9" s="333">
        <f t="shared" si="10"/>
        <v>0</v>
      </c>
      <c r="CO9" s="333">
        <f t="shared" si="11"/>
        <v>0</v>
      </c>
      <c r="CP9" s="333">
        <f t="shared" si="12"/>
        <v>0</v>
      </c>
      <c r="CQ9" s="333">
        <f t="shared" si="13"/>
        <v>0</v>
      </c>
      <c r="CR9" s="333">
        <f t="shared" si="14"/>
        <v>0</v>
      </c>
      <c r="CS9" s="333">
        <f t="shared" si="15"/>
        <v>0</v>
      </c>
      <c r="CT9" s="333">
        <f t="shared" si="16"/>
        <v>0</v>
      </c>
      <c r="CU9" s="333">
        <f t="shared" si="17"/>
        <v>0.25</v>
      </c>
      <c r="CV9" s="333">
        <f t="shared" si="18"/>
        <v>0.5</v>
      </c>
      <c r="CW9" s="333">
        <f t="shared" si="19"/>
        <v>0.75</v>
      </c>
      <c r="CX9" s="333">
        <f t="shared" si="20"/>
        <v>1</v>
      </c>
      <c r="CY9" s="334">
        <f t="shared" si="22"/>
        <v>2067275.1546091887</v>
      </c>
      <c r="CZ9" s="334">
        <f t="shared" si="23"/>
        <v>1717224.9423312545</v>
      </c>
      <c r="DA9" s="334">
        <f t="shared" si="21"/>
        <v>280071.60975102847</v>
      </c>
    </row>
    <row r="10" spans="1:105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321">
        <f t="shared" si="0"/>
        <v>1996.8815287911268</v>
      </c>
      <c r="CE10" s="333">
        <f t="shared" si="1"/>
        <v>0</v>
      </c>
      <c r="CF10" s="333">
        <f t="shared" si="2"/>
        <v>0</v>
      </c>
      <c r="CG10" s="333">
        <f t="shared" si="3"/>
        <v>0</v>
      </c>
      <c r="CH10" s="333">
        <f t="shared" si="4"/>
        <v>0</v>
      </c>
      <c r="CI10" s="333">
        <f t="shared" si="5"/>
        <v>0</v>
      </c>
      <c r="CJ10" s="333">
        <f t="shared" si="6"/>
        <v>0</v>
      </c>
      <c r="CK10" s="333">
        <f t="shared" si="7"/>
        <v>0</v>
      </c>
      <c r="CL10" s="333">
        <f t="shared" si="8"/>
        <v>0</v>
      </c>
      <c r="CM10" s="333">
        <f t="shared" si="9"/>
        <v>0</v>
      </c>
      <c r="CN10" s="333">
        <f t="shared" si="10"/>
        <v>0</v>
      </c>
      <c r="CO10" s="333">
        <f t="shared" si="11"/>
        <v>0</v>
      </c>
      <c r="CP10" s="333">
        <f t="shared" si="12"/>
        <v>0</v>
      </c>
      <c r="CQ10" s="333">
        <f t="shared" si="13"/>
        <v>0</v>
      </c>
      <c r="CR10" s="333">
        <f t="shared" si="14"/>
        <v>0</v>
      </c>
      <c r="CS10" s="333">
        <f t="shared" si="15"/>
        <v>0</v>
      </c>
      <c r="CT10" s="333">
        <f t="shared" si="16"/>
        <v>0.19999999999999996</v>
      </c>
      <c r="CU10" s="333">
        <f t="shared" si="17"/>
        <v>0.4</v>
      </c>
      <c r="CV10" s="333">
        <f t="shared" si="18"/>
        <v>0.6</v>
      </c>
      <c r="CW10" s="333">
        <f t="shared" si="19"/>
        <v>0.8</v>
      </c>
      <c r="CX10" s="333">
        <f t="shared" si="20"/>
        <v>1</v>
      </c>
      <c r="CY10" s="334">
        <f t="shared" si="22"/>
        <v>2008410.6793448166</v>
      </c>
      <c r="CZ10" s="334">
        <f t="shared" si="23"/>
        <v>1738592.0571161245</v>
      </c>
      <c r="DA10" s="334">
        <f t="shared" si="21"/>
        <v>114769.95275794363</v>
      </c>
    </row>
    <row r="11" spans="1:105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321">
        <f t="shared" si="0"/>
        <v>0</v>
      </c>
      <c r="CE11" s="333">
        <f t="shared" si="1"/>
        <v>0</v>
      </c>
      <c r="CF11" s="333">
        <f t="shared" si="2"/>
        <v>0</v>
      </c>
      <c r="CG11" s="333">
        <f t="shared" si="3"/>
        <v>0</v>
      </c>
      <c r="CH11" s="333">
        <f t="shared" si="4"/>
        <v>0</v>
      </c>
      <c r="CI11" s="333">
        <f t="shared" si="5"/>
        <v>0</v>
      </c>
      <c r="CJ11" s="333">
        <f t="shared" si="6"/>
        <v>0</v>
      </c>
      <c r="CK11" s="333">
        <f t="shared" si="7"/>
        <v>0</v>
      </c>
      <c r="CL11" s="333">
        <f t="shared" si="8"/>
        <v>0</v>
      </c>
      <c r="CM11" s="333">
        <f t="shared" si="9"/>
        <v>0</v>
      </c>
      <c r="CN11" s="333">
        <f t="shared" si="10"/>
        <v>0</v>
      </c>
      <c r="CO11" s="333">
        <f t="shared" si="11"/>
        <v>0</v>
      </c>
      <c r="CP11" s="333">
        <f t="shared" si="12"/>
        <v>0.125</v>
      </c>
      <c r="CQ11" s="333">
        <f t="shared" si="13"/>
        <v>0.25</v>
      </c>
      <c r="CR11" s="333">
        <f t="shared" si="14"/>
        <v>0.375</v>
      </c>
      <c r="CS11" s="333">
        <f t="shared" si="15"/>
        <v>0</v>
      </c>
      <c r="CT11" s="333">
        <f t="shared" si="16"/>
        <v>0.5</v>
      </c>
      <c r="CU11" s="333">
        <f t="shared" si="17"/>
        <v>0.625</v>
      </c>
      <c r="CV11" s="333">
        <f t="shared" si="18"/>
        <v>0.75</v>
      </c>
      <c r="CW11" s="333">
        <f t="shared" si="19"/>
        <v>0.875</v>
      </c>
      <c r="CX11" s="333">
        <f t="shared" si="20"/>
        <v>1</v>
      </c>
      <c r="CY11" s="334">
        <f t="shared" si="22"/>
        <v>160060.38764167234</v>
      </c>
      <c r="CZ11" s="334">
        <f t="shared" si="23"/>
        <v>96481.651983373231</v>
      </c>
      <c r="DA11" s="334">
        <f t="shared" si="21"/>
        <v>27120.943147318321</v>
      </c>
    </row>
    <row r="12" spans="1:105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321">
        <f t="shared" si="0"/>
        <v>1992.645817714536</v>
      </c>
      <c r="CE12" s="333">
        <f t="shared" si="1"/>
        <v>0</v>
      </c>
      <c r="CF12" s="333">
        <f t="shared" si="2"/>
        <v>0</v>
      </c>
      <c r="CG12" s="333">
        <f t="shared" si="3"/>
        <v>5.8823529411764719E-2</v>
      </c>
      <c r="CH12" s="333">
        <f t="shared" si="4"/>
        <v>0.11764705882352944</v>
      </c>
      <c r="CI12" s="333">
        <f t="shared" si="5"/>
        <v>0.17647058823529416</v>
      </c>
      <c r="CJ12" s="348">
        <f t="shared" si="6"/>
        <v>0.23529411764705888</v>
      </c>
      <c r="CK12" s="333">
        <f t="shared" si="7"/>
        <v>0.29411764705882348</v>
      </c>
      <c r="CL12" s="333">
        <f t="shared" si="8"/>
        <v>0.3529411764705882</v>
      </c>
      <c r="CM12" s="333">
        <f t="shared" si="9"/>
        <v>0.41176470588235292</v>
      </c>
      <c r="CN12" s="333">
        <f t="shared" si="10"/>
        <v>0.47058823529411764</v>
      </c>
      <c r="CO12" s="333">
        <f t="shared" si="11"/>
        <v>0.52941176470588236</v>
      </c>
      <c r="CP12" s="333">
        <f t="shared" si="12"/>
        <v>0.58823529411764708</v>
      </c>
      <c r="CQ12" s="333">
        <f t="shared" si="13"/>
        <v>0.64705882352941169</v>
      </c>
      <c r="CR12" s="333">
        <f t="shared" si="14"/>
        <v>0.70588235294117641</v>
      </c>
      <c r="CS12" s="333">
        <f t="shared" si="15"/>
        <v>0</v>
      </c>
      <c r="CT12" s="333">
        <f t="shared" si="16"/>
        <v>0.76470588235294112</v>
      </c>
      <c r="CU12" s="333">
        <f t="shared" si="17"/>
        <v>0.82352941176470584</v>
      </c>
      <c r="CV12" s="333">
        <f t="shared" si="18"/>
        <v>0.88235294117647056</v>
      </c>
      <c r="CW12" s="333">
        <f t="shared" si="19"/>
        <v>0.94117647058823528</v>
      </c>
      <c r="CX12" s="333">
        <f t="shared" si="20"/>
        <v>1</v>
      </c>
      <c r="CY12" s="334">
        <f t="shared" si="22"/>
        <v>967295.55713017168</v>
      </c>
      <c r="CZ12" s="334">
        <f t="shared" si="23"/>
        <v>800446.84091201657</v>
      </c>
      <c r="DA12" s="334">
        <f t="shared" si="21"/>
        <v>52562.511953304886</v>
      </c>
    </row>
    <row r="13" spans="1:105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4">SUM(E5:E12)</f>
        <v>0</v>
      </c>
      <c r="F13" s="296">
        <f t="shared" si="24"/>
        <v>3156823.1414713804</v>
      </c>
      <c r="G13" s="296">
        <f t="shared" si="24"/>
        <v>266106.52899199998</v>
      </c>
      <c r="H13" s="296">
        <f t="shared" si="24"/>
        <v>0</v>
      </c>
      <c r="I13" s="296">
        <f t="shared" si="24"/>
        <v>0</v>
      </c>
      <c r="J13" s="296">
        <f t="shared" si="24"/>
        <v>0</v>
      </c>
      <c r="K13" s="296">
        <f t="shared" si="24"/>
        <v>107260.34</v>
      </c>
      <c r="L13" s="296">
        <f t="shared" si="24"/>
        <v>0</v>
      </c>
      <c r="M13" s="296">
        <f t="shared" si="24"/>
        <v>0</v>
      </c>
      <c r="N13" s="296">
        <f t="shared" si="24"/>
        <v>0</v>
      </c>
      <c r="O13" s="296">
        <f t="shared" si="24"/>
        <v>170017.04106100003</v>
      </c>
      <c r="P13" s="296">
        <f t="shared" si="24"/>
        <v>0</v>
      </c>
      <c r="Q13" s="296">
        <f t="shared" si="24"/>
        <v>0</v>
      </c>
      <c r="R13" s="296">
        <f t="shared" si="24"/>
        <v>0</v>
      </c>
      <c r="S13" s="296">
        <f t="shared" si="24"/>
        <v>141552.63</v>
      </c>
      <c r="T13" s="296">
        <f t="shared" si="24"/>
        <v>0</v>
      </c>
      <c r="U13" s="296">
        <f t="shared" si="24"/>
        <v>0</v>
      </c>
      <c r="V13" s="296">
        <f t="shared" si="24"/>
        <v>0</v>
      </c>
      <c r="W13" s="296">
        <f t="shared" si="24"/>
        <v>334246.14000000007</v>
      </c>
      <c r="X13" s="296">
        <f t="shared" si="24"/>
        <v>0</v>
      </c>
      <c r="Y13" s="296">
        <f t="shared" si="24"/>
        <v>0</v>
      </c>
      <c r="Z13" s="296">
        <f t="shared" si="24"/>
        <v>0</v>
      </c>
      <c r="AA13" s="296">
        <f t="shared" si="24"/>
        <v>167868.13</v>
      </c>
      <c r="AB13" s="296">
        <f t="shared" si="24"/>
        <v>0</v>
      </c>
      <c r="AC13" s="296">
        <f t="shared" si="24"/>
        <v>0</v>
      </c>
      <c r="AD13" s="296">
        <f t="shared" si="24"/>
        <v>0</v>
      </c>
      <c r="AE13" s="296">
        <f t="shared" si="24"/>
        <v>132511.28</v>
      </c>
      <c r="AF13" s="296">
        <f t="shared" si="24"/>
        <v>0</v>
      </c>
      <c r="AG13" s="296">
        <f t="shared" si="24"/>
        <v>0</v>
      </c>
      <c r="AH13" s="296">
        <f t="shared" si="24"/>
        <v>0</v>
      </c>
      <c r="AI13" s="296">
        <f t="shared" si="24"/>
        <v>323314.10387699993</v>
      </c>
      <c r="AJ13" s="296">
        <f t="shared" si="24"/>
        <v>0</v>
      </c>
      <c r="AK13" s="296">
        <f t="shared" si="24"/>
        <v>0</v>
      </c>
      <c r="AL13" s="296">
        <f t="shared" si="24"/>
        <v>0</v>
      </c>
      <c r="AM13" s="296">
        <f t="shared" si="24"/>
        <v>91335.93</v>
      </c>
      <c r="AN13" s="296">
        <f t="shared" si="24"/>
        <v>0</v>
      </c>
      <c r="AO13" s="296">
        <f t="shared" si="24"/>
        <v>0</v>
      </c>
      <c r="AP13" s="296">
        <f t="shared" si="24"/>
        <v>0</v>
      </c>
      <c r="AQ13" s="296">
        <f t="shared" si="24"/>
        <v>243514.73</v>
      </c>
      <c r="AR13" s="296">
        <f t="shared" si="24"/>
        <v>0</v>
      </c>
      <c r="AS13" s="296">
        <f t="shared" si="24"/>
        <v>0</v>
      </c>
      <c r="AT13" s="296">
        <f t="shared" si="24"/>
        <v>0</v>
      </c>
      <c r="AU13" s="296">
        <f t="shared" si="24"/>
        <v>0</v>
      </c>
      <c r="AV13" s="296">
        <f t="shared" si="24"/>
        <v>0</v>
      </c>
      <c r="AW13" s="296">
        <f t="shared" si="24"/>
        <v>0</v>
      </c>
      <c r="AX13" s="296">
        <f t="shared" si="24"/>
        <v>0</v>
      </c>
      <c r="AY13" s="296">
        <f t="shared" si="24"/>
        <v>56420.78</v>
      </c>
      <c r="AZ13" s="296">
        <f t="shared" si="24"/>
        <v>0</v>
      </c>
      <c r="BA13" s="296">
        <f t="shared" si="24"/>
        <v>0</v>
      </c>
      <c r="BB13" s="296">
        <f t="shared" si="24"/>
        <v>0</v>
      </c>
      <c r="BC13" s="296">
        <f t="shared" si="24"/>
        <v>1275811.54</v>
      </c>
      <c r="BD13" s="296">
        <f t="shared" si="24"/>
        <v>0</v>
      </c>
      <c r="BE13" s="296">
        <f t="shared" si="24"/>
        <v>0</v>
      </c>
      <c r="BF13" s="296">
        <f t="shared" si="24"/>
        <v>0</v>
      </c>
      <c r="BG13" s="296">
        <f t="shared" si="24"/>
        <v>940000</v>
      </c>
      <c r="BH13" s="296">
        <f t="shared" si="24"/>
        <v>0</v>
      </c>
      <c r="BI13" s="296">
        <f t="shared" si="24"/>
        <v>940000</v>
      </c>
      <c r="BJ13" s="296">
        <f t="shared" si="24"/>
        <v>917175.86</v>
      </c>
      <c r="BK13" s="296">
        <f t="shared" si="24"/>
        <v>0</v>
      </c>
      <c r="BL13" s="296">
        <f t="shared" si="24"/>
        <v>0</v>
      </c>
      <c r="BM13" s="296">
        <f t="shared" si="24"/>
        <v>0</v>
      </c>
      <c r="BN13" s="296">
        <f t="shared" si="24"/>
        <v>1105575.6700000002</v>
      </c>
      <c r="BO13" s="296">
        <f t="shared" si="24"/>
        <v>0</v>
      </c>
      <c r="BP13" s="296">
        <f t="shared" si="24"/>
        <v>0</v>
      </c>
      <c r="BQ13" s="296">
        <f t="shared" ref="BQ13:CC13" si="25">SUM(BQ5:BQ12)</f>
        <v>0</v>
      </c>
      <c r="BR13" s="296">
        <f t="shared" si="25"/>
        <v>1102455.8699999996</v>
      </c>
      <c r="BS13" s="296">
        <f t="shared" si="25"/>
        <v>0</v>
      </c>
      <c r="BT13" s="296">
        <f t="shared" si="25"/>
        <v>0</v>
      </c>
      <c r="BU13" s="296">
        <f t="shared" si="25"/>
        <v>0</v>
      </c>
      <c r="BV13" s="296">
        <f t="shared" si="25"/>
        <v>1120073.2300000004</v>
      </c>
      <c r="BW13" s="296">
        <f t="shared" si="25"/>
        <v>0</v>
      </c>
      <c r="BX13" s="296">
        <f t="shared" si="25"/>
        <v>0</v>
      </c>
      <c r="BY13" s="296">
        <f t="shared" si="25"/>
        <v>0</v>
      </c>
      <c r="BZ13" s="296">
        <f t="shared" si="25"/>
        <v>3586563.6400000011</v>
      </c>
      <c r="CA13" s="296">
        <f t="shared" si="25"/>
        <v>0</v>
      </c>
      <c r="CB13" s="296">
        <f t="shared" si="25"/>
        <v>0</v>
      </c>
      <c r="CC13" s="296">
        <f t="shared" si="25"/>
        <v>0</v>
      </c>
      <c r="CD13" s="297"/>
      <c r="CE13" s="297"/>
      <c r="CF13" s="297"/>
      <c r="CG13" s="297"/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8">
        <f>SUM(CY5:CY12)</f>
        <v>18167032.046460409</v>
      </c>
      <c r="CZ13" s="298">
        <f>SUM(CZ5:CZ12)</f>
        <v>8949484.6662794594</v>
      </c>
      <c r="DA13" s="298">
        <f>SUM(DA5:DA12)</f>
        <v>6624556.2952303505</v>
      </c>
    </row>
    <row r="14" spans="1:105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333"/>
      <c r="CE14" s="333"/>
      <c r="CF14" s="333"/>
      <c r="CG14" s="333"/>
      <c r="CH14" s="333"/>
      <c r="CI14" s="333"/>
      <c r="CJ14" s="333"/>
      <c r="CK14" s="333"/>
      <c r="CL14" s="333"/>
      <c r="CM14" s="333"/>
      <c r="CN14" s="333"/>
      <c r="CO14" s="333"/>
      <c r="CP14" s="333"/>
      <c r="CQ14" s="333"/>
      <c r="CR14" s="333"/>
      <c r="CS14" s="333"/>
      <c r="CT14" s="333"/>
      <c r="CU14" s="333"/>
      <c r="CV14" s="333"/>
      <c r="CW14" s="333"/>
      <c r="CX14" s="333"/>
      <c r="CY14" s="334"/>
      <c r="CZ14" s="334"/>
      <c r="DA14" s="334"/>
    </row>
    <row r="15" spans="1:105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321">
        <f>IF(D15=0,0,2001-(D15-F15)*C15/D15)</f>
        <v>0</v>
      </c>
      <c r="CE15" s="333">
        <f>IF((1-($CY$2-$CD15)/$C15)&gt;0,(1-($CY$2-$CD15)/$C15),0)</f>
        <v>0</v>
      </c>
      <c r="CF15" s="333">
        <f>IF((1-($CY$2-G$2)/$C15)&gt;0,(1-($CY$2-G$2)/$C15),0)</f>
        <v>0.43333333333333335</v>
      </c>
      <c r="CG15" s="333">
        <f>IF((1-($CY$2-K$2)/$C15)&gt;0,(1-($CY$2-K$2)/$C15),0)</f>
        <v>0.46666666666666667</v>
      </c>
      <c r="CH15" s="333">
        <f>IF((1-($CY$2-O$2)/$C15)&gt;0,(1-($CY$2-O$2)/$C15),0)</f>
        <v>0.5</v>
      </c>
      <c r="CI15" s="333">
        <f>IF((1-($CY$2-S$2)/$C15)&gt;0,(1-($CY$2-S$2)/$C15),0)</f>
        <v>0.53333333333333333</v>
      </c>
      <c r="CJ15" s="333">
        <f>IF((1-($CY$2-W$2)/$C15)&gt;0,(1-($CY$2-W$2)/$C15),0)</f>
        <v>0.56666666666666665</v>
      </c>
      <c r="CK15" s="333">
        <f>IF((1-($CY$2-AA$2)/$C15)&gt;0,(1-($CY$2-AA$2)/$C15),0)</f>
        <v>0.6</v>
      </c>
      <c r="CL15" s="333">
        <f>IF((1-($CY$2-AE$2)/$C15)&gt;0,(1-($CY$2-AE$2)/$C15),0)</f>
        <v>0.6333333333333333</v>
      </c>
      <c r="CM15" s="333">
        <f>IF((1-($CY$2-AI$2)/$C15)&gt;0,(1-($CY$2-AI$2)/$C15),0)</f>
        <v>0.66666666666666674</v>
      </c>
      <c r="CN15" s="333">
        <f>IF((1-($CY$2-AM$2)/$C15)&gt;0,(1-($CY$2-AM$2)/$C15),0)</f>
        <v>0.7</v>
      </c>
      <c r="CO15" s="333">
        <f>IF((1-($CY$2-AQ$2)/$C15)&gt;0,(1-($CY$2-AQ$2)/$C15),0)</f>
        <v>0.73333333333333339</v>
      </c>
      <c r="CP15" s="333">
        <f>IF((1-($CY$2-AU$2)/$C15)&gt;0,(1-($CY$2-AU$2)/$C15),0)</f>
        <v>0.76666666666666661</v>
      </c>
      <c r="CQ15" s="333">
        <f>IF((1-($CY$2-AY$2)/$C15)&gt;0,(1-($CY$2-AY$2)/$C15),0)</f>
        <v>0.8</v>
      </c>
      <c r="CR15" s="333">
        <f>IF((1-($CY$2-BC$2)/$C15)&gt;0,(1-($CY$2-BC$2)/$C15),0)</f>
        <v>0.83333333333333337</v>
      </c>
      <c r="CS15" s="333">
        <f>IF(BG15=0,0,1-($CY$2-(2014.5-(BG15-BI15)*C15/BG15))/C15)</f>
        <v>0</v>
      </c>
      <c r="CT15" s="333">
        <f>IF((1-($CY$2-BJ$2)/$C15)&gt;0,(1-($CY$2-BJ$2)/$C15),0)</f>
        <v>0.8666666666666667</v>
      </c>
      <c r="CU15" s="333">
        <f>IF((1-($CY$2-BN$2)/$C15)&gt;0,(1-($CY$2-BN$2)/$C15),0)</f>
        <v>0.9</v>
      </c>
      <c r="CV15" s="333">
        <f>IF((1-($CY$2-BR$2)/$C15)&gt;0,(1-($CY$2-BR$2)/$C15),0)</f>
        <v>0.93333333333333335</v>
      </c>
      <c r="CW15" s="333">
        <f>IF((1-($CY$2-BV$2)/$C15)&gt;0,(1-($CY$2-BV$2)/$C15),0)</f>
        <v>0.96666666666666667</v>
      </c>
      <c r="CX15" s="333">
        <f>IF((1-($CY$2-BZ$2)/$C15)&gt;0,(1-($CY$2-BZ$2)/$C15),0)</f>
        <v>1</v>
      </c>
      <c r="CY15" s="334">
        <f t="shared" ref="CY15:CY44" si="26"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</f>
        <v>2170367.98068809</v>
      </c>
      <c r="CZ15" s="334">
        <f t="shared" ref="CZ15:CZ44" si="27">IF(CE15=0,D15-E15,0)+IF(CF15=0,(G15-H15-I15)*G$61,0)+IF(CG15=0,(K15-L15-M15)*K$61,0)+IF(CH15=0,(O15-P15-Q15)*O$61,0)+IF(CI15=0,(S15-T15-U15)*S$61,0)+IF(CJ15=0,(W15-X15-Y15)*W$61,0)+IF(CK15=0,(AA15-AB15-AC15)*AA$61,0)+IF(CL15=0,(AE15-AF15-AG15)*AE$61,0)+IF(CM15=0,(AI15-AJ15-AK15)*AI$61,0)+IF(CN15=0,(AM15-AN15-AO15)*AM$61,0)+IF(CO15=0,(AQ15-AR15-AS15)*$AQ$61,0)+IF(CP15=0,(AU15-AV15-AW15)*$AU$61,0)+IF(CQ15=0,(AY15-AZ15-BA15)*$AY$61,0)++IF(CR15=0,(BC15-BD15-BE15)*$BC$61,0)+IF(CT15=0,(BJ15-BK15-BL15)*$BJ$61,0)+IF(CS15=0,BG15,0)+IF(CU15=0,(BN15-BO15-BP15)*$BN$61,0)+IF(CV15=0,(BR15-BS15-BT15)*$BR$61,0)+IF(CW15=0,(BV15-BW15-BX15)*$BV$61,0)+IF(CX15=0,(BZ15-CA15-CB15)*$BZ$61,0)</f>
        <v>0</v>
      </c>
      <c r="DA15" s="334">
        <f>(D15-E15)*CE15+((G15-H15-(I15-J15))*G$61)*CF15+((K15-L15-(M15-N15))*K$61)*CG15+((O15-P15-(Q15-R15))*O$61)*CH15+((S15-T15-(U15-V15))*S$61)*CI15+((W15-X15-(Y15-Z15))*W$61)*CJ15+((AA15-AB15-(AC15-AD15))*AA$61)*CK15+((AE15-AF15-(AG15-AH15))*AE$61)*CL15+((AI15-AJ15-(AK15-AL15))*AI$61)*CM15+((AM15-AN15-(AO15-AP15))*$AM$61)*CN15+((AQ15-AR15-(AS15-AT15))*$AQ$61)*CO15+((AU15-AV15-(AW15-AX15))*$AU$61)*CP15+((AY15-AZ15-(BA15-BB15))*$AY$61)*CQ15+((BC15-BD15-(BE15-BF15))*$BC$61)*CR15+((BJ15-BK15-(BL15-BM15))*$BJ$61)*CT15+(BG15-BH15)*CS15+((BN15-BO15-(BP15-BQ15))*$BN$61)*CU15+((BR15-BS15-(BT15-BU15))*$BR$61)*CV15+((BV15-BW15-(BX15-BY15))*$BV$61)*CW15+((BZ15-CA15-(CB15-CC15))*$BZ$61)*CX15</f>
        <v>1953331.1826192811</v>
      </c>
    </row>
    <row r="16" spans="1:105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321">
        <f>IF(D16=0,0,2001-(D16-F16)*C16/D16)</f>
        <v>0</v>
      </c>
      <c r="CE16" s="333">
        <f>IF((1-($CY$2-$CD16)/$C16)&gt;0,(1-($CY$2-$CD16)/$C16),0)</f>
        <v>0</v>
      </c>
      <c r="CF16" s="333">
        <f>IF((1-($CY$2-G$2)/$C16)&gt;0,(1-($CY$2-G$2)/$C16),0)</f>
        <v>0.43333333333333335</v>
      </c>
      <c r="CG16" s="333">
        <f>IF((1-($CY$2-K$2)/$C16)&gt;0,(1-($CY$2-K$2)/$C16),0)</f>
        <v>0.46666666666666667</v>
      </c>
      <c r="CH16" s="333">
        <f>IF((1-($CY$2-O$2)/$C16)&gt;0,(1-($CY$2-O$2)/$C16),0)</f>
        <v>0.5</v>
      </c>
      <c r="CI16" s="333">
        <f>IF((1-($CY$2-S$2)/$C16)&gt;0,(1-($CY$2-S$2)/$C16),0)</f>
        <v>0.53333333333333333</v>
      </c>
      <c r="CJ16" s="333">
        <f>IF((1-($CY$2-W$2)/$C16)&gt;0,(1-($CY$2-W$2)/$C16),0)</f>
        <v>0.56666666666666665</v>
      </c>
      <c r="CK16" s="333">
        <f>IF((1-($CY$2-AA$2)/$C16)&gt;0,(1-($CY$2-AA$2)/$C16),0)</f>
        <v>0.6</v>
      </c>
      <c r="CL16" s="333">
        <f>IF((1-($CY$2-AE$2)/$C16)&gt;0,(1-($CY$2-AE$2)/$C16),0)</f>
        <v>0.6333333333333333</v>
      </c>
      <c r="CM16" s="333">
        <f>IF((1-($CY$2-AI$2)/$C16)&gt;0,(1-($CY$2-AI$2)/$C16),0)</f>
        <v>0.66666666666666674</v>
      </c>
      <c r="CN16" s="333">
        <f>IF((1-($CY$2-AM$2)/$C16)&gt;0,(1-($CY$2-AM$2)/$C16),0)</f>
        <v>0.7</v>
      </c>
      <c r="CO16" s="333">
        <f>IF((1-($CY$2-AQ$2)/$C16)&gt;0,(1-($CY$2-AQ$2)/$C16),0)</f>
        <v>0.73333333333333339</v>
      </c>
      <c r="CP16" s="333">
        <f>IF((1-($CY$2-AU$2)/$C16)&gt;0,(1-($CY$2-AU$2)/$C16),0)</f>
        <v>0.76666666666666661</v>
      </c>
      <c r="CQ16" s="333">
        <f>IF((1-($CY$2-AY$2)/$C16)&gt;0,(1-($CY$2-AY$2)/$C16),0)</f>
        <v>0.8</v>
      </c>
      <c r="CR16" s="333">
        <f>IF((1-($CY$2-BC$2)/$C16)&gt;0,(1-($CY$2-BC$2)/$C16),0)</f>
        <v>0.83333333333333337</v>
      </c>
      <c r="CS16" s="333">
        <f>IF(BG16=0,0,1-($CY$2-(2014.5-(BG16-BI16)*C16/BG16))/C16)</f>
        <v>0</v>
      </c>
      <c r="CT16" s="333">
        <f>IF((1-($CY$2-BJ$2)/$C16)&gt;0,(1-($CY$2-BJ$2)/$C16),0)</f>
        <v>0.8666666666666667</v>
      </c>
      <c r="CU16" s="333">
        <f>IF((1-($CY$2-BN$2)/$C16)&gt;0,(1-($CY$2-BN$2)/$C16),0)</f>
        <v>0.9</v>
      </c>
      <c r="CV16" s="333">
        <f>IF((1-($CY$2-BR$2)/$C16)&gt;0,(1-($CY$2-BR$2)/$C16),0)</f>
        <v>0.93333333333333335</v>
      </c>
      <c r="CW16" s="333">
        <f>IF((1-($CY$2-BV$2)/$C16)&gt;0,(1-($CY$2-BV$2)/$C16),0)</f>
        <v>0.96666666666666667</v>
      </c>
      <c r="CX16" s="333">
        <f>IF((1-($CY$2-BZ$2)/$C16)&gt;0,(1-($CY$2-BZ$2)/$C16),0)</f>
        <v>1</v>
      </c>
      <c r="CY16" s="334">
        <f t="shared" si="26"/>
        <v>2088630.1130731143</v>
      </c>
      <c r="CZ16" s="334">
        <f t="shared" si="27"/>
        <v>0</v>
      </c>
      <c r="DA16" s="334">
        <f>(D16-E16)*CE16+((G16-H16-(I16-J16))*G$61)*CF16+((K16-L16-(M16-N16))*K$61)*CG16+((O16-P16-(Q16-R16))*O$61)*CH16+((S16-T16-(U16-V16))*S$61)*CI16+((W16-X16-(Y16-Z16))*W$61)*CJ16+((AA16-AB16-(AC16-AD16))*AA$61)*CK16+((AE16-AF16-(AG16-AH16))*AE$61)*CL16+((AI16-AJ16-(AK16-AL16))*AI$61)*CM16+((AM16-AN16-(AO16-AP16))*$AM$61)*CN16+((AQ16-AR16-(AS16-AT16))*$AQ$61)*CO16+((AU16-AV16-(AW16-AX16))*$AU$61)*CP16+((AY16-AZ16-(BA16-BB16))*$AY$61)*CQ16+((BC16-BD16-(BE16-BF16))*$BC$61)*CR16+((BJ16-BK16-(BL16-BM16))*$BJ$61)*CT16+(BG16-BH16)*CS16+((BN16-BO16-(BP16-BQ16))*$BN$61)*CU16+((BR16-BS16-(BT16-BU16))*$BR$61)*CV16+((BV16-BW16-(BX16-BY16))*$BV$61)*CW16+((BZ16-CA16-(CB16-CC16))*$BZ$61)*CX16</f>
        <v>1879767.1017658028</v>
      </c>
    </row>
    <row r="17" spans="1:105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321">
        <f>IF(D17=0,0,2001-(D17-F17)*C17/D17)</f>
        <v>0</v>
      </c>
      <c r="CE17" s="333">
        <f>IF((1-($CY$2-$CD17)/$C17)&gt;0,(1-($CY$2-$CD17)/$C17),0)</f>
        <v>0</v>
      </c>
      <c r="CF17" s="333">
        <f>IF((1-($CY$2-G$2)/$C17)&gt;0,(1-($CY$2-G$2)/$C17),0)</f>
        <v>0.43333333333333335</v>
      </c>
      <c r="CG17" s="333">
        <f>IF((1-($CY$2-K$2)/$C17)&gt;0,(1-($CY$2-K$2)/$C17),0)</f>
        <v>0.46666666666666667</v>
      </c>
      <c r="CH17" s="333">
        <f>IF((1-($CY$2-O$2)/$C17)&gt;0,(1-($CY$2-O$2)/$C17),0)</f>
        <v>0.5</v>
      </c>
      <c r="CI17" s="333">
        <f>IF((1-($CY$2-S$2)/$C17)&gt;0,(1-($CY$2-S$2)/$C17),0)</f>
        <v>0.53333333333333333</v>
      </c>
      <c r="CJ17" s="333">
        <f>IF((1-($CY$2-W$2)/$C17)&gt;0,(1-($CY$2-W$2)/$C17),0)</f>
        <v>0.56666666666666665</v>
      </c>
      <c r="CK17" s="333">
        <f>IF((1-($CY$2-AA$2)/$C17)&gt;0,(1-($CY$2-AA$2)/$C17),0)</f>
        <v>0.6</v>
      </c>
      <c r="CL17" s="333">
        <f>IF((1-($CY$2-AE$2)/$C17)&gt;0,(1-($CY$2-AE$2)/$C17),0)</f>
        <v>0.6333333333333333</v>
      </c>
      <c r="CM17" s="333">
        <f>IF((1-($CY$2-AI$2)/$C17)&gt;0,(1-($CY$2-AI$2)/$C17),0)</f>
        <v>0.66666666666666674</v>
      </c>
      <c r="CN17" s="333">
        <f>IF((1-($CY$2-AM$2)/$C17)&gt;0,(1-($CY$2-AM$2)/$C17),0)</f>
        <v>0.7</v>
      </c>
      <c r="CO17" s="333">
        <f>IF((1-($CY$2-AQ$2)/$C17)&gt;0,(1-($CY$2-AQ$2)/$C17),0)</f>
        <v>0.73333333333333339</v>
      </c>
      <c r="CP17" s="333">
        <f>IF((1-($CY$2-AU$2)/$C17)&gt;0,(1-($CY$2-AU$2)/$C17),0)</f>
        <v>0.76666666666666661</v>
      </c>
      <c r="CQ17" s="333">
        <f>IF((1-($CY$2-AY$2)/$C17)&gt;0,(1-($CY$2-AY$2)/$C17),0)</f>
        <v>0.8</v>
      </c>
      <c r="CR17" s="333">
        <f>IF((1-($CY$2-BC$2)/$C17)&gt;0,(1-($CY$2-BC$2)/$C17),0)</f>
        <v>0.83333333333333337</v>
      </c>
      <c r="CS17" s="333">
        <f>IF(BG17=0,0,1-($CY$2-(2014.5-(BG17-BI17)*C17/BG17))/C17)</f>
        <v>0</v>
      </c>
      <c r="CT17" s="333">
        <f>IF((1-($CY$2-BJ$2)/$C17)&gt;0,(1-($CY$2-BJ$2)/$C17),0)</f>
        <v>0.8666666666666667</v>
      </c>
      <c r="CU17" s="333">
        <f>IF((1-($CY$2-BN$2)/$C17)&gt;0,(1-($CY$2-BN$2)/$C17),0)</f>
        <v>0.9</v>
      </c>
      <c r="CV17" s="333">
        <f>IF((1-($CY$2-BR$2)/$C17)&gt;0,(1-($CY$2-BR$2)/$C17),0)</f>
        <v>0.93333333333333335</v>
      </c>
      <c r="CW17" s="333">
        <f>IF((1-($CY$2-BV$2)/$C17)&gt;0,(1-($CY$2-BV$2)/$C17),0)</f>
        <v>0.96666666666666667</v>
      </c>
      <c r="CX17" s="333">
        <f>IF((1-($CY$2-BZ$2)/$C17)&gt;0,(1-($CY$2-BZ$2)/$C17),0)</f>
        <v>1</v>
      </c>
      <c r="CY17" s="334">
        <f t="shared" si="26"/>
        <v>7229414.3872795496</v>
      </c>
      <c r="CZ17" s="334">
        <f t="shared" si="27"/>
        <v>0</v>
      </c>
      <c r="DA17" s="334">
        <f>(D17-E17)*CE17+((G17-H17-(I17-J17))*G$61)*CF17+((K17-L17-(M17-N17))*K$61)*CG17+((O17-P17-(Q17-R17))*O$61)*CH17+((S17-T17-(U17-V17))*S$61)*CI17+((W17-X17-(Y17-Z17))*W$61)*CJ17+((AA17-AB17-(AC17-AD17))*AA$61)*CK17+((AE17-AF17-(AG17-AH17))*AE$61)*CL17+((AI17-AJ17-(AK17-AL17))*AI$61)*CM17+((AM17-AN17-(AO17-AP17))*$AM$61)*CN17+((AQ17-AR17-(AS17-AT17))*$AQ$61)*CO17+((AU17-AV17-(AW17-AX17))*$AU$61)*CP17+((AY17-AZ17-(BA17-BB17))*$AY$61)*CQ17+((BC17-BD17-(BE17-BF17))*$BC$61)*CR17+((BJ17-BK17-(BL17-BM17))*$BJ$61)*CT17+(BG17-BH17)*CS17+((BN17-BO17-(BP17-BQ17))*$BN$61)*CU17+((BR17-BS17-(BT17-BU17))*$BR$61)*CV17+((BV17-BW17-(BX17-BY17))*$BV$61)*CW17+((BZ17-CA17-(CB17-CC17))*$BZ$61)*CX17</f>
        <v>6511730.5537231844</v>
      </c>
    </row>
    <row r="18" spans="1:105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333"/>
      <c r="CE18" s="333"/>
      <c r="CF18" s="333"/>
      <c r="CG18" s="333"/>
      <c r="CH18" s="333"/>
      <c r="CI18" s="333"/>
      <c r="CJ18" s="333"/>
      <c r="CK18" s="333"/>
      <c r="CL18" s="333"/>
      <c r="CM18" s="333"/>
      <c r="CN18" s="333"/>
      <c r="CO18" s="333"/>
      <c r="CP18" s="333"/>
      <c r="CQ18" s="333"/>
      <c r="CR18" s="333"/>
      <c r="CS18" s="333"/>
      <c r="CT18" s="333"/>
      <c r="CU18" s="333"/>
      <c r="CV18" s="333"/>
      <c r="CW18" s="333"/>
      <c r="CX18" s="333"/>
      <c r="CY18" s="334">
        <f t="shared" si="26"/>
        <v>0</v>
      </c>
      <c r="CZ18" s="334">
        <f t="shared" si="27"/>
        <v>0</v>
      </c>
      <c r="DA18" s="334"/>
    </row>
    <row r="19" spans="1:105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321">
        <f t="shared" ref="CD19:CD31" si="28">IF(D19=0,0,2001-(D19-F19)*C19/D19)</f>
        <v>1987.6168208038905</v>
      </c>
      <c r="CE19" s="333">
        <f t="shared" ref="CE19:CE31" si="29">IF((1-($CY$2-$CD19)/$C19)&gt;0,(1-($CY$2-$CD19)/$C19),0)</f>
        <v>0</v>
      </c>
      <c r="CF19" s="333">
        <f t="shared" ref="CF19:CF31" si="30">IF((1-($CY$2-G$2)/$C19)&gt;0,(1-($CY$2-G$2)/$C19),0)</f>
        <v>0.43333333333333335</v>
      </c>
      <c r="CG19" s="333">
        <f t="shared" ref="CG19:CG31" si="31">IF((1-($CY$2-K$2)/$C19)&gt;0,(1-($CY$2-K$2)/$C19),0)</f>
        <v>0.46666666666666667</v>
      </c>
      <c r="CH19" s="333">
        <f t="shared" ref="CH19:CH31" si="32">IF((1-($CY$2-O$2)/$C19)&gt;0,(1-($CY$2-O$2)/$C19),0)</f>
        <v>0.5</v>
      </c>
      <c r="CI19" s="333">
        <f t="shared" ref="CI19:CI31" si="33">IF((1-($CY$2-S$2)/$C19)&gt;0,(1-($CY$2-S$2)/$C19),0)</f>
        <v>0.53333333333333333</v>
      </c>
      <c r="CJ19" s="333">
        <f t="shared" ref="CJ19:CJ31" si="34">IF((1-($CY$2-W$2)/$C19)&gt;0,(1-($CY$2-W$2)/$C19),0)</f>
        <v>0.56666666666666665</v>
      </c>
      <c r="CK19" s="333">
        <f t="shared" ref="CK19:CK31" si="35">IF((1-($CY$2-AA$2)/$C19)&gt;0,(1-($CY$2-AA$2)/$C19),0)</f>
        <v>0.6</v>
      </c>
      <c r="CL19" s="333">
        <f t="shared" ref="CL19:CL31" si="36">IF((1-($CY$2-AE$2)/$C19)&gt;0,(1-($CY$2-AE$2)/$C19),0)</f>
        <v>0.6333333333333333</v>
      </c>
      <c r="CM19" s="333">
        <f t="shared" ref="CM19:CM31" si="37">IF((1-($CY$2-AI$2)/$C19)&gt;0,(1-($CY$2-AI$2)/$C19),0)</f>
        <v>0.66666666666666674</v>
      </c>
      <c r="CN19" s="333">
        <f t="shared" ref="CN19:CN31" si="38">IF((1-($CY$2-AM$2)/$C19)&gt;0,(1-($CY$2-AM$2)/$C19),0)</f>
        <v>0.7</v>
      </c>
      <c r="CO19" s="333">
        <f t="shared" ref="CO19:CO31" si="39">IF((1-($CY$2-AQ$2)/$C19)&gt;0,(1-($CY$2-AQ$2)/$C19),0)</f>
        <v>0.73333333333333339</v>
      </c>
      <c r="CP19" s="333">
        <f t="shared" ref="CP19:CP31" si="40">IF((1-($CY$2-AU$2)/$C19)&gt;0,(1-($CY$2-AU$2)/$C19),0)</f>
        <v>0.76666666666666661</v>
      </c>
      <c r="CQ19" s="333">
        <f t="shared" ref="CQ19:CQ31" si="41">IF((1-($CY$2-AY$2)/$C19)&gt;0,(1-($CY$2-AY$2)/$C19),0)</f>
        <v>0.8</v>
      </c>
      <c r="CR19" s="333">
        <f t="shared" ref="CR19:CR31" si="42">IF((1-($CY$2-BC$2)/$C19)&gt;0,(1-($CY$2-BC$2)/$C19),0)</f>
        <v>0.83333333333333337</v>
      </c>
      <c r="CS19" s="333">
        <f t="shared" ref="CS19:CS31" si="43">IF(BG19=0,0,1-($CY$2-(2014.5-(BG19-BI19)*C19/BG19))/C19)</f>
        <v>0.52173664402623676</v>
      </c>
      <c r="CT19" s="333">
        <f t="shared" ref="CT19:CT31" si="44">IF((1-($CY$2-BJ$2)/$C19)&gt;0,(1-($CY$2-BJ$2)/$C19),0)</f>
        <v>0.8666666666666667</v>
      </c>
      <c r="CU19" s="333">
        <f t="shared" ref="CU19:CU31" si="45">IF((1-($CY$2-BN$2)/$C19)&gt;0,(1-($CY$2-BN$2)/$C19),0)</f>
        <v>0.9</v>
      </c>
      <c r="CV19" s="333">
        <f t="shared" ref="CV19:CV31" si="46">IF((1-($CY$2-BR$2)/$C19)&gt;0,(1-($CY$2-BR$2)/$C19),0)</f>
        <v>0.93333333333333335</v>
      </c>
      <c r="CW19" s="333">
        <f t="shared" ref="CW19:CW31" si="47">IF((1-($CY$2-BV$2)/$C19)&gt;0,(1-($CY$2-BV$2)/$C19),0)</f>
        <v>0.96666666666666667</v>
      </c>
      <c r="CX19" s="333">
        <f t="shared" ref="CX19:CX31" si="48">IF((1-($CY$2-BZ$2)/$C19)&gt;0,(1-($CY$2-BZ$2)/$C19),0)</f>
        <v>1</v>
      </c>
      <c r="CY19" s="334">
        <f t="shared" si="26"/>
        <v>45469919.758786693</v>
      </c>
      <c r="CZ19" s="334">
        <f t="shared" si="27"/>
        <v>20631115.423739497</v>
      </c>
      <c r="DA19" s="334">
        <f t="shared" ref="DA19:DA31" si="49">(D19-E19)*CE19+((G19-H19-(I19-J19))*G$61)*CF19+((K19-L19-(M19-N19))*K$61)*CG19+((O19-P19-(Q19-R19))*O$61)*CH19+((S19-T19-(U19-V19))*S$61)*CI19+((W19-X19-(Y19-Z19))*W$61)*CJ19+((AA19-AB19-(AC19-AD19))*AA$61)*CK19+((AE19-AF19-(AG19-AH19))*AE$61)*CL19+((AI19-AJ19-(AK19-AL19))*AI$61)*CM19+((AM19-AN19-(AO19-AP19))*$AM$61)*CN19+((AQ19-AR19-(AS19-AT19))*$AQ$61)*CO19+((AU19-AV19-(AW19-AX19))*$AU$61)*CP19+((AY19-AZ19-(BA19-BB19))*$AY$61)*CQ19+((BC19-BD19-(BE19-BF19))*$BC$61)*CR19+((BJ19-BK19-(BL19-BM19))*$BJ$61)*CT19+(BG19-BH19)*CS19+((BN19-BO19-(BP19-BQ19))*$BN$61)*CU19+((BR19-BS19-(BT19-BU19))*$BR$61)*CV19+((BV19-BW19-(BX19-BY19))*$BV$61)*CW19+((BZ19-CA19-(CB19-CC19))*$BZ$61)*CX19</f>
        <v>17131267.890389539</v>
      </c>
    </row>
    <row r="20" spans="1:105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321">
        <f t="shared" si="28"/>
        <v>1987.6165577130359</v>
      </c>
      <c r="CE20" s="333">
        <f t="shared" si="29"/>
        <v>0</v>
      </c>
      <c r="CF20" s="333">
        <f t="shared" si="30"/>
        <v>0.43333333333333335</v>
      </c>
      <c r="CG20" s="333">
        <f t="shared" si="31"/>
        <v>0.46666666666666667</v>
      </c>
      <c r="CH20" s="333">
        <f t="shared" si="32"/>
        <v>0.5</v>
      </c>
      <c r="CI20" s="333">
        <f t="shared" si="33"/>
        <v>0.53333333333333333</v>
      </c>
      <c r="CJ20" s="333">
        <f t="shared" si="34"/>
        <v>0.56666666666666665</v>
      </c>
      <c r="CK20" s="333">
        <f t="shared" si="35"/>
        <v>0.6</v>
      </c>
      <c r="CL20" s="333">
        <f t="shared" si="36"/>
        <v>0.6333333333333333</v>
      </c>
      <c r="CM20" s="333">
        <f t="shared" si="37"/>
        <v>0.66666666666666674</v>
      </c>
      <c r="CN20" s="333">
        <f t="shared" si="38"/>
        <v>0.7</v>
      </c>
      <c r="CO20" s="333">
        <f t="shared" si="39"/>
        <v>0.73333333333333339</v>
      </c>
      <c r="CP20" s="333">
        <f t="shared" si="40"/>
        <v>0.76666666666666661</v>
      </c>
      <c r="CQ20" s="333">
        <f t="shared" si="41"/>
        <v>0.8</v>
      </c>
      <c r="CR20" s="333">
        <f t="shared" si="42"/>
        <v>0.83333333333333337</v>
      </c>
      <c r="CS20" s="333">
        <f t="shared" si="43"/>
        <v>0</v>
      </c>
      <c r="CT20" s="333">
        <f t="shared" si="44"/>
        <v>0.8666666666666667</v>
      </c>
      <c r="CU20" s="333">
        <f t="shared" si="45"/>
        <v>0.9</v>
      </c>
      <c r="CV20" s="333">
        <f t="shared" si="46"/>
        <v>0.93333333333333335</v>
      </c>
      <c r="CW20" s="333">
        <f t="shared" si="47"/>
        <v>0.96666666666666667</v>
      </c>
      <c r="CX20" s="333">
        <f t="shared" si="48"/>
        <v>1</v>
      </c>
      <c r="CY20" s="334">
        <f t="shared" si="26"/>
        <v>30284326.675759152</v>
      </c>
      <c r="CZ20" s="334">
        <f t="shared" si="27"/>
        <v>20319163.888809633</v>
      </c>
      <c r="DA20" s="334">
        <f t="shared" si="49"/>
        <v>8148131.0372848865</v>
      </c>
    </row>
    <row r="21" spans="1:105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321">
        <f t="shared" si="28"/>
        <v>1987.6167726485194</v>
      </c>
      <c r="CE21" s="333">
        <f t="shared" si="29"/>
        <v>0</v>
      </c>
      <c r="CF21" s="333">
        <f t="shared" si="30"/>
        <v>0.43333333333333335</v>
      </c>
      <c r="CG21" s="333">
        <f t="shared" si="31"/>
        <v>0.46666666666666667</v>
      </c>
      <c r="CH21" s="333">
        <f t="shared" si="32"/>
        <v>0.5</v>
      </c>
      <c r="CI21" s="333">
        <f t="shared" si="33"/>
        <v>0.53333333333333333</v>
      </c>
      <c r="CJ21" s="333">
        <f t="shared" si="34"/>
        <v>0.56666666666666665</v>
      </c>
      <c r="CK21" s="333">
        <f t="shared" si="35"/>
        <v>0.6</v>
      </c>
      <c r="CL21" s="333">
        <f t="shared" si="36"/>
        <v>0.6333333333333333</v>
      </c>
      <c r="CM21" s="333">
        <f t="shared" si="37"/>
        <v>0.66666666666666674</v>
      </c>
      <c r="CN21" s="333">
        <f t="shared" si="38"/>
        <v>0.7</v>
      </c>
      <c r="CO21" s="333">
        <f t="shared" si="39"/>
        <v>0.73333333333333339</v>
      </c>
      <c r="CP21" s="333">
        <f t="shared" si="40"/>
        <v>0.76666666666666661</v>
      </c>
      <c r="CQ21" s="333">
        <f t="shared" si="41"/>
        <v>0.8</v>
      </c>
      <c r="CR21" s="333">
        <f t="shared" si="42"/>
        <v>0.83333333333333337</v>
      </c>
      <c r="CS21" s="333">
        <f t="shared" si="43"/>
        <v>0.55000007043061783</v>
      </c>
      <c r="CT21" s="333">
        <f t="shared" si="44"/>
        <v>0.8666666666666667</v>
      </c>
      <c r="CU21" s="333">
        <f t="shared" si="45"/>
        <v>0.9</v>
      </c>
      <c r="CV21" s="333">
        <f t="shared" si="46"/>
        <v>0.93333333333333335</v>
      </c>
      <c r="CW21" s="333">
        <f t="shared" si="47"/>
        <v>0.96666666666666667</v>
      </c>
      <c r="CX21" s="333">
        <f t="shared" si="48"/>
        <v>1</v>
      </c>
      <c r="CY21" s="334">
        <f t="shared" si="26"/>
        <v>220572.67704669843</v>
      </c>
      <c r="CZ21" s="334">
        <f t="shared" si="27"/>
        <v>149580.82704669842</v>
      </c>
      <c r="DA21" s="334">
        <f t="shared" si="49"/>
        <v>39045.522499999861</v>
      </c>
    </row>
    <row r="22" spans="1:105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321">
        <f t="shared" si="28"/>
        <v>0</v>
      </c>
      <c r="CE22" s="333">
        <f t="shared" si="29"/>
        <v>0</v>
      </c>
      <c r="CF22" s="333">
        <f t="shared" si="30"/>
        <v>0.43333333333333335</v>
      </c>
      <c r="CG22" s="333">
        <f t="shared" si="31"/>
        <v>0.46666666666666667</v>
      </c>
      <c r="CH22" s="333">
        <f t="shared" si="32"/>
        <v>0.5</v>
      </c>
      <c r="CI22" s="333">
        <f t="shared" si="33"/>
        <v>0.53333333333333333</v>
      </c>
      <c r="CJ22" s="333">
        <f t="shared" si="34"/>
        <v>0.56666666666666665</v>
      </c>
      <c r="CK22" s="333">
        <f t="shared" si="35"/>
        <v>0.6</v>
      </c>
      <c r="CL22" s="333">
        <f t="shared" si="36"/>
        <v>0.6333333333333333</v>
      </c>
      <c r="CM22" s="333">
        <f t="shared" si="37"/>
        <v>0.66666666666666674</v>
      </c>
      <c r="CN22" s="333">
        <f t="shared" si="38"/>
        <v>0.7</v>
      </c>
      <c r="CO22" s="333">
        <f t="shared" si="39"/>
        <v>0.73333333333333339</v>
      </c>
      <c r="CP22" s="333">
        <f t="shared" si="40"/>
        <v>0.76666666666666661</v>
      </c>
      <c r="CQ22" s="333">
        <f t="shared" si="41"/>
        <v>0.8</v>
      </c>
      <c r="CR22" s="333">
        <f t="shared" si="42"/>
        <v>0.83333333333333337</v>
      </c>
      <c r="CS22" s="333">
        <f t="shared" si="43"/>
        <v>0</v>
      </c>
      <c r="CT22" s="333">
        <f t="shared" si="44"/>
        <v>0.8666666666666667</v>
      </c>
      <c r="CU22" s="333">
        <f t="shared" si="45"/>
        <v>0.9</v>
      </c>
      <c r="CV22" s="333">
        <f t="shared" si="46"/>
        <v>0.93333333333333335</v>
      </c>
      <c r="CW22" s="333">
        <f t="shared" si="47"/>
        <v>0.96666666666666667</v>
      </c>
      <c r="CX22" s="333">
        <f t="shared" si="48"/>
        <v>1</v>
      </c>
      <c r="CY22" s="334">
        <f t="shared" si="26"/>
        <v>3522810.4580934346</v>
      </c>
      <c r="CZ22" s="334">
        <f t="shared" si="27"/>
        <v>0</v>
      </c>
      <c r="DA22" s="334">
        <f t="shared" si="49"/>
        <v>3125881.1007894082</v>
      </c>
    </row>
    <row r="23" spans="1:105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321">
        <f t="shared" si="28"/>
        <v>0</v>
      </c>
      <c r="CE23" s="333">
        <f t="shared" si="29"/>
        <v>0</v>
      </c>
      <c r="CF23" s="333">
        <f t="shared" si="30"/>
        <v>0.43333333333333335</v>
      </c>
      <c r="CG23" s="333">
        <f t="shared" si="31"/>
        <v>0.46666666666666667</v>
      </c>
      <c r="CH23" s="333">
        <f t="shared" si="32"/>
        <v>0.5</v>
      </c>
      <c r="CI23" s="333">
        <f t="shared" si="33"/>
        <v>0.53333333333333333</v>
      </c>
      <c r="CJ23" s="333">
        <f t="shared" si="34"/>
        <v>0.56666666666666665</v>
      </c>
      <c r="CK23" s="333">
        <f t="shared" si="35"/>
        <v>0.6</v>
      </c>
      <c r="CL23" s="333">
        <f t="shared" si="36"/>
        <v>0.6333333333333333</v>
      </c>
      <c r="CM23" s="333">
        <f t="shared" si="37"/>
        <v>0.66666666666666674</v>
      </c>
      <c r="CN23" s="333">
        <f t="shared" si="38"/>
        <v>0.7</v>
      </c>
      <c r="CO23" s="333">
        <f t="shared" si="39"/>
        <v>0.73333333333333339</v>
      </c>
      <c r="CP23" s="333">
        <f t="shared" si="40"/>
        <v>0.76666666666666661</v>
      </c>
      <c r="CQ23" s="333">
        <f t="shared" si="41"/>
        <v>0.8</v>
      </c>
      <c r="CR23" s="333">
        <f t="shared" si="42"/>
        <v>0.83333333333333337</v>
      </c>
      <c r="CS23" s="333">
        <f t="shared" si="43"/>
        <v>0</v>
      </c>
      <c r="CT23" s="333">
        <f t="shared" si="44"/>
        <v>0.8666666666666667</v>
      </c>
      <c r="CU23" s="333">
        <f t="shared" si="45"/>
        <v>0.9</v>
      </c>
      <c r="CV23" s="333">
        <f t="shared" si="46"/>
        <v>0.93333333333333335</v>
      </c>
      <c r="CW23" s="333">
        <f t="shared" si="47"/>
        <v>0.96666666666666667</v>
      </c>
      <c r="CX23" s="333">
        <f t="shared" si="48"/>
        <v>1</v>
      </c>
      <c r="CY23" s="334">
        <f t="shared" si="26"/>
        <v>3767870.2253614105</v>
      </c>
      <c r="CZ23" s="334">
        <f t="shared" si="27"/>
        <v>0</v>
      </c>
      <c r="DA23" s="334">
        <f t="shared" si="49"/>
        <v>3364087.9612829625</v>
      </c>
    </row>
    <row r="24" spans="1:105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321">
        <f t="shared" si="28"/>
        <v>0</v>
      </c>
      <c r="CE24" s="333">
        <f t="shared" si="29"/>
        <v>0</v>
      </c>
      <c r="CF24" s="333">
        <f t="shared" si="30"/>
        <v>0.43333333333333335</v>
      </c>
      <c r="CG24" s="333">
        <f t="shared" si="31"/>
        <v>0.46666666666666667</v>
      </c>
      <c r="CH24" s="333">
        <f t="shared" si="32"/>
        <v>0.5</v>
      </c>
      <c r="CI24" s="333">
        <f t="shared" si="33"/>
        <v>0.53333333333333333</v>
      </c>
      <c r="CJ24" s="333">
        <f t="shared" si="34"/>
        <v>0.56666666666666665</v>
      </c>
      <c r="CK24" s="333">
        <f t="shared" si="35"/>
        <v>0.6</v>
      </c>
      <c r="CL24" s="333">
        <f t="shared" si="36"/>
        <v>0.6333333333333333</v>
      </c>
      <c r="CM24" s="333">
        <f t="shared" si="37"/>
        <v>0.66666666666666674</v>
      </c>
      <c r="CN24" s="333">
        <f t="shared" si="38"/>
        <v>0.7</v>
      </c>
      <c r="CO24" s="333">
        <f t="shared" si="39"/>
        <v>0.73333333333333339</v>
      </c>
      <c r="CP24" s="333">
        <f t="shared" si="40"/>
        <v>0.76666666666666661</v>
      </c>
      <c r="CQ24" s="333">
        <f t="shared" si="41"/>
        <v>0.8</v>
      </c>
      <c r="CR24" s="333">
        <f t="shared" si="42"/>
        <v>0.83333333333333337</v>
      </c>
      <c r="CS24" s="333">
        <f t="shared" si="43"/>
        <v>0</v>
      </c>
      <c r="CT24" s="333">
        <f t="shared" si="44"/>
        <v>0.8666666666666667</v>
      </c>
      <c r="CU24" s="333">
        <f t="shared" si="45"/>
        <v>0.9</v>
      </c>
      <c r="CV24" s="333">
        <f t="shared" si="46"/>
        <v>0.93333333333333335</v>
      </c>
      <c r="CW24" s="333">
        <f t="shared" si="47"/>
        <v>0.96666666666666667</v>
      </c>
      <c r="CX24" s="333">
        <f t="shared" si="48"/>
        <v>1</v>
      </c>
      <c r="CY24" s="334">
        <f t="shared" si="26"/>
        <v>0</v>
      </c>
      <c r="CZ24" s="334">
        <f t="shared" si="27"/>
        <v>0</v>
      </c>
      <c r="DA24" s="334">
        <f t="shared" si="49"/>
        <v>0</v>
      </c>
    </row>
    <row r="25" spans="1:105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321">
        <f t="shared" si="28"/>
        <v>1983.0579643777135</v>
      </c>
      <c r="CE25" s="333">
        <f t="shared" si="29"/>
        <v>0</v>
      </c>
      <c r="CF25" s="333">
        <f t="shared" si="30"/>
        <v>0.43333333333333335</v>
      </c>
      <c r="CG25" s="333">
        <f t="shared" si="31"/>
        <v>0.46666666666666667</v>
      </c>
      <c r="CH25" s="333">
        <f t="shared" si="32"/>
        <v>0.5</v>
      </c>
      <c r="CI25" s="333">
        <f t="shared" si="33"/>
        <v>0.53333333333333333</v>
      </c>
      <c r="CJ25" s="333">
        <f t="shared" si="34"/>
        <v>0.56666666666666665</v>
      </c>
      <c r="CK25" s="333">
        <f t="shared" si="35"/>
        <v>0.6</v>
      </c>
      <c r="CL25" s="333">
        <f t="shared" si="36"/>
        <v>0.6333333333333333</v>
      </c>
      <c r="CM25" s="333">
        <f t="shared" si="37"/>
        <v>0.66666666666666674</v>
      </c>
      <c r="CN25" s="333">
        <f t="shared" si="38"/>
        <v>0.7</v>
      </c>
      <c r="CO25" s="333">
        <f t="shared" si="39"/>
        <v>0.73333333333333339</v>
      </c>
      <c r="CP25" s="333">
        <f t="shared" si="40"/>
        <v>0.76666666666666661</v>
      </c>
      <c r="CQ25" s="333">
        <f t="shared" si="41"/>
        <v>0.8</v>
      </c>
      <c r="CR25" s="333">
        <f t="shared" si="42"/>
        <v>0.83333333333333337</v>
      </c>
      <c r="CS25" s="333">
        <f t="shared" si="43"/>
        <v>0.40242760860858195</v>
      </c>
      <c r="CT25" s="333">
        <f t="shared" si="44"/>
        <v>0.8666666666666667</v>
      </c>
      <c r="CU25" s="333">
        <f t="shared" si="45"/>
        <v>0.9</v>
      </c>
      <c r="CV25" s="333">
        <f t="shared" si="46"/>
        <v>0.93333333333333335</v>
      </c>
      <c r="CW25" s="333">
        <f t="shared" si="47"/>
        <v>0.96666666666666667</v>
      </c>
      <c r="CX25" s="333">
        <f t="shared" si="48"/>
        <v>1</v>
      </c>
      <c r="CY25" s="334">
        <f t="shared" si="26"/>
        <v>10088087.112117006</v>
      </c>
      <c r="CZ25" s="334">
        <f t="shared" si="27"/>
        <v>5501374.3444445133</v>
      </c>
      <c r="DA25" s="334">
        <f t="shared" si="49"/>
        <v>3436368.9948898717</v>
      </c>
    </row>
    <row r="26" spans="1:105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321">
        <f t="shared" si="28"/>
        <v>0</v>
      </c>
      <c r="CE26" s="333">
        <f t="shared" si="29"/>
        <v>0</v>
      </c>
      <c r="CF26" s="333">
        <f t="shared" si="30"/>
        <v>0.43333333333333335</v>
      </c>
      <c r="CG26" s="333">
        <f t="shared" si="31"/>
        <v>0.46666666666666667</v>
      </c>
      <c r="CH26" s="333">
        <f t="shared" si="32"/>
        <v>0.5</v>
      </c>
      <c r="CI26" s="333">
        <f t="shared" si="33"/>
        <v>0.53333333333333333</v>
      </c>
      <c r="CJ26" s="333">
        <f t="shared" si="34"/>
        <v>0.56666666666666665</v>
      </c>
      <c r="CK26" s="333">
        <f t="shared" si="35"/>
        <v>0.6</v>
      </c>
      <c r="CL26" s="333">
        <f t="shared" si="36"/>
        <v>0.6333333333333333</v>
      </c>
      <c r="CM26" s="333">
        <f t="shared" si="37"/>
        <v>0.66666666666666674</v>
      </c>
      <c r="CN26" s="333">
        <f t="shared" si="38"/>
        <v>0.7</v>
      </c>
      <c r="CO26" s="333">
        <f t="shared" si="39"/>
        <v>0.73333333333333339</v>
      </c>
      <c r="CP26" s="333">
        <f t="shared" si="40"/>
        <v>0.76666666666666661</v>
      </c>
      <c r="CQ26" s="333">
        <f t="shared" si="41"/>
        <v>0.8</v>
      </c>
      <c r="CR26" s="333">
        <f t="shared" si="42"/>
        <v>0.83333333333333337</v>
      </c>
      <c r="CS26" s="333">
        <f t="shared" si="43"/>
        <v>0.60412407916239774</v>
      </c>
      <c r="CT26" s="333">
        <f t="shared" si="44"/>
        <v>0.8666666666666667</v>
      </c>
      <c r="CU26" s="333">
        <f t="shared" si="45"/>
        <v>0.9</v>
      </c>
      <c r="CV26" s="333">
        <f t="shared" si="46"/>
        <v>0.93333333333333335</v>
      </c>
      <c r="CW26" s="333">
        <f t="shared" si="47"/>
        <v>0.96666666666666667</v>
      </c>
      <c r="CX26" s="333">
        <f t="shared" si="48"/>
        <v>1</v>
      </c>
      <c r="CY26" s="334">
        <f t="shared" si="26"/>
        <v>2503042.5259680757</v>
      </c>
      <c r="CZ26" s="334">
        <f t="shared" si="27"/>
        <v>0</v>
      </c>
      <c r="DA26" s="334">
        <f t="shared" si="49"/>
        <v>0</v>
      </c>
    </row>
    <row r="27" spans="1:105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321">
        <f t="shared" si="28"/>
        <v>0</v>
      </c>
      <c r="CE27" s="333">
        <f t="shared" si="29"/>
        <v>0</v>
      </c>
      <c r="CF27" s="333">
        <f t="shared" si="30"/>
        <v>0.43333333333333335</v>
      </c>
      <c r="CG27" s="333">
        <f t="shared" si="31"/>
        <v>0.46666666666666667</v>
      </c>
      <c r="CH27" s="333">
        <f t="shared" si="32"/>
        <v>0.5</v>
      </c>
      <c r="CI27" s="333">
        <f t="shared" si="33"/>
        <v>0.53333333333333333</v>
      </c>
      <c r="CJ27" s="333">
        <f t="shared" si="34"/>
        <v>0.56666666666666665</v>
      </c>
      <c r="CK27" s="333">
        <f t="shared" si="35"/>
        <v>0.6</v>
      </c>
      <c r="CL27" s="333">
        <f t="shared" si="36"/>
        <v>0.6333333333333333</v>
      </c>
      <c r="CM27" s="333">
        <f t="shared" si="37"/>
        <v>0.66666666666666674</v>
      </c>
      <c r="CN27" s="333">
        <f t="shared" si="38"/>
        <v>0.7</v>
      </c>
      <c r="CO27" s="333">
        <f t="shared" si="39"/>
        <v>0.73333333333333339</v>
      </c>
      <c r="CP27" s="333">
        <f t="shared" si="40"/>
        <v>0.76666666666666661</v>
      </c>
      <c r="CQ27" s="333">
        <f t="shared" si="41"/>
        <v>0.8</v>
      </c>
      <c r="CR27" s="333">
        <f t="shared" si="42"/>
        <v>0.83333333333333337</v>
      </c>
      <c r="CS27" s="333">
        <f t="shared" si="43"/>
        <v>0</v>
      </c>
      <c r="CT27" s="333">
        <f t="shared" si="44"/>
        <v>0.8666666666666667</v>
      </c>
      <c r="CU27" s="333">
        <f t="shared" si="45"/>
        <v>0.9</v>
      </c>
      <c r="CV27" s="333">
        <f t="shared" si="46"/>
        <v>0.93333333333333335</v>
      </c>
      <c r="CW27" s="333">
        <f t="shared" si="47"/>
        <v>0.96666666666666667</v>
      </c>
      <c r="CX27" s="333">
        <f t="shared" si="48"/>
        <v>1</v>
      </c>
      <c r="CY27" s="334">
        <f t="shared" si="26"/>
        <v>0</v>
      </c>
      <c r="CZ27" s="334">
        <f t="shared" si="27"/>
        <v>0</v>
      </c>
      <c r="DA27" s="334">
        <f t="shared" si="49"/>
        <v>0</v>
      </c>
    </row>
    <row r="28" spans="1:105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321">
        <f t="shared" si="28"/>
        <v>0</v>
      </c>
      <c r="CE28" s="333">
        <f t="shared" si="29"/>
        <v>0</v>
      </c>
      <c r="CF28" s="333">
        <f t="shared" si="30"/>
        <v>0.43333333333333335</v>
      </c>
      <c r="CG28" s="333">
        <f t="shared" si="31"/>
        <v>0.46666666666666667</v>
      </c>
      <c r="CH28" s="333">
        <f t="shared" si="32"/>
        <v>0.5</v>
      </c>
      <c r="CI28" s="333">
        <f t="shared" si="33"/>
        <v>0.53333333333333333</v>
      </c>
      <c r="CJ28" s="333">
        <f t="shared" si="34"/>
        <v>0.56666666666666665</v>
      </c>
      <c r="CK28" s="333">
        <f t="shared" si="35"/>
        <v>0.6</v>
      </c>
      <c r="CL28" s="333">
        <f t="shared" si="36"/>
        <v>0.6333333333333333</v>
      </c>
      <c r="CM28" s="333">
        <f t="shared" si="37"/>
        <v>0.66666666666666674</v>
      </c>
      <c r="CN28" s="333">
        <f t="shared" si="38"/>
        <v>0.7</v>
      </c>
      <c r="CO28" s="333">
        <f t="shared" si="39"/>
        <v>0.73333333333333339</v>
      </c>
      <c r="CP28" s="333">
        <f t="shared" si="40"/>
        <v>0.76666666666666661</v>
      </c>
      <c r="CQ28" s="333">
        <f t="shared" si="41"/>
        <v>0.8</v>
      </c>
      <c r="CR28" s="333">
        <f t="shared" si="42"/>
        <v>0.83333333333333337</v>
      </c>
      <c r="CS28" s="333">
        <f t="shared" si="43"/>
        <v>0</v>
      </c>
      <c r="CT28" s="333">
        <f t="shared" si="44"/>
        <v>0.8666666666666667</v>
      </c>
      <c r="CU28" s="333">
        <f t="shared" si="45"/>
        <v>0.9</v>
      </c>
      <c r="CV28" s="333">
        <f t="shared" si="46"/>
        <v>0.93333333333333335</v>
      </c>
      <c r="CW28" s="333">
        <f t="shared" si="47"/>
        <v>0.96666666666666667</v>
      </c>
      <c r="CX28" s="333">
        <f t="shared" si="48"/>
        <v>1</v>
      </c>
      <c r="CY28" s="334">
        <f t="shared" si="26"/>
        <v>12610.54608680449</v>
      </c>
      <c r="CZ28" s="334">
        <f t="shared" si="27"/>
        <v>0</v>
      </c>
      <c r="DA28" s="334">
        <f t="shared" si="49"/>
        <v>10088.436869443593</v>
      </c>
    </row>
    <row r="29" spans="1:105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321">
        <f t="shared" si="28"/>
        <v>1990.0430180109104</v>
      </c>
      <c r="CE29" s="333">
        <f t="shared" si="29"/>
        <v>3.4767267030345717E-2</v>
      </c>
      <c r="CF29" s="333">
        <f t="shared" si="30"/>
        <v>0.43333333333333335</v>
      </c>
      <c r="CG29" s="333">
        <f t="shared" si="31"/>
        <v>0.46666666666666667</v>
      </c>
      <c r="CH29" s="333">
        <f t="shared" si="32"/>
        <v>0.5</v>
      </c>
      <c r="CI29" s="333">
        <f t="shared" si="33"/>
        <v>0.53333333333333333</v>
      </c>
      <c r="CJ29" s="333">
        <f t="shared" si="34"/>
        <v>0.56666666666666665</v>
      </c>
      <c r="CK29" s="333">
        <f t="shared" si="35"/>
        <v>0.6</v>
      </c>
      <c r="CL29" s="333">
        <f t="shared" si="36"/>
        <v>0.6333333333333333</v>
      </c>
      <c r="CM29" s="333">
        <f t="shared" si="37"/>
        <v>0.66666666666666674</v>
      </c>
      <c r="CN29" s="333">
        <f t="shared" si="38"/>
        <v>0.7</v>
      </c>
      <c r="CO29" s="333">
        <f t="shared" si="39"/>
        <v>0.73333333333333339</v>
      </c>
      <c r="CP29" s="333">
        <f t="shared" si="40"/>
        <v>0.76666666666666661</v>
      </c>
      <c r="CQ29" s="333">
        <f t="shared" si="41"/>
        <v>0.8</v>
      </c>
      <c r="CR29" s="333">
        <f t="shared" si="42"/>
        <v>0.83333333333333337</v>
      </c>
      <c r="CS29" s="333">
        <f t="shared" si="43"/>
        <v>0.60412407916239774</v>
      </c>
      <c r="CT29" s="333">
        <f t="shared" si="44"/>
        <v>0.8666666666666667</v>
      </c>
      <c r="CU29" s="333">
        <f t="shared" si="45"/>
        <v>0.9</v>
      </c>
      <c r="CV29" s="333">
        <f t="shared" si="46"/>
        <v>0.93333333333333335</v>
      </c>
      <c r="CW29" s="333">
        <f t="shared" si="47"/>
        <v>0.96666666666666667</v>
      </c>
      <c r="CX29" s="333">
        <f t="shared" si="48"/>
        <v>1</v>
      </c>
      <c r="CY29" s="334">
        <f t="shared" si="26"/>
        <v>21085486.963473715</v>
      </c>
      <c r="CZ29" s="334">
        <f t="shared" si="27"/>
        <v>0</v>
      </c>
      <c r="DA29" s="334">
        <f t="shared" si="49"/>
        <v>14373184.555982398</v>
      </c>
    </row>
    <row r="30" spans="1:105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321">
        <f t="shared" si="28"/>
        <v>1990.0418779969095</v>
      </c>
      <c r="CE30" s="333">
        <f t="shared" si="29"/>
        <v>3.4729266563651162E-2</v>
      </c>
      <c r="CF30" s="333">
        <f t="shared" si="30"/>
        <v>0.43333333333333335</v>
      </c>
      <c r="CG30" s="333">
        <f t="shared" si="31"/>
        <v>0.46666666666666667</v>
      </c>
      <c r="CH30" s="333">
        <f t="shared" si="32"/>
        <v>0.5</v>
      </c>
      <c r="CI30" s="333">
        <f t="shared" si="33"/>
        <v>0.53333333333333333</v>
      </c>
      <c r="CJ30" s="333">
        <f t="shared" si="34"/>
        <v>0.56666666666666665</v>
      </c>
      <c r="CK30" s="333">
        <f t="shared" si="35"/>
        <v>0.6</v>
      </c>
      <c r="CL30" s="333">
        <f t="shared" si="36"/>
        <v>0.6333333333333333</v>
      </c>
      <c r="CM30" s="333">
        <f t="shared" si="37"/>
        <v>0.66666666666666674</v>
      </c>
      <c r="CN30" s="333">
        <f t="shared" si="38"/>
        <v>0.7</v>
      </c>
      <c r="CO30" s="333">
        <f t="shared" si="39"/>
        <v>0.73333333333333339</v>
      </c>
      <c r="CP30" s="333">
        <f t="shared" si="40"/>
        <v>0.76666666666666661</v>
      </c>
      <c r="CQ30" s="333">
        <f t="shared" si="41"/>
        <v>0.8</v>
      </c>
      <c r="CR30" s="333">
        <f t="shared" si="42"/>
        <v>0.83333333333333337</v>
      </c>
      <c r="CS30" s="333">
        <f t="shared" si="43"/>
        <v>0</v>
      </c>
      <c r="CT30" s="333">
        <f t="shared" si="44"/>
        <v>0.8666666666666667</v>
      </c>
      <c r="CU30" s="333">
        <f t="shared" si="45"/>
        <v>0.9</v>
      </c>
      <c r="CV30" s="333">
        <f t="shared" si="46"/>
        <v>0.93333333333333335</v>
      </c>
      <c r="CW30" s="333">
        <f t="shared" si="47"/>
        <v>0.96666666666666667</v>
      </c>
      <c r="CX30" s="333">
        <f t="shared" si="48"/>
        <v>1</v>
      </c>
      <c r="CY30" s="334">
        <f t="shared" si="26"/>
        <v>13194248.915610971</v>
      </c>
      <c r="CZ30" s="334">
        <f t="shared" si="27"/>
        <v>0</v>
      </c>
      <c r="DA30" s="334">
        <f t="shared" si="49"/>
        <v>7989178.8366982024</v>
      </c>
    </row>
    <row r="31" spans="1:105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321">
        <f t="shared" si="28"/>
        <v>0</v>
      </c>
      <c r="CE31" s="333">
        <f t="shared" si="29"/>
        <v>0</v>
      </c>
      <c r="CF31" s="333">
        <f t="shared" si="30"/>
        <v>0.43333333333333335</v>
      </c>
      <c r="CG31" s="333">
        <f t="shared" si="31"/>
        <v>0.46666666666666667</v>
      </c>
      <c r="CH31" s="333">
        <f t="shared" si="32"/>
        <v>0.5</v>
      </c>
      <c r="CI31" s="333">
        <f t="shared" si="33"/>
        <v>0.53333333333333333</v>
      </c>
      <c r="CJ31" s="333">
        <f t="shared" si="34"/>
        <v>0.56666666666666665</v>
      </c>
      <c r="CK31" s="333">
        <f t="shared" si="35"/>
        <v>0.6</v>
      </c>
      <c r="CL31" s="333">
        <f t="shared" si="36"/>
        <v>0.6333333333333333</v>
      </c>
      <c r="CM31" s="333">
        <f t="shared" si="37"/>
        <v>0.66666666666666674</v>
      </c>
      <c r="CN31" s="333">
        <f t="shared" si="38"/>
        <v>0.7</v>
      </c>
      <c r="CO31" s="333">
        <f t="shared" si="39"/>
        <v>0.73333333333333339</v>
      </c>
      <c r="CP31" s="333">
        <f t="shared" si="40"/>
        <v>0.76666666666666661</v>
      </c>
      <c r="CQ31" s="333">
        <f t="shared" si="41"/>
        <v>0.8</v>
      </c>
      <c r="CR31" s="333">
        <f t="shared" si="42"/>
        <v>0.83333333333333337</v>
      </c>
      <c r="CS31" s="333">
        <f t="shared" si="43"/>
        <v>0</v>
      </c>
      <c r="CT31" s="333">
        <f t="shared" si="44"/>
        <v>0.8666666666666667</v>
      </c>
      <c r="CU31" s="333">
        <f t="shared" si="45"/>
        <v>0.9</v>
      </c>
      <c r="CV31" s="333">
        <f t="shared" si="46"/>
        <v>0.93333333333333335</v>
      </c>
      <c r="CW31" s="333">
        <f t="shared" si="47"/>
        <v>0.96666666666666667</v>
      </c>
      <c r="CX31" s="333">
        <f t="shared" si="48"/>
        <v>1</v>
      </c>
      <c r="CY31" s="334">
        <f t="shared" si="26"/>
        <v>1045943.7521542725</v>
      </c>
      <c r="CZ31" s="334">
        <f t="shared" si="27"/>
        <v>0</v>
      </c>
      <c r="DA31" s="334">
        <f t="shared" si="49"/>
        <v>969745.66378642828</v>
      </c>
    </row>
    <row r="32" spans="1:105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333"/>
      <c r="CE32" s="333"/>
      <c r="CF32" s="333"/>
      <c r="CG32" s="333"/>
      <c r="CH32" s="333"/>
      <c r="CI32" s="333"/>
      <c r="CJ32" s="333"/>
      <c r="CK32" s="333"/>
      <c r="CL32" s="333"/>
      <c r="CM32" s="333"/>
      <c r="CN32" s="333"/>
      <c r="CO32" s="333"/>
      <c r="CP32" s="333"/>
      <c r="CQ32" s="333"/>
      <c r="CR32" s="333"/>
      <c r="CS32" s="333"/>
      <c r="CT32" s="333"/>
      <c r="CU32" s="333"/>
      <c r="CV32" s="333"/>
      <c r="CW32" s="333"/>
      <c r="CX32" s="333"/>
      <c r="CY32" s="334">
        <f t="shared" si="26"/>
        <v>0</v>
      </c>
      <c r="CZ32" s="334">
        <f t="shared" si="27"/>
        <v>0</v>
      </c>
      <c r="DA32" s="334"/>
    </row>
    <row r="33" spans="1:105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321">
        <f>IF(D33=0,0,2001-(D33-F33)*C33/D33)</f>
        <v>0</v>
      </c>
      <c r="CE33" s="333">
        <f>IF((1-($CY$2-$CD33)/$C33)&gt;0,(1-($CY$2-$CD33)/$C33),0)</f>
        <v>0</v>
      </c>
      <c r="CF33" s="333">
        <f>IF((1-($CY$2-G$2)/$C33)&gt;0,(1-($CY$2-G$2)/$C33),0)</f>
        <v>0.43333333333333335</v>
      </c>
      <c r="CG33" s="333">
        <f>IF((1-($CY$2-K$2)/$C33)&gt;0,(1-($CY$2-K$2)/$C33),0)</f>
        <v>0.46666666666666667</v>
      </c>
      <c r="CH33" s="333">
        <f>IF((1-($CY$2-O$2)/$C33)&gt;0,(1-($CY$2-O$2)/$C33),0)</f>
        <v>0.5</v>
      </c>
      <c r="CI33" s="333">
        <f>IF((1-($CY$2-S$2)/$C33)&gt;0,(1-($CY$2-S$2)/$C33),0)</f>
        <v>0.53333333333333333</v>
      </c>
      <c r="CJ33" s="333">
        <f>IF((1-($CY$2-W$2)/$C33)&gt;0,(1-($CY$2-W$2)/$C33),0)</f>
        <v>0.56666666666666665</v>
      </c>
      <c r="CK33" s="333">
        <f>IF((1-($CY$2-AA$2)/$C33)&gt;0,(1-($CY$2-AA$2)/$C33),0)</f>
        <v>0.6</v>
      </c>
      <c r="CL33" s="333">
        <f>IF((1-($CY$2-AE$2)/$C33)&gt;0,(1-($CY$2-AE$2)/$C33),0)</f>
        <v>0.6333333333333333</v>
      </c>
      <c r="CM33" s="333">
        <f>IF((1-($CY$2-AI$2)/$C33)&gt;0,(1-($CY$2-AI$2)/$C33),0)</f>
        <v>0.66666666666666674</v>
      </c>
      <c r="CN33" s="333">
        <f>IF((1-($CY$2-AM$2)/$C33)&gt;0,(1-($CY$2-AM$2)/$C33),0)</f>
        <v>0.7</v>
      </c>
      <c r="CO33" s="333">
        <f>IF((1-($CY$2-AQ$2)/$C33)&gt;0,(1-($CY$2-AQ$2)/$C33),0)</f>
        <v>0.73333333333333339</v>
      </c>
      <c r="CP33" s="333">
        <f>IF((1-($CY$2-AU$2)/$C33)&gt;0,(1-($CY$2-AU$2)/$C33),0)</f>
        <v>0.76666666666666661</v>
      </c>
      <c r="CQ33" s="333">
        <f>IF((1-($CY$2-AY$2)/$C33)&gt;0,(1-($CY$2-AY$2)/$C33),0)</f>
        <v>0.8</v>
      </c>
      <c r="CR33" s="333">
        <f>IF((1-($CY$2-BC$2)/$C33)&gt;0,(1-($CY$2-BC$2)/$C33),0)</f>
        <v>0.83333333333333337</v>
      </c>
      <c r="CS33" s="333">
        <f>IF(BG33=0,0,1-($CY$2-(2014.5-(BG33-BI33)*C33/BG33))/C33)</f>
        <v>0.60412407916239774</v>
      </c>
      <c r="CT33" s="333">
        <f>IF((1-($CY$2-BJ$2)/$C33)&gt;0,(1-($CY$2-BJ$2)/$C33),0)</f>
        <v>0.8666666666666667</v>
      </c>
      <c r="CU33" s="333">
        <f>IF((1-($CY$2-BN$2)/$C33)&gt;0,(1-($CY$2-BN$2)/$C33),0)</f>
        <v>0.9</v>
      </c>
      <c r="CV33" s="333">
        <f>IF((1-($CY$2-BR$2)/$C33)&gt;0,(1-($CY$2-BR$2)/$C33),0)</f>
        <v>0.93333333333333335</v>
      </c>
      <c r="CW33" s="333">
        <f>IF((1-($CY$2-BV$2)/$C33)&gt;0,(1-($CY$2-BV$2)/$C33),0)</f>
        <v>0.96666666666666667</v>
      </c>
      <c r="CX33" s="333">
        <f>IF((1-($CY$2-BZ$2)/$C33)&gt;0,(1-($CY$2-BZ$2)/$C33),0)</f>
        <v>1</v>
      </c>
      <c r="CY33" s="334">
        <f t="shared" si="26"/>
        <v>21337332.748044934</v>
      </c>
      <c r="CZ33" s="334">
        <f t="shared" si="27"/>
        <v>0</v>
      </c>
      <c r="DA33" s="334">
        <f>(D33-E33)*CE33+((G33-H33-(I33-J33))*G$61)*CF33+((K33-L33-(M33-N33))*K$61)*CG33+((O33-P33-(Q33-R33))*O$61)*CH33+((S33-T33-(U33-V33))*S$61)*CI33+((W33-X33-(Y33-Z33))*W$61)*CJ33+((AA33-AB33-(AC33-AD33))*AA$61)*CK33+((AE33-AF33-(AG33-AH33))*AE$61)*CL33+((AI33-AJ33-(AK33-AL33))*AI$61)*CM33+((AM33-AN33-(AO33-AP33))*$AM$61)*CN33+((AQ33-AR33-(AS33-AT33))*$AQ$61)*CO33+((AU33-AV33-(AW33-AX33))*$AU$61)*CP33+((AY33-AZ33-(BA33-BB33))*$AY$61)*CQ33+((BC33-BD33-(BE33-BF33))*$BC$61)*CR33+((BJ33-BK33-(BL33-BM33))*$BJ$61)*CT33+(BG33-BH33)*CS33+((BN33-BO33-(BP33-BQ33))*$BN$61)*CU33+((BR33-BS33-(BT33-BU33))*$BR$61)*CV33+((BV33-BW33-(BX33-BY33))*$BV$61)*CW33+((BZ33-CA33-(CB33-CC33))*$BZ$61)*CX33</f>
        <v>16813869.926992841</v>
      </c>
    </row>
    <row r="34" spans="1:105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321">
        <f>IF(D34=0,0,2001-(D34-F34)*C34/D34)</f>
        <v>0</v>
      </c>
      <c r="CE34" s="333">
        <f>IF((1-($CY$2-$CD34)/$C34)&gt;0,(1-($CY$2-$CD34)/$C34),0)</f>
        <v>0</v>
      </c>
      <c r="CF34" s="333">
        <f>IF((1-($CY$2-G$2)/$C34)&gt;0,(1-($CY$2-G$2)/$C34),0)</f>
        <v>0.43333333333333335</v>
      </c>
      <c r="CG34" s="333">
        <f>IF((1-($CY$2-K$2)/$C34)&gt;0,(1-($CY$2-K$2)/$C34),0)</f>
        <v>0.46666666666666667</v>
      </c>
      <c r="CH34" s="333">
        <f>IF((1-($CY$2-O$2)/$C34)&gt;0,(1-($CY$2-O$2)/$C34),0)</f>
        <v>0.5</v>
      </c>
      <c r="CI34" s="333">
        <f>IF((1-($CY$2-S$2)/$C34)&gt;0,(1-($CY$2-S$2)/$C34),0)</f>
        <v>0.53333333333333333</v>
      </c>
      <c r="CJ34" s="333">
        <f>IF((1-($CY$2-W$2)/$C34)&gt;0,(1-($CY$2-W$2)/$C34),0)</f>
        <v>0.56666666666666665</v>
      </c>
      <c r="CK34" s="333">
        <f>IF((1-($CY$2-AA$2)/$C34)&gt;0,(1-($CY$2-AA$2)/$C34),0)</f>
        <v>0.6</v>
      </c>
      <c r="CL34" s="333">
        <f>IF((1-($CY$2-AE$2)/$C34)&gt;0,(1-($CY$2-AE$2)/$C34),0)</f>
        <v>0.6333333333333333</v>
      </c>
      <c r="CM34" s="333">
        <f>IF((1-($CY$2-AI$2)/$C34)&gt;0,(1-($CY$2-AI$2)/$C34),0)</f>
        <v>0.66666666666666674</v>
      </c>
      <c r="CN34" s="333">
        <f>IF((1-($CY$2-AM$2)/$C34)&gt;0,(1-($CY$2-AM$2)/$C34),0)</f>
        <v>0.7</v>
      </c>
      <c r="CO34" s="333">
        <f>IF((1-($CY$2-AQ$2)/$C34)&gt;0,(1-($CY$2-AQ$2)/$C34),0)</f>
        <v>0.73333333333333339</v>
      </c>
      <c r="CP34" s="333">
        <f>IF((1-($CY$2-AU$2)/$C34)&gt;0,(1-($CY$2-AU$2)/$C34),0)</f>
        <v>0.76666666666666661</v>
      </c>
      <c r="CQ34" s="333">
        <f>IF((1-($CY$2-AY$2)/$C34)&gt;0,(1-($CY$2-AY$2)/$C34),0)</f>
        <v>0.8</v>
      </c>
      <c r="CR34" s="333">
        <f>IF((1-($CY$2-BC$2)/$C34)&gt;0,(1-($CY$2-BC$2)/$C34),0)</f>
        <v>0.83333333333333337</v>
      </c>
      <c r="CS34" s="333">
        <f>IF(BG34=0,0,1-($CY$2-(2014.5-(BG34-BI34)*C34/BG34))/C34)</f>
        <v>0</v>
      </c>
      <c r="CT34" s="333">
        <f>IF((1-($CY$2-BJ$2)/$C34)&gt;0,(1-($CY$2-BJ$2)/$C34),0)</f>
        <v>0.8666666666666667</v>
      </c>
      <c r="CU34" s="333">
        <f>IF((1-($CY$2-BN$2)/$C34)&gt;0,(1-($CY$2-BN$2)/$C34),0)</f>
        <v>0.9</v>
      </c>
      <c r="CV34" s="333">
        <f>IF((1-($CY$2-BR$2)/$C34)&gt;0,(1-($CY$2-BR$2)/$C34),0)</f>
        <v>0.93333333333333335</v>
      </c>
      <c r="CW34" s="333">
        <f>IF((1-($CY$2-BV$2)/$C34)&gt;0,(1-($CY$2-BV$2)/$C34),0)</f>
        <v>0.96666666666666667</v>
      </c>
      <c r="CX34" s="333">
        <f>IF((1-($CY$2-BZ$2)/$C34)&gt;0,(1-($CY$2-BZ$2)/$C34),0)</f>
        <v>1</v>
      </c>
      <c r="CY34" s="334">
        <f t="shared" si="26"/>
        <v>7023609.3074626531</v>
      </c>
      <c r="CZ34" s="334">
        <f t="shared" si="27"/>
        <v>0</v>
      </c>
      <c r="DA34" s="334">
        <f>(D34-E34)*CE34+((G34-H34-(I34-J34))*G$61)*CF34+((K34-L34-(M34-N34))*K$61)*CG34+((O34-P34-(Q34-R34))*O$61)*CH34+((S34-T34-(U34-V34))*S$61)*CI34+((W34-X34-(Y34-Z34))*W$61)*CJ34+((AA34-AB34-(AC34-AD34))*AA$61)*CK34+((AE34-AF34-(AG34-AH34))*AE$61)*CL34+((AI34-AJ34-(AK34-AL34))*AI$61)*CM34+((AM34-AN34-(AO34-AP34))*$AM$61)*CN34+((AQ34-AR34-(AS34-AT34))*$AQ$61)*CO34+((AU34-AV34-(AW34-AX34))*$AU$61)*CP34+((AY34-AZ34-(BA34-BB34))*$AY$61)*CQ34+((BC34-BD34-(BE34-BF34))*$BC$61)*CR34+((BJ34-BK34-(BL34-BM34))*$BJ$61)*CT34+(BG34-BH34)*CS34+((BN34-BO34-(BP34-BQ34))*$BN$61)*CU34+((BR34-BS34-(BT34-BU34))*$BR$61)*CV34+((BV34-BW34-(BX34-BY34))*$BV$61)*CW34+((BZ34-CA34-(CB34-CC34))*$BZ$61)*CX34</f>
        <v>6424171.2132293526</v>
      </c>
    </row>
    <row r="35" spans="1:105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321">
        <f>IF(D35=0,0,2001-(D35-F35)*C35/D35)</f>
        <v>1991.607642802117</v>
      </c>
      <c r="CE35" s="333">
        <f>IF((1-($CY$2-$CD35)/$C35)&gt;0,(1-($CY$2-$CD35)/$C35),0)</f>
        <v>8.6921426737232355E-2</v>
      </c>
      <c r="CF35" s="333">
        <f>IF((1-($CY$2-G$2)/$C35)&gt;0,(1-($CY$2-G$2)/$C35),0)</f>
        <v>0.43333333333333335</v>
      </c>
      <c r="CG35" s="333">
        <f>IF((1-($CY$2-K$2)/$C35)&gt;0,(1-($CY$2-K$2)/$C35),0)</f>
        <v>0.46666666666666667</v>
      </c>
      <c r="CH35" s="333">
        <f>IF((1-($CY$2-O$2)/$C35)&gt;0,(1-($CY$2-O$2)/$C35),0)</f>
        <v>0.5</v>
      </c>
      <c r="CI35" s="333">
        <f>IF((1-($CY$2-S$2)/$C35)&gt;0,(1-($CY$2-S$2)/$C35),0)</f>
        <v>0.53333333333333333</v>
      </c>
      <c r="CJ35" s="333">
        <f>IF((1-($CY$2-W$2)/$C35)&gt;0,(1-($CY$2-W$2)/$C35),0)</f>
        <v>0.56666666666666665</v>
      </c>
      <c r="CK35" s="333">
        <f>IF((1-($CY$2-AA$2)/$C35)&gt;0,(1-($CY$2-AA$2)/$C35),0)</f>
        <v>0.6</v>
      </c>
      <c r="CL35" s="333">
        <f>IF((1-($CY$2-AE$2)/$C35)&gt;0,(1-($CY$2-AE$2)/$C35),0)</f>
        <v>0.6333333333333333</v>
      </c>
      <c r="CM35" s="333">
        <f>IF((1-($CY$2-AI$2)/$C35)&gt;0,(1-($CY$2-AI$2)/$C35),0)</f>
        <v>0.66666666666666674</v>
      </c>
      <c r="CN35" s="333">
        <f>IF((1-($CY$2-AM$2)/$C35)&gt;0,(1-($CY$2-AM$2)/$C35),0)</f>
        <v>0.7</v>
      </c>
      <c r="CO35" s="333">
        <f>IF((1-($CY$2-AQ$2)/$C35)&gt;0,(1-($CY$2-AQ$2)/$C35),0)</f>
        <v>0.73333333333333339</v>
      </c>
      <c r="CP35" s="333">
        <f>IF((1-($CY$2-AU$2)/$C35)&gt;0,(1-($CY$2-AU$2)/$C35),0)</f>
        <v>0.76666666666666661</v>
      </c>
      <c r="CQ35" s="333">
        <f>IF((1-($CY$2-AY$2)/$C35)&gt;0,(1-($CY$2-AY$2)/$C35),0)</f>
        <v>0.8</v>
      </c>
      <c r="CR35" s="333">
        <f>IF((1-($CY$2-BC$2)/$C35)&gt;0,(1-($CY$2-BC$2)/$C35),0)</f>
        <v>0.83333333333333337</v>
      </c>
      <c r="CS35" s="333">
        <f>IF(BG35=0,0,1-($CY$2-(2014.5-(BG35-BI35)*C35/BG35))/C35)</f>
        <v>0.60412407916239774</v>
      </c>
      <c r="CT35" s="333">
        <f>IF((1-($CY$2-BJ$2)/$C35)&gt;0,(1-($CY$2-BJ$2)/$C35),0)</f>
        <v>0.8666666666666667</v>
      </c>
      <c r="CU35" s="333">
        <f>IF((1-($CY$2-BN$2)/$C35)&gt;0,(1-($CY$2-BN$2)/$C35),0)</f>
        <v>0.9</v>
      </c>
      <c r="CV35" s="333">
        <f>IF((1-($CY$2-BR$2)/$C35)&gt;0,(1-($CY$2-BR$2)/$C35),0)</f>
        <v>0.93333333333333335</v>
      </c>
      <c r="CW35" s="333">
        <f>IF((1-($CY$2-BV$2)/$C35)&gt;0,(1-($CY$2-BV$2)/$C35),0)</f>
        <v>0.96666666666666667</v>
      </c>
      <c r="CX35" s="333">
        <f>IF((1-($CY$2-BZ$2)/$C35)&gt;0,(1-($CY$2-BZ$2)/$C35),0)</f>
        <v>1</v>
      </c>
      <c r="CY35" s="334">
        <f t="shared" si="26"/>
        <v>14369145.320453372</v>
      </c>
      <c r="CZ35" s="334">
        <f t="shared" si="27"/>
        <v>0</v>
      </c>
      <c r="DA35" s="334">
        <f>(D35-E35)*CE35+((G35-H35-(I35-J35))*G$61)*CF35+((K35-L35-(M35-N35))*K$61)*CG35+((O35-P35-(Q35-R35))*O$61)*CH35+((S35-T35-(U35-V35))*S$61)*CI35+((W35-X35-(Y35-Z35))*W$61)*CJ35+((AA35-AB35-(AC35-AD35))*AA$61)*CK35+((AE35-AF35-(AG35-AH35))*AE$61)*CL35+((AI35-AJ35-(AK35-AL35))*AI$61)*CM35+((AM35-AN35-(AO35-AP35))*$AM$61)*CN35+((AQ35-AR35-(AS35-AT35))*$AQ$61)*CO35+((AU35-AV35-(AW35-AX35))*$AU$61)*CP35+((AY35-AZ35-(BA35-BB35))*$AY$61)*CQ35+((BC35-BD35-(BE35-BF35))*$BC$61)*CR35+((BJ35-BK35-(BL35-BM35))*$BJ$61)*CT35+(BG35-BH35)*CS35+((BN35-BO35-(BP35-BQ35))*$BN$61)*CU35+((BR35-BS35-(BT35-BU35))*$BR$61)*CV35+((BV35-BW35-(BX35-BY35))*$BV$61)*CW35+((BZ35-CA35-(CB35-CC35))*$BZ$61)*CX35</f>
        <v>3970657.6745126294</v>
      </c>
    </row>
    <row r="36" spans="1:105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333"/>
      <c r="CE36" s="333"/>
      <c r="CF36" s="333"/>
      <c r="CG36" s="333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4">
        <f t="shared" si="26"/>
        <v>0</v>
      </c>
      <c r="CZ36" s="334">
        <f t="shared" si="27"/>
        <v>0</v>
      </c>
      <c r="DA36" s="334"/>
    </row>
    <row r="37" spans="1:105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321">
        <f t="shared" ref="CD37:CD44" si="50">IF(D37=0,0,2001-(D37-F37)*C37/D37)</f>
        <v>0</v>
      </c>
      <c r="CE37" s="333">
        <f t="shared" ref="CE37:CE44" si="51">IF((1-($CY$2-$CD37)/$C37)&gt;0,(1-($CY$2-$CD37)/$C37),0)</f>
        <v>0</v>
      </c>
      <c r="CF37" s="333">
        <f t="shared" ref="CF37:CF44" si="52">IF((1-($CY$2-G$2)/$C37)&gt;0,(1-($CY$2-G$2)/$C37),0)</f>
        <v>0</v>
      </c>
      <c r="CG37" s="333">
        <f t="shared" ref="CG37:CG44" si="53">IF((1-($CY$2-K$2)/$C37)&gt;0,(1-($CY$2-K$2)/$C37),0)</f>
        <v>0</v>
      </c>
      <c r="CH37" s="333">
        <f t="shared" ref="CH37:CH44" si="54">IF((1-($CY$2-O$2)/$C37)&gt;0,(1-($CY$2-O$2)/$C37),0)</f>
        <v>0</v>
      </c>
      <c r="CI37" s="333">
        <f t="shared" ref="CI37:CI44" si="55">IF((1-($CY$2-S$2)/$C37)&gt;0,(1-($CY$2-S$2)/$C37),0)</f>
        <v>0</v>
      </c>
      <c r="CJ37" s="333">
        <f t="shared" ref="CJ37:CJ44" si="56">IF((1-($CY$2-W$2)/$C37)&gt;0,(1-($CY$2-W$2)/$C37),0)</f>
        <v>0</v>
      </c>
      <c r="CK37" s="333">
        <f t="shared" ref="CK37:CK44" si="57">IF((1-($CY$2-AA$2)/$C37)&gt;0,(1-($CY$2-AA$2)/$C37),0)</f>
        <v>0</v>
      </c>
      <c r="CL37" s="333">
        <f t="shared" ref="CL37:CL44" si="58">IF((1-($CY$2-AE$2)/$C37)&gt;0,(1-($CY$2-AE$2)/$C37),0)</f>
        <v>0</v>
      </c>
      <c r="CM37" s="333">
        <f t="shared" ref="CM37:CM44" si="59">IF((1-($CY$2-AI$2)/$C37)&gt;0,(1-($CY$2-AI$2)/$C37),0)</f>
        <v>0</v>
      </c>
      <c r="CN37" s="333">
        <f t="shared" ref="CN37:CN44" si="60">IF((1-($CY$2-AM$2)/$C37)&gt;0,(1-($CY$2-AM$2)/$C37),0)</f>
        <v>9.9999999999999978E-2</v>
      </c>
      <c r="CO37" s="333">
        <f t="shared" ref="CO37:CO44" si="61">IF((1-($CY$2-AQ$2)/$C37)&gt;0,(1-($CY$2-AQ$2)/$C37),0)</f>
        <v>0.19999999999999996</v>
      </c>
      <c r="CP37" s="333">
        <f t="shared" ref="CP37:CP44" si="62">IF((1-($CY$2-AU$2)/$C37)&gt;0,(1-($CY$2-AU$2)/$C37),0)</f>
        <v>0.30000000000000004</v>
      </c>
      <c r="CQ37" s="333">
        <f t="shared" ref="CQ37:CQ44" si="63">IF((1-($CY$2-AY$2)/$C37)&gt;0,(1-($CY$2-AY$2)/$C37),0)</f>
        <v>0.4</v>
      </c>
      <c r="CR37" s="333">
        <f t="shared" ref="CR37:CR44" si="64">IF((1-($CY$2-BC$2)/$C37)&gt;0,(1-($CY$2-BC$2)/$C37),0)</f>
        <v>0.5</v>
      </c>
      <c r="CS37" s="333">
        <f t="shared" ref="CS37:CS44" si="65">IF(BG37=0,0,1-($CY$2-(2014.5-(BG37-BI37)*C37/BG37))/C37)</f>
        <v>0</v>
      </c>
      <c r="CT37" s="333">
        <f t="shared" ref="CT37:CT44" si="66">IF((1-($CY$2-BJ$2)/$C37)&gt;0,(1-($CY$2-BJ$2)/$C37),0)</f>
        <v>0.6</v>
      </c>
      <c r="CU37" s="333">
        <f t="shared" ref="CU37:CU44" si="67">IF((1-($CY$2-BN$2)/$C37)&gt;0,(1-($CY$2-BN$2)/$C37),0)</f>
        <v>0.7</v>
      </c>
      <c r="CV37" s="333">
        <f t="shared" ref="CV37:CV44" si="68">IF((1-($CY$2-BR$2)/$C37)&gt;0,(1-($CY$2-BR$2)/$C37),0)</f>
        <v>0.8</v>
      </c>
      <c r="CW37" s="333">
        <f t="shared" ref="CW37:CW44" si="69">IF((1-($CY$2-BV$2)/$C37)&gt;0,(1-($CY$2-BV$2)/$C37),0)</f>
        <v>0.9</v>
      </c>
      <c r="CX37" s="333">
        <f t="shared" ref="CX37:CX44" si="70">IF((1-($CY$2-BZ$2)/$C37)&gt;0,(1-($CY$2-BZ$2)/$C37),0)</f>
        <v>1</v>
      </c>
      <c r="CY37" s="334">
        <f t="shared" si="26"/>
        <v>0</v>
      </c>
      <c r="CZ37" s="334">
        <f t="shared" si="27"/>
        <v>0</v>
      </c>
      <c r="DA37" s="334">
        <f t="shared" ref="DA37:DA44" si="71">(D37-E37)*CE37+((G37-H37-(I37-J37))*G$61)*CF37+((K37-L37-(M37-N37))*K$61)*CG37+((O37-P37-(Q37-R37))*O$61)*CH37+((S37-T37-(U37-V37))*S$61)*CI37+((W37-X37-(Y37-Z37))*W$61)*CJ37+((AA37-AB37-(AC37-AD37))*AA$61)*CK37+((AE37-AF37-(AG37-AH37))*AE$61)*CL37+((AI37-AJ37-(AK37-AL37))*AI$61)*CM37+((AM37-AN37-(AO37-AP37))*$AM$61)*CN37+((AQ37-AR37-(AS37-AT37))*$AQ$61)*CO37+((AU37-AV37-(AW37-AX37))*$AU$61)*CP37+((AY37-AZ37-(BA37-BB37))*$AY$61)*CQ37+((BC37-BD37-(BE37-BF37))*$BC$61)*CR37+((BJ37-BK37-(BL37-BM37))*$BJ$61)*CT37+(BG37-BH37)*CS37+((BN37-BO37-(BP37-BQ37))*$BN$61)*CU37+((BR37-BS37-(BT37-BU37))*$BR$61)*CV37+((BV37-BW37-(BX37-BY37))*$BV$61)*CW37+((BZ37-CA37-(CB37-CC37))*$BZ$61)*CX37</f>
        <v>0</v>
      </c>
    </row>
    <row r="38" spans="1:105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321">
        <f t="shared" si="50"/>
        <v>0</v>
      </c>
      <c r="CE38" s="333">
        <f t="shared" si="51"/>
        <v>0</v>
      </c>
      <c r="CF38" s="333">
        <f t="shared" si="52"/>
        <v>0</v>
      </c>
      <c r="CG38" s="333">
        <f t="shared" si="53"/>
        <v>0</v>
      </c>
      <c r="CH38" s="333">
        <f t="shared" si="54"/>
        <v>0</v>
      </c>
      <c r="CI38" s="333">
        <f t="shared" si="55"/>
        <v>0</v>
      </c>
      <c r="CJ38" s="333">
        <f t="shared" si="56"/>
        <v>0</v>
      </c>
      <c r="CK38" s="333">
        <f t="shared" si="57"/>
        <v>0</v>
      </c>
      <c r="CL38" s="333">
        <f t="shared" si="58"/>
        <v>0</v>
      </c>
      <c r="CM38" s="333">
        <f t="shared" si="59"/>
        <v>0</v>
      </c>
      <c r="CN38" s="333">
        <f t="shared" si="60"/>
        <v>0</v>
      </c>
      <c r="CO38" s="333">
        <f t="shared" si="61"/>
        <v>0</v>
      </c>
      <c r="CP38" s="333">
        <f t="shared" si="62"/>
        <v>0</v>
      </c>
      <c r="CQ38" s="333">
        <f t="shared" si="63"/>
        <v>0</v>
      </c>
      <c r="CR38" s="333">
        <f t="shared" si="64"/>
        <v>0</v>
      </c>
      <c r="CS38" s="333">
        <f t="shared" si="65"/>
        <v>0</v>
      </c>
      <c r="CT38" s="333">
        <f t="shared" si="66"/>
        <v>0.19999999999999996</v>
      </c>
      <c r="CU38" s="333">
        <f t="shared" si="67"/>
        <v>0.4</v>
      </c>
      <c r="CV38" s="333">
        <f t="shared" si="68"/>
        <v>0.6</v>
      </c>
      <c r="CW38" s="333">
        <f t="shared" si="69"/>
        <v>0.8</v>
      </c>
      <c r="CX38" s="333">
        <f t="shared" si="70"/>
        <v>1</v>
      </c>
      <c r="CY38" s="334">
        <f t="shared" si="26"/>
        <v>7670.8689809675761</v>
      </c>
      <c r="CZ38" s="334">
        <f t="shared" si="27"/>
        <v>7670.8689809675761</v>
      </c>
      <c r="DA38" s="334">
        <f t="shared" si="71"/>
        <v>0</v>
      </c>
    </row>
    <row r="39" spans="1:105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321">
        <f t="shared" si="50"/>
        <v>0</v>
      </c>
      <c r="CE39" s="333">
        <f t="shared" si="51"/>
        <v>0</v>
      </c>
      <c r="CF39" s="333">
        <f t="shared" si="52"/>
        <v>0.98299999999999998</v>
      </c>
      <c r="CG39" s="333">
        <f t="shared" si="53"/>
        <v>0.98399999999999999</v>
      </c>
      <c r="CH39" s="333">
        <f t="shared" si="54"/>
        <v>0.98499999999999999</v>
      </c>
      <c r="CI39" s="333">
        <f t="shared" si="55"/>
        <v>0.98599999999999999</v>
      </c>
      <c r="CJ39" s="333">
        <f t="shared" si="56"/>
        <v>0.98699999999999999</v>
      </c>
      <c r="CK39" s="333">
        <f t="shared" si="57"/>
        <v>0.98799999999999999</v>
      </c>
      <c r="CL39" s="333">
        <f t="shared" si="58"/>
        <v>0.98899999999999999</v>
      </c>
      <c r="CM39" s="333">
        <f t="shared" si="59"/>
        <v>0.99</v>
      </c>
      <c r="CN39" s="333">
        <f t="shared" si="60"/>
        <v>0.99099999999999999</v>
      </c>
      <c r="CO39" s="333">
        <f t="shared" si="61"/>
        <v>0.99199999999999999</v>
      </c>
      <c r="CP39" s="333">
        <f t="shared" si="62"/>
        <v>0.99299999999999999</v>
      </c>
      <c r="CQ39" s="333">
        <f t="shared" si="63"/>
        <v>0.99399999999999999</v>
      </c>
      <c r="CR39" s="333">
        <f t="shared" si="64"/>
        <v>0.995</v>
      </c>
      <c r="CS39" s="333">
        <f t="shared" si="65"/>
        <v>0</v>
      </c>
      <c r="CT39" s="333">
        <f t="shared" si="66"/>
        <v>0.996</v>
      </c>
      <c r="CU39" s="333">
        <f t="shared" si="67"/>
        <v>0.997</v>
      </c>
      <c r="CV39" s="333">
        <f t="shared" si="68"/>
        <v>0.998</v>
      </c>
      <c r="CW39" s="333">
        <f t="shared" si="69"/>
        <v>0.999</v>
      </c>
      <c r="CX39" s="333">
        <f t="shared" si="70"/>
        <v>1</v>
      </c>
      <c r="CY39" s="334">
        <f t="shared" si="26"/>
        <v>0</v>
      </c>
      <c r="CZ39" s="334">
        <f t="shared" si="27"/>
        <v>0</v>
      </c>
      <c r="DA39" s="334">
        <f t="shared" si="71"/>
        <v>0</v>
      </c>
    </row>
    <row r="40" spans="1:105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321">
        <f t="shared" si="50"/>
        <v>0</v>
      </c>
      <c r="CE40" s="333">
        <f t="shared" si="51"/>
        <v>0</v>
      </c>
      <c r="CF40" s="333">
        <f t="shared" si="52"/>
        <v>0.57499999999999996</v>
      </c>
      <c r="CG40" s="333">
        <f t="shared" si="53"/>
        <v>0.6</v>
      </c>
      <c r="CH40" s="333">
        <f t="shared" si="54"/>
        <v>0.625</v>
      </c>
      <c r="CI40" s="333">
        <f t="shared" si="55"/>
        <v>0.65</v>
      </c>
      <c r="CJ40" s="333">
        <f t="shared" si="56"/>
        <v>0.67500000000000004</v>
      </c>
      <c r="CK40" s="333">
        <f t="shared" si="57"/>
        <v>0.7</v>
      </c>
      <c r="CL40" s="333">
        <f t="shared" si="58"/>
        <v>0.72499999999999998</v>
      </c>
      <c r="CM40" s="333">
        <f t="shared" si="59"/>
        <v>0.75</v>
      </c>
      <c r="CN40" s="333">
        <f t="shared" si="60"/>
        <v>0.77500000000000002</v>
      </c>
      <c r="CO40" s="333">
        <f t="shared" si="61"/>
        <v>0.8</v>
      </c>
      <c r="CP40" s="333">
        <f t="shared" si="62"/>
        <v>0.82499999999999996</v>
      </c>
      <c r="CQ40" s="333">
        <f t="shared" si="63"/>
        <v>0.85</v>
      </c>
      <c r="CR40" s="333">
        <f t="shared" si="64"/>
        <v>0.875</v>
      </c>
      <c r="CS40" s="333">
        <f t="shared" si="65"/>
        <v>0</v>
      </c>
      <c r="CT40" s="333">
        <f t="shared" si="66"/>
        <v>0.9</v>
      </c>
      <c r="CU40" s="333">
        <f t="shared" si="67"/>
        <v>0.92500000000000004</v>
      </c>
      <c r="CV40" s="333">
        <f t="shared" si="68"/>
        <v>0.95</v>
      </c>
      <c r="CW40" s="333">
        <f t="shared" si="69"/>
        <v>0.97499999999999998</v>
      </c>
      <c r="CX40" s="333">
        <f t="shared" si="70"/>
        <v>1</v>
      </c>
      <c r="CY40" s="334">
        <f t="shared" si="26"/>
        <v>0</v>
      </c>
      <c r="CZ40" s="334">
        <f t="shared" si="27"/>
        <v>0</v>
      </c>
      <c r="DA40" s="334">
        <f t="shared" si="71"/>
        <v>0</v>
      </c>
    </row>
    <row r="41" spans="1:105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321">
        <f t="shared" si="50"/>
        <v>1991</v>
      </c>
      <c r="CE41" s="333">
        <f t="shared" si="51"/>
        <v>0</v>
      </c>
      <c r="CF41" s="333">
        <f t="shared" si="52"/>
        <v>0</v>
      </c>
      <c r="CG41" s="333">
        <f t="shared" si="53"/>
        <v>0</v>
      </c>
      <c r="CH41" s="333">
        <f t="shared" si="54"/>
        <v>0</v>
      </c>
      <c r="CI41" s="333">
        <f t="shared" si="55"/>
        <v>0</v>
      </c>
      <c r="CJ41" s="333">
        <f t="shared" si="56"/>
        <v>0</v>
      </c>
      <c r="CK41" s="333">
        <f t="shared" si="57"/>
        <v>0</v>
      </c>
      <c r="CL41" s="333">
        <f t="shared" si="58"/>
        <v>0</v>
      </c>
      <c r="CM41" s="333">
        <f t="shared" si="59"/>
        <v>0</v>
      </c>
      <c r="CN41" s="333">
        <f t="shared" si="60"/>
        <v>9.9999999999999978E-2</v>
      </c>
      <c r="CO41" s="333">
        <f t="shared" si="61"/>
        <v>0.19999999999999996</v>
      </c>
      <c r="CP41" s="333">
        <f t="shared" si="62"/>
        <v>0.30000000000000004</v>
      </c>
      <c r="CQ41" s="333">
        <f t="shared" si="63"/>
        <v>0.4</v>
      </c>
      <c r="CR41" s="333">
        <f t="shared" si="64"/>
        <v>0.5</v>
      </c>
      <c r="CS41" s="333">
        <f t="shared" si="65"/>
        <v>0</v>
      </c>
      <c r="CT41" s="333">
        <f t="shared" si="66"/>
        <v>0.6</v>
      </c>
      <c r="CU41" s="333">
        <f t="shared" si="67"/>
        <v>0.7</v>
      </c>
      <c r="CV41" s="333">
        <f t="shared" si="68"/>
        <v>0.8</v>
      </c>
      <c r="CW41" s="333">
        <f t="shared" si="69"/>
        <v>0.9</v>
      </c>
      <c r="CX41" s="333">
        <f t="shared" si="70"/>
        <v>1</v>
      </c>
      <c r="CY41" s="334">
        <f t="shared" si="26"/>
        <v>4419505.7783736344</v>
      </c>
      <c r="CZ41" s="334">
        <f t="shared" si="27"/>
        <v>317288.22979843104</v>
      </c>
      <c r="DA41" s="334">
        <f t="shared" si="71"/>
        <v>3084423.8521570191</v>
      </c>
    </row>
    <row r="42" spans="1:105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321">
        <f t="shared" si="50"/>
        <v>0</v>
      </c>
      <c r="CE42" s="333">
        <f t="shared" si="51"/>
        <v>0</v>
      </c>
      <c r="CF42" s="333">
        <f t="shared" si="52"/>
        <v>0.22727272727272729</v>
      </c>
      <c r="CG42" s="333">
        <f t="shared" si="53"/>
        <v>0.27272727272727271</v>
      </c>
      <c r="CH42" s="333">
        <f t="shared" si="54"/>
        <v>0.31818181818181823</v>
      </c>
      <c r="CI42" s="333">
        <f t="shared" si="55"/>
        <v>0.36363636363636365</v>
      </c>
      <c r="CJ42" s="333">
        <f t="shared" si="56"/>
        <v>0.40909090909090906</v>
      </c>
      <c r="CK42" s="333">
        <f t="shared" si="57"/>
        <v>0.45454545454545459</v>
      </c>
      <c r="CL42" s="333">
        <f t="shared" si="58"/>
        <v>0.5</v>
      </c>
      <c r="CM42" s="333">
        <f t="shared" si="59"/>
        <v>0.54545454545454541</v>
      </c>
      <c r="CN42" s="333">
        <f t="shared" si="60"/>
        <v>0.59090909090909083</v>
      </c>
      <c r="CO42" s="333">
        <f t="shared" si="61"/>
        <v>0.63636363636363635</v>
      </c>
      <c r="CP42" s="333">
        <f t="shared" si="62"/>
        <v>0.68181818181818188</v>
      </c>
      <c r="CQ42" s="333">
        <f t="shared" si="63"/>
        <v>0.72727272727272729</v>
      </c>
      <c r="CR42" s="333">
        <f t="shared" si="64"/>
        <v>0.77272727272727271</v>
      </c>
      <c r="CS42" s="333">
        <f t="shared" si="65"/>
        <v>0</v>
      </c>
      <c r="CT42" s="333">
        <f t="shared" si="66"/>
        <v>0.81818181818181812</v>
      </c>
      <c r="CU42" s="333">
        <f t="shared" si="67"/>
        <v>0.86363636363636365</v>
      </c>
      <c r="CV42" s="333">
        <f t="shared" si="68"/>
        <v>0.90909090909090906</v>
      </c>
      <c r="CW42" s="333">
        <f t="shared" si="69"/>
        <v>0.95454545454545459</v>
      </c>
      <c r="CX42" s="333">
        <f t="shared" si="70"/>
        <v>1</v>
      </c>
      <c r="CY42" s="334">
        <f t="shared" si="26"/>
        <v>527831.88025512372</v>
      </c>
      <c r="CZ42" s="334">
        <f t="shared" si="27"/>
        <v>0</v>
      </c>
      <c r="DA42" s="334">
        <f t="shared" si="71"/>
        <v>430580.79111367342</v>
      </c>
    </row>
    <row r="43" spans="1:105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321">
        <f t="shared" si="50"/>
        <v>0</v>
      </c>
      <c r="CE43" s="333">
        <f t="shared" si="51"/>
        <v>0</v>
      </c>
      <c r="CF43" s="333">
        <f t="shared" si="52"/>
        <v>0</v>
      </c>
      <c r="CG43" s="333">
        <f t="shared" si="53"/>
        <v>0</v>
      </c>
      <c r="CH43" s="333">
        <f t="shared" si="54"/>
        <v>0</v>
      </c>
      <c r="CI43" s="333">
        <f t="shared" si="55"/>
        <v>0</v>
      </c>
      <c r="CJ43" s="333">
        <f t="shared" si="56"/>
        <v>0</v>
      </c>
      <c r="CK43" s="333">
        <f t="shared" si="57"/>
        <v>0</v>
      </c>
      <c r="CL43" s="333">
        <f t="shared" si="58"/>
        <v>0</v>
      </c>
      <c r="CM43" s="333">
        <f t="shared" si="59"/>
        <v>0</v>
      </c>
      <c r="CN43" s="333">
        <f t="shared" si="60"/>
        <v>0</v>
      </c>
      <c r="CO43" s="333">
        <f t="shared" si="61"/>
        <v>0</v>
      </c>
      <c r="CP43" s="333">
        <f t="shared" si="62"/>
        <v>0</v>
      </c>
      <c r="CQ43" s="333">
        <f t="shared" si="63"/>
        <v>0</v>
      </c>
      <c r="CR43" s="333">
        <f t="shared" si="64"/>
        <v>0</v>
      </c>
      <c r="CS43" s="333">
        <f t="shared" si="65"/>
        <v>0</v>
      </c>
      <c r="CT43" s="333">
        <f t="shared" si="66"/>
        <v>0</v>
      </c>
      <c r="CU43" s="333">
        <f t="shared" si="67"/>
        <v>0.25</v>
      </c>
      <c r="CV43" s="333">
        <f t="shared" si="68"/>
        <v>0.5</v>
      </c>
      <c r="CW43" s="333">
        <f t="shared" si="69"/>
        <v>0.75</v>
      </c>
      <c r="CX43" s="333">
        <f t="shared" si="70"/>
        <v>1</v>
      </c>
      <c r="CY43" s="334">
        <f t="shared" si="26"/>
        <v>0</v>
      </c>
      <c r="CZ43" s="334">
        <f t="shared" si="27"/>
        <v>0</v>
      </c>
      <c r="DA43" s="334">
        <f t="shared" si="71"/>
        <v>0</v>
      </c>
    </row>
    <row r="44" spans="1:105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321">
        <f t="shared" si="50"/>
        <v>0</v>
      </c>
      <c r="CE44" s="348">
        <f t="shared" si="51"/>
        <v>0</v>
      </c>
      <c r="CF44" s="333">
        <f t="shared" si="52"/>
        <v>0</v>
      </c>
      <c r="CG44" s="333">
        <f t="shared" si="53"/>
        <v>0</v>
      </c>
      <c r="CH44" s="333">
        <f t="shared" si="54"/>
        <v>0</v>
      </c>
      <c r="CI44" s="333">
        <f t="shared" si="55"/>
        <v>0</v>
      </c>
      <c r="CJ44" s="333">
        <f t="shared" si="56"/>
        <v>0</v>
      </c>
      <c r="CK44" s="333">
        <f t="shared" si="57"/>
        <v>0</v>
      </c>
      <c r="CL44" s="333">
        <f t="shared" si="58"/>
        <v>0</v>
      </c>
      <c r="CM44" s="333">
        <f t="shared" si="59"/>
        <v>0</v>
      </c>
      <c r="CN44" s="333">
        <f t="shared" si="60"/>
        <v>0</v>
      </c>
      <c r="CO44" s="333">
        <f t="shared" si="61"/>
        <v>0</v>
      </c>
      <c r="CP44" s="333">
        <f t="shared" si="62"/>
        <v>0.125</v>
      </c>
      <c r="CQ44" s="333">
        <f t="shared" si="63"/>
        <v>0.25</v>
      </c>
      <c r="CR44" s="333">
        <f t="shared" si="64"/>
        <v>0.375</v>
      </c>
      <c r="CS44" s="333">
        <f t="shared" si="65"/>
        <v>0</v>
      </c>
      <c r="CT44" s="333">
        <f t="shared" si="66"/>
        <v>0.5</v>
      </c>
      <c r="CU44" s="333">
        <f t="shared" si="67"/>
        <v>0.625</v>
      </c>
      <c r="CV44" s="333">
        <f t="shared" si="68"/>
        <v>0.75</v>
      </c>
      <c r="CW44" s="333">
        <f t="shared" si="69"/>
        <v>0.875</v>
      </c>
      <c r="CX44" s="333">
        <f t="shared" si="70"/>
        <v>1</v>
      </c>
      <c r="CY44" s="334">
        <f t="shared" si="26"/>
        <v>153091.81329945009</v>
      </c>
      <c r="CZ44" s="334">
        <f t="shared" si="27"/>
        <v>153091.81329945009</v>
      </c>
      <c r="DA44" s="334">
        <f t="shared" si="71"/>
        <v>0</v>
      </c>
    </row>
    <row r="45" spans="1:105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72">SUM(E14:E44)</f>
        <v>0</v>
      </c>
      <c r="F45" s="296">
        <f t="shared" si="72"/>
        <v>36745444.950886555</v>
      </c>
      <c r="G45" s="296">
        <f t="shared" si="72"/>
        <v>1262365.3598000002</v>
      </c>
      <c r="H45" s="296">
        <f t="shared" si="72"/>
        <v>0</v>
      </c>
      <c r="I45" s="296">
        <f t="shared" si="72"/>
        <v>0</v>
      </c>
      <c r="J45" s="296">
        <f t="shared" si="72"/>
        <v>0</v>
      </c>
      <c r="K45" s="296">
        <f t="shared" si="72"/>
        <v>2422005.5850740555</v>
      </c>
      <c r="L45" s="296">
        <f t="shared" si="72"/>
        <v>315949</v>
      </c>
      <c r="M45" s="296">
        <f t="shared" si="72"/>
        <v>0</v>
      </c>
      <c r="N45" s="296">
        <f t="shared" si="72"/>
        <v>0</v>
      </c>
      <c r="O45" s="296">
        <f t="shared" si="72"/>
        <v>2468106.6800000002</v>
      </c>
      <c r="P45" s="296">
        <f t="shared" si="72"/>
        <v>0</v>
      </c>
      <c r="Q45" s="296">
        <f t="shared" si="72"/>
        <v>0</v>
      </c>
      <c r="R45" s="296">
        <f t="shared" si="72"/>
        <v>0</v>
      </c>
      <c r="S45" s="296">
        <f t="shared" si="72"/>
        <v>2636963</v>
      </c>
      <c r="T45" s="296">
        <f t="shared" si="72"/>
        <v>0</v>
      </c>
      <c r="U45" s="296">
        <f t="shared" si="72"/>
        <v>0</v>
      </c>
      <c r="V45" s="296">
        <f t="shared" si="72"/>
        <v>0</v>
      </c>
      <c r="W45" s="296">
        <f t="shared" si="72"/>
        <v>2901614.0900000003</v>
      </c>
      <c r="X45" s="296">
        <f t="shared" si="72"/>
        <v>0</v>
      </c>
      <c r="Y45" s="296">
        <f t="shared" si="72"/>
        <v>0</v>
      </c>
      <c r="Z45" s="296">
        <f t="shared" si="72"/>
        <v>0</v>
      </c>
      <c r="AA45" s="296">
        <f t="shared" si="72"/>
        <v>4650052.8100000005</v>
      </c>
      <c r="AB45" s="296">
        <f t="shared" si="72"/>
        <v>556386.07000000007</v>
      </c>
      <c r="AC45" s="296">
        <f t="shared" si="72"/>
        <v>0</v>
      </c>
      <c r="AD45" s="296">
        <f t="shared" si="72"/>
        <v>0</v>
      </c>
      <c r="AE45" s="296">
        <f t="shared" si="72"/>
        <v>5437854.6999999993</v>
      </c>
      <c r="AF45" s="296">
        <f t="shared" si="72"/>
        <v>0</v>
      </c>
      <c r="AG45" s="296">
        <f t="shared" si="72"/>
        <v>0</v>
      </c>
      <c r="AH45" s="296">
        <f t="shared" si="72"/>
        <v>0</v>
      </c>
      <c r="AI45" s="296">
        <f t="shared" si="72"/>
        <v>7755169.0999999968</v>
      </c>
      <c r="AJ45" s="296">
        <f t="shared" si="72"/>
        <v>0</v>
      </c>
      <c r="AK45" s="296">
        <f t="shared" si="72"/>
        <v>0</v>
      </c>
      <c r="AL45" s="296">
        <f t="shared" si="72"/>
        <v>0</v>
      </c>
      <c r="AM45" s="296">
        <f t="shared" si="72"/>
        <v>5445007.6719999984</v>
      </c>
      <c r="AN45" s="296">
        <f t="shared" si="72"/>
        <v>0</v>
      </c>
      <c r="AO45" s="296">
        <f t="shared" si="72"/>
        <v>0</v>
      </c>
      <c r="AP45" s="296">
        <f t="shared" si="72"/>
        <v>0</v>
      </c>
      <c r="AQ45" s="296">
        <f t="shared" si="72"/>
        <v>6483412.9600000028</v>
      </c>
      <c r="AR45" s="296">
        <f t="shared" si="72"/>
        <v>0</v>
      </c>
      <c r="AS45" s="296">
        <f t="shared" si="72"/>
        <v>0</v>
      </c>
      <c r="AT45" s="296">
        <f t="shared" si="72"/>
        <v>0</v>
      </c>
      <c r="AU45" s="296">
        <f t="shared" si="72"/>
        <v>4744163.7299999967</v>
      </c>
      <c r="AV45" s="296">
        <f t="shared" si="72"/>
        <v>0</v>
      </c>
      <c r="AW45" s="296">
        <f t="shared" si="72"/>
        <v>0</v>
      </c>
      <c r="AX45" s="296">
        <f t="shared" si="72"/>
        <v>0</v>
      </c>
      <c r="AY45" s="296">
        <f t="shared" si="72"/>
        <v>8655575.7579999957</v>
      </c>
      <c r="AZ45" s="296">
        <f t="shared" si="72"/>
        <v>0</v>
      </c>
      <c r="BA45" s="296">
        <f t="shared" si="72"/>
        <v>0</v>
      </c>
      <c r="BB45" s="296">
        <f t="shared" si="72"/>
        <v>0</v>
      </c>
      <c r="BC45" s="296">
        <f t="shared" si="72"/>
        <v>8595478.4899999984</v>
      </c>
      <c r="BD45" s="296">
        <f t="shared" si="72"/>
        <v>0</v>
      </c>
      <c r="BE45" s="296">
        <f t="shared" si="72"/>
        <v>0</v>
      </c>
      <c r="BF45" s="296">
        <f t="shared" si="72"/>
        <v>0</v>
      </c>
      <c r="BG45" s="296">
        <f t="shared" si="72"/>
        <v>6931047.2479580687</v>
      </c>
      <c r="BH45" s="296">
        <f t="shared" si="72"/>
        <v>5763524.5579580693</v>
      </c>
      <c r="BI45" s="296">
        <f t="shared" si="72"/>
        <v>4907911.2199999988</v>
      </c>
      <c r="BJ45" s="296">
        <f t="shared" si="72"/>
        <v>10289030.280000001</v>
      </c>
      <c r="BK45" s="296">
        <f t="shared" si="72"/>
        <v>0</v>
      </c>
      <c r="BL45" s="296">
        <f t="shared" si="72"/>
        <v>0</v>
      </c>
      <c r="BM45" s="296">
        <f t="shared" si="72"/>
        <v>0</v>
      </c>
      <c r="BN45" s="296">
        <f t="shared" si="72"/>
        <v>23273467.399999995</v>
      </c>
      <c r="BO45" s="296">
        <f t="shared" si="72"/>
        <v>0</v>
      </c>
      <c r="BP45" s="296">
        <f t="shared" si="72"/>
        <v>0</v>
      </c>
      <c r="BQ45" s="296">
        <f t="shared" ref="BQ45:CC45" si="73">SUM(BQ14:BQ44)</f>
        <v>0</v>
      </c>
      <c r="BR45" s="296">
        <f t="shared" si="73"/>
        <v>16573617.789999997</v>
      </c>
      <c r="BS45" s="296">
        <f t="shared" si="73"/>
        <v>65610.73</v>
      </c>
      <c r="BT45" s="296">
        <f t="shared" si="73"/>
        <v>0</v>
      </c>
      <c r="BU45" s="296">
        <f t="shared" si="73"/>
        <v>0</v>
      </c>
      <c r="BV45" s="296">
        <f t="shared" si="73"/>
        <v>17574337.189999998</v>
      </c>
      <c r="BW45" s="296">
        <f t="shared" si="73"/>
        <v>2126529.2643995676</v>
      </c>
      <c r="BX45" s="296">
        <f t="shared" si="73"/>
        <v>0</v>
      </c>
      <c r="BY45" s="296">
        <f t="shared" si="73"/>
        <v>0</v>
      </c>
      <c r="BZ45" s="296">
        <f t="shared" si="73"/>
        <v>17203994.490000002</v>
      </c>
      <c r="CA45" s="296">
        <f t="shared" si="73"/>
        <v>2659763.210547294</v>
      </c>
      <c r="CB45" s="296">
        <f t="shared" si="73"/>
        <v>0</v>
      </c>
      <c r="CC45" s="296">
        <f t="shared" si="73"/>
        <v>0</v>
      </c>
      <c r="CD45" s="297"/>
      <c r="CE45" s="297"/>
      <c r="CF45" s="297"/>
      <c r="CG45" s="297"/>
      <c r="CH45" s="297"/>
      <c r="CI45" s="297"/>
      <c r="CJ45" s="297"/>
      <c r="CK45" s="297"/>
      <c r="CL45" s="297"/>
      <c r="CM45" s="297"/>
      <c r="CN45" s="297"/>
      <c r="CO45" s="297"/>
      <c r="CP45" s="297"/>
      <c r="CQ45" s="297"/>
      <c r="CR45" s="297"/>
      <c r="CS45" s="297"/>
      <c r="CT45" s="297"/>
      <c r="CU45" s="297"/>
      <c r="CV45" s="297"/>
      <c r="CW45" s="297"/>
      <c r="CX45" s="297"/>
      <c r="CY45" s="298">
        <f>SUM(CY14:CY44)</f>
        <v>190521519.80836913</v>
      </c>
      <c r="CZ45" s="298">
        <f>SUM(CZ14:CZ44)</f>
        <v>47079285.396119185</v>
      </c>
      <c r="DA45" s="298">
        <f>SUM(DA14:DA44)</f>
        <v>99655512.296586931</v>
      </c>
    </row>
    <row r="46" spans="1:105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321">
        <f>IF(D46=0,0,2001-(D46-F46)*C46/D46)</f>
        <v>1993.2473056022818</v>
      </c>
      <c r="CE46" s="374">
        <f>IF((1-($CY$2-$CD46)/$C46)&gt;0,(1-($CY$2-$CD46)/$C46),0)</f>
        <v>0</v>
      </c>
      <c r="CF46" s="333">
        <f>IF((1-($CY$2-G$2)/$C46)&gt;0,(1-($CY$2-G$2)/$C46),0)</f>
        <v>0.22727272727272729</v>
      </c>
      <c r="CG46" s="333">
        <f>IF((1-($CY$2-K$2)/$C46)&gt;0,(1-($CY$2-K$2)/$C46),0)</f>
        <v>0.27272727272727271</v>
      </c>
      <c r="CH46" s="333">
        <f>IF((1-($CY$2-O$2)/$C46)&gt;0,(1-($CY$2-O$2)/$C46),0)</f>
        <v>0.31818181818181823</v>
      </c>
      <c r="CI46" s="333">
        <f>IF((1-($CY$2-S$2)/$C46)&gt;0,(1-($CY$2-S$2)/$C46),0)</f>
        <v>0.36363636363636365</v>
      </c>
      <c r="CJ46" s="333">
        <f>IF((1-($CY$2-W$2)/$C46)&gt;0,(1-($CY$2-W$2)/$C46),0)</f>
        <v>0.40909090909090906</v>
      </c>
      <c r="CK46" s="333">
        <f>IF((1-($CY$2-AA$2)/$C46)&gt;0,(1-($CY$2-AA$2)/$C46),0)</f>
        <v>0.45454545454545459</v>
      </c>
      <c r="CL46" s="333">
        <f>IF((1-($CY$2-AE$2)/$C46)&gt;0,(1-($CY$2-AE$2)/$C46),0)</f>
        <v>0.5</v>
      </c>
      <c r="CM46" s="333">
        <f>IF((1-($CY$2-AI$2)/$C46)&gt;0,(1-($CY$2-AI$2)/$C46),0)</f>
        <v>0.54545454545454541</v>
      </c>
      <c r="CN46" s="333">
        <f>IF((1-($CY$2-AM$2)/$C46)&gt;0,(1-($CY$2-AM$2)/$C46),0)</f>
        <v>0.59090909090909083</v>
      </c>
      <c r="CO46" s="333">
        <f>IF((1-($CY$2-AQ$2)/$C46)&gt;0,(1-($CY$2-AQ$2)/$C46),0)</f>
        <v>0.63636363636363635</v>
      </c>
      <c r="CP46" s="333">
        <f>IF((1-($CY$2-AU$2)/$C46)&gt;0,(1-($CY$2-AU$2)/$C46),0)</f>
        <v>0.68181818181818188</v>
      </c>
      <c r="CQ46" s="333">
        <f>IF((1-($CY$2-AY$2)/$C46)&gt;0,(1-($CY$2-AY$2)/$C46),0)</f>
        <v>0.72727272727272729</v>
      </c>
      <c r="CR46" s="333">
        <f>IF((1-($CY$2-BC$2)/$C46)&gt;0,(1-($CY$2-BC$2)/$C46),0)</f>
        <v>0.77272727272727271</v>
      </c>
      <c r="CS46" s="333">
        <f>IF(BG46=0,0,1-($CY$2-(2014.5-(BG46-BI46)*C46/BG46))/C46)</f>
        <v>0</v>
      </c>
      <c r="CT46" s="333">
        <f>IF((1-($CY$2-BJ$2)/$C46)&gt;0,(1-($CY$2-BJ$2)/$C46),0)</f>
        <v>0.81818181818181812</v>
      </c>
      <c r="CU46" s="333">
        <f>IF((1-($CY$2-BN$2)/$C46)&gt;0,(1-($CY$2-BN$2)/$C46),0)</f>
        <v>0.86363636363636365</v>
      </c>
      <c r="CV46" s="333">
        <f>IF((1-($CY$2-BR$2)/$C46)&gt;0,(1-($CY$2-BR$2)/$C46),0)</f>
        <v>0.90909090909090906</v>
      </c>
      <c r="CW46" s="333">
        <f>IF((1-($CY$2-BV$2)/$C46)&gt;0,(1-($CY$2-BV$2)/$C46),0)</f>
        <v>0.95454545454545459</v>
      </c>
      <c r="CX46" s="333">
        <f>IF((1-($CY$2-BZ$2)/$C46)&gt;0,(1-($CY$2-BZ$2)/$C46),0)</f>
        <v>1</v>
      </c>
      <c r="CY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</f>
        <v>11877276.922222054</v>
      </c>
      <c r="CZ46" s="334">
        <f>IF(CE46=0,D46-E46,0)+IF(CF46=0,(G46-H46-I46)*G$62,0)+IF(CG46=0,(K46-L46-M46)*K$62,0)+IF(CH46=0,(O46-P46-Q46)*O$62,0)+IF(CI46=0,(S46-T46-U46)*S$62,0)+IF(CJ46=0,(W46-X46-Y46)*W$62,0)+IF(CK46=0,(AA46-AB46-AC46)*AA$62,0)+IF(CL46=0,(AE46-AF46-AG46)*AE$62,0)+IF(CM46=0,(AI46-AJ46-AK46)*AI$62,0)+IF(CN46=0,(AM46-AN46-AO46)*AM$62,0)+IF(CO46=0,(AQ46-AR46-AS46)*$AQ$62,0)+IF(CP46=0,(AU46-AV46-AW46)*$AU$62,0)+IF(CQ46=0,(AY46-AZ46-BA46)*$AY$62,0)++IF(CR46=0,(BC46-BD46-BE46)*$BC$62,0)+IF(CT46=0,(BJ46-BK46-BL46)*$BJ$62,0)+IF(CS46=0,BG46,0)+IF(CU46=0,(BN46-BO46-BP46)*$BN$62,0)+IF(CV46=0,(BR46-BS46-BT46)*$BR$62,0)+IF(CW46=0,(BV46-BW46-BX46)*$BV$62,0)+IF(CX46=0,(BZ46-CA46-CB46)*$BZ$62,0)</f>
        <v>2957226.5007306808</v>
      </c>
      <c r="DA46" s="334">
        <f>(D46-E46)*CE46+((G46-H46-(I46-J46))*G$62)*CF46+((K46-L46-(M46-N46))*K$62)*CG46+((O46-P46-(Q46-R46))*O$62)*CH46+((S46-T46-(U46-V46))*S$62)*CI46+((W46-X46-(Y46-Z46))*W$62)*CJ46+((AA46-AB46-(AC46-AD46))*AA$62)*CK46+((AE46-AF46-(AG46-AH46))*AE$62)*CL46+((AI46-AJ46-(AK46-AL46))*AI$62)*CM46+((AM46-AN46-(AO46-AP46))*$AM$62)*CN46+((AQ46-AR46-(AS46-AT46))*$AQ$62)*CO46+((AU46-AV46-(AW46-AX46))*$AU$62)*CP46+((AY46-AZ46-(BA46-BB46))*$AY$62)*CQ46+((BC46-BD46-(BE46-BF46))*$BC$62)*CR46+((BJ46-BK46-(BL46-BM46))*$BJ$62)*CT46+(BG46-BH46)*CS46+((BN46-BO46-(BP46-BQ46))*$BN$62)*CU46+((BR46-BS46-(BT46-BU46))*$BR$62)*CV46+((BV46-BW46-(BX46-BY46))*$BV$62)*CW46+((BZ46-CA46-(CB46-CC46))*$BZ$62)*CX46</f>
        <v>5880906.9624945093</v>
      </c>
    </row>
    <row r="47" spans="1:105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74">+E46</f>
        <v>0</v>
      </c>
      <c r="F47" s="296">
        <f t="shared" si="74"/>
        <v>1915114.0768671127</v>
      </c>
      <c r="G47" s="296">
        <f t="shared" si="74"/>
        <v>383603.42</v>
      </c>
      <c r="H47" s="296">
        <f t="shared" si="74"/>
        <v>0</v>
      </c>
      <c r="I47" s="296">
        <f t="shared" si="74"/>
        <v>0</v>
      </c>
      <c r="J47" s="296">
        <f t="shared" si="74"/>
        <v>0</v>
      </c>
      <c r="K47" s="296">
        <f t="shared" si="74"/>
        <v>723366.95</v>
      </c>
      <c r="L47" s="296">
        <f t="shared" si="74"/>
        <v>0</v>
      </c>
      <c r="M47" s="296">
        <f t="shared" si="74"/>
        <v>0</v>
      </c>
      <c r="N47" s="296">
        <f t="shared" si="74"/>
        <v>0</v>
      </c>
      <c r="O47" s="296">
        <f t="shared" si="74"/>
        <v>345218.57</v>
      </c>
      <c r="P47" s="296">
        <f t="shared" si="74"/>
        <v>0</v>
      </c>
      <c r="Q47" s="296">
        <f t="shared" si="74"/>
        <v>0</v>
      </c>
      <c r="R47" s="296">
        <f t="shared" si="74"/>
        <v>0</v>
      </c>
      <c r="S47" s="296">
        <f t="shared" si="74"/>
        <v>343113</v>
      </c>
      <c r="T47" s="296">
        <f t="shared" si="74"/>
        <v>0</v>
      </c>
      <c r="U47" s="296">
        <f t="shared" si="74"/>
        <v>0</v>
      </c>
      <c r="V47" s="296">
        <f t="shared" si="74"/>
        <v>0</v>
      </c>
      <c r="W47" s="296">
        <f t="shared" si="74"/>
        <v>288347.67</v>
      </c>
      <c r="X47" s="296">
        <f t="shared" si="74"/>
        <v>0</v>
      </c>
      <c r="Y47" s="296">
        <f t="shared" si="74"/>
        <v>0</v>
      </c>
      <c r="Z47" s="296">
        <f t="shared" si="74"/>
        <v>0</v>
      </c>
      <c r="AA47" s="296">
        <f t="shared" si="74"/>
        <v>301261.25000000006</v>
      </c>
      <c r="AB47" s="296">
        <f t="shared" si="74"/>
        <v>0</v>
      </c>
      <c r="AC47" s="296">
        <f t="shared" si="74"/>
        <v>0</v>
      </c>
      <c r="AD47" s="296">
        <f t="shared" si="74"/>
        <v>0</v>
      </c>
      <c r="AE47" s="296">
        <f t="shared" si="74"/>
        <v>418664.33</v>
      </c>
      <c r="AF47" s="296">
        <f t="shared" si="74"/>
        <v>0</v>
      </c>
      <c r="AG47" s="296">
        <f t="shared" si="74"/>
        <v>0</v>
      </c>
      <c r="AH47" s="296">
        <f t="shared" si="74"/>
        <v>0</v>
      </c>
      <c r="AI47" s="296">
        <f t="shared" si="74"/>
        <v>191547.63</v>
      </c>
      <c r="AJ47" s="296">
        <f t="shared" si="74"/>
        <v>0</v>
      </c>
      <c r="AK47" s="296">
        <f t="shared" si="74"/>
        <v>0</v>
      </c>
      <c r="AL47" s="296">
        <f t="shared" si="74"/>
        <v>0</v>
      </c>
      <c r="AM47" s="296">
        <f t="shared" si="74"/>
        <v>284788.3</v>
      </c>
      <c r="AN47" s="296">
        <f t="shared" si="74"/>
        <v>0</v>
      </c>
      <c r="AO47" s="296">
        <f t="shared" si="74"/>
        <v>0</v>
      </c>
      <c r="AP47" s="296">
        <f t="shared" si="74"/>
        <v>0</v>
      </c>
      <c r="AQ47" s="296">
        <f t="shared" si="74"/>
        <v>417455.78889137268</v>
      </c>
      <c r="AR47" s="296">
        <f t="shared" si="74"/>
        <v>0</v>
      </c>
      <c r="AS47" s="296">
        <f t="shared" si="74"/>
        <v>0</v>
      </c>
      <c r="AT47" s="296">
        <f t="shared" si="74"/>
        <v>0</v>
      </c>
      <c r="AU47" s="296">
        <f t="shared" si="74"/>
        <v>846640.63000000012</v>
      </c>
      <c r="AV47" s="296">
        <f t="shared" si="74"/>
        <v>0</v>
      </c>
      <c r="AW47" s="296">
        <f t="shared" si="74"/>
        <v>0</v>
      </c>
      <c r="AX47" s="296">
        <f t="shared" si="74"/>
        <v>0</v>
      </c>
      <c r="AY47" s="296">
        <f t="shared" si="74"/>
        <v>696982</v>
      </c>
      <c r="AZ47" s="296">
        <f t="shared" si="74"/>
        <v>0</v>
      </c>
      <c r="BA47" s="296">
        <f t="shared" si="74"/>
        <v>0</v>
      </c>
      <c r="BB47" s="296">
        <f t="shared" si="74"/>
        <v>0</v>
      </c>
      <c r="BC47" s="296">
        <f t="shared" si="74"/>
        <v>611593.03</v>
      </c>
      <c r="BD47" s="296">
        <f t="shared" si="74"/>
        <v>0</v>
      </c>
      <c r="BE47" s="296">
        <f t="shared" si="74"/>
        <v>0</v>
      </c>
      <c r="BF47" s="296">
        <f t="shared" si="74"/>
        <v>0</v>
      </c>
      <c r="BG47" s="296">
        <f t="shared" si="74"/>
        <v>0</v>
      </c>
      <c r="BH47" s="296">
        <f t="shared" si="74"/>
        <v>0</v>
      </c>
      <c r="BI47" s="296">
        <f t="shared" si="74"/>
        <v>0</v>
      </c>
      <c r="BJ47" s="296">
        <f t="shared" si="74"/>
        <v>717101.01</v>
      </c>
      <c r="BK47" s="296">
        <f t="shared" si="74"/>
        <v>0</v>
      </c>
      <c r="BL47" s="296">
        <f t="shared" si="74"/>
        <v>0</v>
      </c>
      <c r="BM47" s="296">
        <f t="shared" si="74"/>
        <v>0</v>
      </c>
      <c r="BN47" s="296">
        <f t="shared" si="74"/>
        <v>778834.53</v>
      </c>
      <c r="BO47" s="296">
        <f t="shared" si="74"/>
        <v>0</v>
      </c>
      <c r="BP47" s="296">
        <f t="shared" si="74"/>
        <v>0</v>
      </c>
      <c r="BQ47" s="296">
        <f t="shared" ref="BQ47:CC47" si="75">+BQ46</f>
        <v>0</v>
      </c>
      <c r="BR47" s="296">
        <f t="shared" si="75"/>
        <v>1066066.3500000001</v>
      </c>
      <c r="BS47" s="296">
        <f t="shared" si="75"/>
        <v>0</v>
      </c>
      <c r="BT47" s="296">
        <f t="shared" si="75"/>
        <v>0</v>
      </c>
      <c r="BU47" s="296">
        <f t="shared" si="75"/>
        <v>0</v>
      </c>
      <c r="BV47" s="296">
        <f t="shared" si="75"/>
        <v>715400.34000000008</v>
      </c>
      <c r="BW47" s="296">
        <f t="shared" si="75"/>
        <v>0</v>
      </c>
      <c r="BX47" s="296">
        <f t="shared" si="75"/>
        <v>0</v>
      </c>
      <c r="BY47" s="296">
        <f t="shared" si="75"/>
        <v>0</v>
      </c>
      <c r="BZ47" s="296">
        <f t="shared" si="75"/>
        <v>305500.91000000003</v>
      </c>
      <c r="CA47" s="296">
        <f t="shared" si="75"/>
        <v>0</v>
      </c>
      <c r="CB47" s="296">
        <f t="shared" si="75"/>
        <v>0</v>
      </c>
      <c r="CC47" s="296">
        <f t="shared" si="75"/>
        <v>0</v>
      </c>
      <c r="CD47" s="297"/>
      <c r="CE47" s="297"/>
      <c r="CF47" s="297"/>
      <c r="CG47" s="297"/>
      <c r="CH47" s="297"/>
      <c r="CI47" s="297"/>
      <c r="CJ47" s="297"/>
      <c r="CK47" s="297"/>
      <c r="CL47" s="297"/>
      <c r="CM47" s="297"/>
      <c r="CN47" s="297"/>
      <c r="CO47" s="297"/>
      <c r="CP47" s="297"/>
      <c r="CQ47" s="297"/>
      <c r="CR47" s="297"/>
      <c r="CS47" s="297"/>
      <c r="CT47" s="297"/>
      <c r="CU47" s="297"/>
      <c r="CV47" s="297"/>
      <c r="CW47" s="297"/>
      <c r="CX47" s="297"/>
      <c r="CY47" s="298">
        <f>CY46</f>
        <v>11877276.922222054</v>
      </c>
      <c r="CZ47" s="298">
        <f>CZ46</f>
        <v>2957226.5007306808</v>
      </c>
      <c r="DA47" s="298">
        <f>DA46</f>
        <v>5880906.9624945093</v>
      </c>
    </row>
    <row r="48" spans="1:105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321">
        <f t="shared" ref="CD48:CD57" si="76">IF(D48=0,0,2001-(D48-F48)*C48/D48)</f>
        <v>0</v>
      </c>
      <c r="CE48" s="385">
        <f t="shared" ref="CE48:CE57" si="77">IF((1-($CY$2-$CD48)/$C48)&gt;0,(1-($CY$2-$CD48)/$C48),0)</f>
        <v>0</v>
      </c>
      <c r="CF48" s="333">
        <f t="shared" ref="CF48:CF57" si="78">IF((1-($CY$2-G$2)/$C48)&gt;0,(1-($CY$2-G$2)/$C48),0)</f>
        <v>0</v>
      </c>
      <c r="CG48" s="333">
        <f t="shared" ref="CG48:CG57" si="79">IF((1-($CY$2-K$2)/$C48)&gt;0,(1-($CY$2-K$2)/$C48),0)</f>
        <v>0</v>
      </c>
      <c r="CH48" s="333">
        <f t="shared" ref="CH48:CH57" si="80">IF((1-($CY$2-O$2)/$C48)&gt;0,(1-($CY$2-O$2)/$C48),0)</f>
        <v>0</v>
      </c>
      <c r="CI48" s="333">
        <f t="shared" ref="CI48:CI57" si="81">IF((1-($CY$2-S$2)/$C48)&gt;0,(1-($CY$2-S$2)/$C48),0)</f>
        <v>0</v>
      </c>
      <c r="CJ48" s="333">
        <f t="shared" ref="CJ48:CJ57" si="82">IF((1-($CY$2-W$2)/$C48)&gt;0,(1-($CY$2-W$2)/$C48),0)</f>
        <v>0</v>
      </c>
      <c r="CK48" s="333">
        <f t="shared" ref="CK48:CK57" si="83">IF((1-($CY$2-AA$2)/$C48)&gt;0,(1-($CY$2-AA$2)/$C48),0)</f>
        <v>0</v>
      </c>
      <c r="CL48" s="333">
        <f t="shared" ref="CL48:CL57" si="84">IF((1-($CY$2-AE$2)/$C48)&gt;0,(1-($CY$2-AE$2)/$C48),0)</f>
        <v>0</v>
      </c>
      <c r="CM48" s="333">
        <f t="shared" ref="CM48:CM57" si="85">IF((1-($CY$2-AI$2)/$C48)&gt;0,(1-($CY$2-AI$2)/$C48),0)</f>
        <v>0</v>
      </c>
      <c r="CN48" s="333">
        <f t="shared" ref="CN48:CN57" si="86">IF((1-($CY$2-AM$2)/$C48)&gt;0,(1-($CY$2-AM$2)/$C48),0)</f>
        <v>0</v>
      </c>
      <c r="CO48" s="333">
        <f t="shared" ref="CO48:CO57" si="87">IF((1-($CY$2-AQ$2)/$C48)&gt;0,(1-($CY$2-AQ$2)/$C48),0)</f>
        <v>0</v>
      </c>
      <c r="CP48" s="333">
        <f t="shared" ref="CP48:CP57" si="88">IF((1-($CY$2-AU$2)/$C48)&gt;0,(1-($CY$2-AU$2)/$C48),0)</f>
        <v>0</v>
      </c>
      <c r="CQ48" s="333">
        <f t="shared" ref="CQ48:CQ57" si="89">IF((1-($CY$2-AY$2)/$C48)&gt;0,(1-($CY$2-AY$2)/$C48),0)</f>
        <v>0</v>
      </c>
      <c r="CR48" s="333">
        <f t="shared" ref="CR48:CR57" si="90">IF((1-($CY$2-BC$2)/$C48)&gt;0,(1-($CY$2-BC$2)/$C48),0)</f>
        <v>0</v>
      </c>
      <c r="CS48" s="333">
        <f t="shared" ref="CS48:CS57" si="91">IF(BG48=0,0,1-($CY$2-(2014.5-(BG48-BI48)*C48/BG48))/C48)</f>
        <v>0</v>
      </c>
      <c r="CT48" s="333">
        <f t="shared" ref="CT48:CT57" si="92">IF((1-($CY$2-BJ$2)/$C48)&gt;0,(1-($CY$2-BJ$2)/$C48),0)</f>
        <v>0</v>
      </c>
      <c r="CU48" s="333">
        <f t="shared" ref="CU48:CU57" si="93">IF((1-($CY$2-BN$2)/$C48)&gt;0,(1-($CY$2-BN$2)/$C48),0)</f>
        <v>0.25</v>
      </c>
      <c r="CV48" s="333">
        <f t="shared" ref="CV48:CV57" si="94">IF((1-($CY$2-BR$2)/$C48)&gt;0,(1-($CY$2-BR$2)/$C48),0)</f>
        <v>0.5</v>
      </c>
      <c r="CW48" s="333">
        <f t="shared" ref="CW48:CW57" si="95">IF((1-($CY$2-BV$2)/$C48)&gt;0,(1-($CY$2-BV$2)/$C48),0)</f>
        <v>0.75</v>
      </c>
      <c r="CX48" s="333">
        <f t="shared" ref="CX48:CX57" si="96">IF((1-($CY$2-BZ$2)/$C48)&gt;0,(1-($CY$2-BZ$2)/$C48),0)</f>
        <v>1</v>
      </c>
      <c r="CY48" s="334">
        <f t="shared" ref="CY48:CY57" si="97"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</f>
        <v>0</v>
      </c>
      <c r="CZ48" s="334">
        <f t="shared" ref="CZ48:CZ57" si="98">IF(CE48=0,D48-E48,0)+IF(CF48=0,(G48-H48-I48)*G$63,0)+IF(CG48=0,(K48-L48-M48)*K$63,0)+IF(CH48=0,(O48-P48-Q48)*O$63,0)+IF(CI48=0,(S48-T48-U48)*S$63,0)+IF(CJ48=0,(W48-X48-Y48)*W$63,0)+IF(CK48=0,(AA48-AB48-AC48)*AA$63,0)+IF(CL48=0,(AE48-AF48-AG48)*AE$63,0)+IF(CM48=0,(AI48-AJ48-AK48)*AI$63,0)+IF(CN48=0,(AM48-AN48-AO48)*AM$63,0)+IF(CO48=0,(AQ48-AR48-AS48)*$AQ$63,0)+IF(CP48=0,(AU48-AV48-AW48)*$AU$63,0)+IF(CQ48=0,(AY48-AZ48-BA48)*$AY$63,0)++IF(CR48=0,(BC48-BD48-BE48)*$BC$63,0)+IF(CT48=0,(BJ48-BK48-BL48)*$BJ$63,0)+IF(CS48=0,BG48,0)+IF(CU48=0,(BN48-BO48-BP48)*$BN$63,0)+IF(CV48=0,(BR48-BS48-BT48)*$BR$63,0)+IF(CW48=0,(BV48-BW48-BX48)*$BV$63,0)+IF(CX48=0,(BZ48-CA48-CB48)*$BZ$63,0)</f>
        <v>0</v>
      </c>
      <c r="DA48" s="334">
        <f t="shared" ref="DA48:DA57" si="99">(D48-E48)*CE48+((G48-H48-(I48-J48))*G$63)*CF48+((K48-L48-(M48-N48))*K$63)*CG48+((O48-P48-(Q48-R48))*O$63)*CH48+((S48-T48-(U48-V48))*S$63)*CI48+((W48-X48-(Y48-Z48))*W$63)*CJ48+((AA48-AB48-(AC48-AD48))*AA$63)*CK48+((AE48-AF48-(AG48-AH48))*AE$63)*CL48+((AI48-AJ48-(AK48-AL48))*AI$63)*CM48+((AM48-AN48-(AO48-AP48))*$AM$63)*CN48+((AQ48-AR48-(AS48-AT48))*$AQ$63)*CO48+((AU48-AV48-(AW48-AX48))*$AU$63)*CP48+((AY48-AZ48-(BA48-BB48))*$AY$63)*CQ48+((BC48-BD48-(BE48-BF48))*$BC$63)*CR48+((BJ48-BK48-(BL48-BM48))*$BJ$63)*CT48+(BG48-BH48)*CS48+((BN48-BO48-(BP48-BQ48))*$BN$63)*CU48+((BR48-BS48-(BT48-BU48))*$BR$63)*CV48+((BV48-BW48-(BX48-BY48))*$BV$63)*CW48+((BZ48-CA48-(CB48-CC48))*$BZ$63)*CX48</f>
        <v>0</v>
      </c>
    </row>
    <row r="49" spans="1:105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321">
        <f t="shared" si="76"/>
        <v>0</v>
      </c>
      <c r="CE49" s="385">
        <f t="shared" si="77"/>
        <v>0</v>
      </c>
      <c r="CF49" s="333">
        <f t="shared" si="78"/>
        <v>0.98299999999999998</v>
      </c>
      <c r="CG49" s="333">
        <f t="shared" si="79"/>
        <v>0.98399999999999999</v>
      </c>
      <c r="CH49" s="333">
        <f t="shared" si="80"/>
        <v>0.98499999999999999</v>
      </c>
      <c r="CI49" s="333">
        <f t="shared" si="81"/>
        <v>0.98599999999999999</v>
      </c>
      <c r="CJ49" s="333">
        <f t="shared" si="82"/>
        <v>0.98699999999999999</v>
      </c>
      <c r="CK49" s="333">
        <f t="shared" si="83"/>
        <v>0.98799999999999999</v>
      </c>
      <c r="CL49" s="333">
        <f t="shared" si="84"/>
        <v>0.98899999999999999</v>
      </c>
      <c r="CM49" s="333">
        <f t="shared" si="85"/>
        <v>0.99</v>
      </c>
      <c r="CN49" s="333">
        <f t="shared" si="86"/>
        <v>0.99099999999999999</v>
      </c>
      <c r="CO49" s="333">
        <f t="shared" si="87"/>
        <v>0.99199999999999999</v>
      </c>
      <c r="CP49" s="333">
        <f t="shared" si="88"/>
        <v>0.99299999999999999</v>
      </c>
      <c r="CQ49" s="333">
        <f t="shared" si="89"/>
        <v>0.99399999999999999</v>
      </c>
      <c r="CR49" s="333">
        <f t="shared" si="90"/>
        <v>0.995</v>
      </c>
      <c r="CS49" s="333">
        <f t="shared" si="91"/>
        <v>0</v>
      </c>
      <c r="CT49" s="333">
        <f t="shared" si="92"/>
        <v>0.996</v>
      </c>
      <c r="CU49" s="333">
        <f t="shared" si="93"/>
        <v>0.997</v>
      </c>
      <c r="CV49" s="333">
        <f t="shared" si="94"/>
        <v>0.998</v>
      </c>
      <c r="CW49" s="333">
        <f t="shared" si="95"/>
        <v>0.999</v>
      </c>
      <c r="CX49" s="333">
        <f t="shared" si="96"/>
        <v>1</v>
      </c>
      <c r="CY49" s="334">
        <f t="shared" si="97"/>
        <v>0</v>
      </c>
      <c r="CZ49" s="334">
        <f t="shared" si="98"/>
        <v>0</v>
      </c>
      <c r="DA49" s="334">
        <f t="shared" si="99"/>
        <v>0</v>
      </c>
    </row>
    <row r="50" spans="1:105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321">
        <f t="shared" si="76"/>
        <v>1991.8040336868928</v>
      </c>
      <c r="CE50" s="333">
        <f t="shared" si="77"/>
        <v>0.32010084217232015</v>
      </c>
      <c r="CF50" s="333">
        <f t="shared" si="78"/>
        <v>0.57499999999999996</v>
      </c>
      <c r="CG50" s="333">
        <f t="shared" si="79"/>
        <v>0.6</v>
      </c>
      <c r="CH50" s="333">
        <f t="shared" si="80"/>
        <v>0.625</v>
      </c>
      <c r="CI50" s="333">
        <f t="shared" si="81"/>
        <v>0.65</v>
      </c>
      <c r="CJ50" s="333">
        <f t="shared" si="82"/>
        <v>0.67500000000000004</v>
      </c>
      <c r="CK50" s="333">
        <f t="shared" si="83"/>
        <v>0.7</v>
      </c>
      <c r="CL50" s="333">
        <f t="shared" si="84"/>
        <v>0.72499999999999998</v>
      </c>
      <c r="CM50" s="333">
        <f t="shared" si="85"/>
        <v>0.75</v>
      </c>
      <c r="CN50" s="333">
        <f t="shared" si="86"/>
        <v>0.77500000000000002</v>
      </c>
      <c r="CO50" s="333">
        <f t="shared" si="87"/>
        <v>0.8</v>
      </c>
      <c r="CP50" s="333">
        <f t="shared" si="88"/>
        <v>0.82499999999999996</v>
      </c>
      <c r="CQ50" s="333">
        <f t="shared" si="89"/>
        <v>0.85</v>
      </c>
      <c r="CR50" s="333">
        <f t="shared" si="90"/>
        <v>0.875</v>
      </c>
      <c r="CS50" s="333">
        <f t="shared" si="91"/>
        <v>0</v>
      </c>
      <c r="CT50" s="333">
        <f t="shared" si="92"/>
        <v>0.9</v>
      </c>
      <c r="CU50" s="333">
        <f t="shared" si="93"/>
        <v>0.92500000000000004</v>
      </c>
      <c r="CV50" s="333">
        <f t="shared" si="94"/>
        <v>0.95</v>
      </c>
      <c r="CW50" s="333">
        <f t="shared" si="95"/>
        <v>0.97499999999999998</v>
      </c>
      <c r="CX50" s="333">
        <f t="shared" si="96"/>
        <v>1</v>
      </c>
      <c r="CY50" s="334">
        <f t="shared" si="97"/>
        <v>1094161.605459783</v>
      </c>
      <c r="CZ50" s="334">
        <f t="shared" si="98"/>
        <v>0</v>
      </c>
      <c r="DA50" s="334">
        <f t="shared" si="99"/>
        <v>357434.07455215894</v>
      </c>
    </row>
    <row r="51" spans="1:105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321">
        <f t="shared" si="76"/>
        <v>1994.6431227317414</v>
      </c>
      <c r="CE51" s="333">
        <f t="shared" si="77"/>
        <v>0</v>
      </c>
      <c r="CF51" s="333">
        <f t="shared" si="78"/>
        <v>0.22727272727272729</v>
      </c>
      <c r="CG51" s="333">
        <f t="shared" si="79"/>
        <v>0.27272727272727271</v>
      </c>
      <c r="CH51" s="333">
        <f t="shared" si="80"/>
        <v>0.31818181818181823</v>
      </c>
      <c r="CI51" s="333">
        <f t="shared" si="81"/>
        <v>0.36363636363636365</v>
      </c>
      <c r="CJ51" s="333">
        <f t="shared" si="82"/>
        <v>0.40909090909090906</v>
      </c>
      <c r="CK51" s="333">
        <f t="shared" si="83"/>
        <v>0.45454545454545459</v>
      </c>
      <c r="CL51" s="333">
        <f t="shared" si="84"/>
        <v>0.5</v>
      </c>
      <c r="CM51" s="333">
        <f t="shared" si="85"/>
        <v>0.54545454545454541</v>
      </c>
      <c r="CN51" s="333">
        <f t="shared" si="86"/>
        <v>0.59090909090909083</v>
      </c>
      <c r="CO51" s="333">
        <f t="shared" si="87"/>
        <v>0.63636363636363635</v>
      </c>
      <c r="CP51" s="333">
        <f t="shared" si="88"/>
        <v>0.68181818181818188</v>
      </c>
      <c r="CQ51" s="333">
        <f t="shared" si="89"/>
        <v>0.72727272727272729</v>
      </c>
      <c r="CR51" s="333">
        <f t="shared" si="90"/>
        <v>0.77272727272727271</v>
      </c>
      <c r="CS51" s="333">
        <f t="shared" si="91"/>
        <v>0.44823253871394086</v>
      </c>
      <c r="CT51" s="333">
        <f t="shared" si="92"/>
        <v>0.81818181818181812</v>
      </c>
      <c r="CU51" s="333">
        <f t="shared" si="93"/>
        <v>0.86363636363636365</v>
      </c>
      <c r="CV51" s="333">
        <f t="shared" si="94"/>
        <v>0.90909090909090906</v>
      </c>
      <c r="CW51" s="333">
        <f t="shared" si="95"/>
        <v>0.95454545454545459</v>
      </c>
      <c r="CX51" s="333">
        <f t="shared" si="96"/>
        <v>1</v>
      </c>
      <c r="CY51" s="334">
        <f t="shared" si="97"/>
        <v>13352838.709811006</v>
      </c>
      <c r="CZ51" s="334">
        <f t="shared" si="98"/>
        <v>4570414.9220673665</v>
      </c>
      <c r="DA51" s="334">
        <f t="shared" si="99"/>
        <v>5941406.6543481378</v>
      </c>
    </row>
    <row r="52" spans="1:105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321">
        <f t="shared" si="76"/>
        <v>0</v>
      </c>
      <c r="CE52" s="333">
        <f t="shared" si="77"/>
        <v>0</v>
      </c>
      <c r="CF52" s="333">
        <f t="shared" si="78"/>
        <v>0.22727272727272729</v>
      </c>
      <c r="CG52" s="333">
        <f t="shared" si="79"/>
        <v>0.27272727272727271</v>
      </c>
      <c r="CH52" s="333">
        <f t="shared" si="80"/>
        <v>0.31818181818181823</v>
      </c>
      <c r="CI52" s="333">
        <f t="shared" si="81"/>
        <v>0.36363636363636365</v>
      </c>
      <c r="CJ52" s="333">
        <f t="shared" si="82"/>
        <v>0.40909090909090906</v>
      </c>
      <c r="CK52" s="333">
        <f t="shared" si="83"/>
        <v>0.45454545454545459</v>
      </c>
      <c r="CL52" s="333">
        <f t="shared" si="84"/>
        <v>0.5</v>
      </c>
      <c r="CM52" s="333">
        <f t="shared" si="85"/>
        <v>0.54545454545454541</v>
      </c>
      <c r="CN52" s="333">
        <f t="shared" si="86"/>
        <v>0.59090909090909083</v>
      </c>
      <c r="CO52" s="333">
        <f t="shared" si="87"/>
        <v>0.63636363636363635</v>
      </c>
      <c r="CP52" s="333">
        <f t="shared" si="88"/>
        <v>0.68181818181818188</v>
      </c>
      <c r="CQ52" s="333">
        <f t="shared" si="89"/>
        <v>0.72727272727272729</v>
      </c>
      <c r="CR52" s="333">
        <f t="shared" si="90"/>
        <v>0.77272727272727271</v>
      </c>
      <c r="CS52" s="333">
        <f t="shared" si="91"/>
        <v>0</v>
      </c>
      <c r="CT52" s="333">
        <f t="shared" si="92"/>
        <v>0.81818181818181812</v>
      </c>
      <c r="CU52" s="333">
        <f t="shared" si="93"/>
        <v>0.86363636363636365</v>
      </c>
      <c r="CV52" s="333">
        <f t="shared" si="94"/>
        <v>0.90909090909090906</v>
      </c>
      <c r="CW52" s="333">
        <f t="shared" si="95"/>
        <v>0.95454545454545459</v>
      </c>
      <c r="CX52" s="333">
        <f t="shared" si="96"/>
        <v>1</v>
      </c>
      <c r="CY52" s="334">
        <f t="shared" si="97"/>
        <v>0</v>
      </c>
      <c r="CZ52" s="334">
        <f t="shared" si="98"/>
        <v>0</v>
      </c>
      <c r="DA52" s="334">
        <f t="shared" si="99"/>
        <v>0</v>
      </c>
    </row>
    <row r="53" spans="1:105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321">
        <f t="shared" si="76"/>
        <v>2000.9353796694659</v>
      </c>
      <c r="CE53" s="333">
        <f t="shared" si="77"/>
        <v>0</v>
      </c>
      <c r="CF53" s="333">
        <f t="shared" si="78"/>
        <v>0</v>
      </c>
      <c r="CG53" s="333">
        <f t="shared" si="79"/>
        <v>0</v>
      </c>
      <c r="CH53" s="333">
        <f t="shared" si="80"/>
        <v>0</v>
      </c>
      <c r="CI53" s="333">
        <f t="shared" si="81"/>
        <v>0</v>
      </c>
      <c r="CJ53" s="333">
        <f t="shared" si="82"/>
        <v>0</v>
      </c>
      <c r="CK53" s="333">
        <f t="shared" si="83"/>
        <v>0</v>
      </c>
      <c r="CL53" s="333">
        <f t="shared" si="84"/>
        <v>0</v>
      </c>
      <c r="CM53" s="333">
        <f t="shared" si="85"/>
        <v>0</v>
      </c>
      <c r="CN53" s="333">
        <f t="shared" si="86"/>
        <v>0</v>
      </c>
      <c r="CO53" s="333">
        <f t="shared" si="87"/>
        <v>0</v>
      </c>
      <c r="CP53" s="333">
        <f t="shared" si="88"/>
        <v>0</v>
      </c>
      <c r="CQ53" s="333">
        <f t="shared" si="89"/>
        <v>0.1428571428571429</v>
      </c>
      <c r="CR53" s="333">
        <f t="shared" si="90"/>
        <v>0.2857142857142857</v>
      </c>
      <c r="CS53" s="333">
        <f t="shared" si="91"/>
        <v>0</v>
      </c>
      <c r="CT53" s="333">
        <f t="shared" si="92"/>
        <v>0.4285714285714286</v>
      </c>
      <c r="CU53" s="333">
        <f t="shared" si="93"/>
        <v>0.5714285714285714</v>
      </c>
      <c r="CV53" s="333">
        <f t="shared" si="94"/>
        <v>0.7142857142857143</v>
      </c>
      <c r="CW53" s="333">
        <f t="shared" si="95"/>
        <v>0.85714285714285721</v>
      </c>
      <c r="CX53" s="333">
        <f t="shared" si="96"/>
        <v>1</v>
      </c>
      <c r="CY53" s="334">
        <f t="shared" si="97"/>
        <v>14383.151123919413</v>
      </c>
      <c r="CZ53" s="334">
        <f t="shared" si="98"/>
        <v>14383.151123919413</v>
      </c>
      <c r="DA53" s="334">
        <f t="shared" si="99"/>
        <v>0</v>
      </c>
    </row>
    <row r="54" spans="1:105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321">
        <f t="shared" si="76"/>
        <v>0</v>
      </c>
      <c r="CE54" s="333">
        <f t="shared" si="77"/>
        <v>0</v>
      </c>
      <c r="CF54" s="333">
        <f t="shared" si="78"/>
        <v>0</v>
      </c>
      <c r="CG54" s="333">
        <f t="shared" si="79"/>
        <v>0</v>
      </c>
      <c r="CH54" s="333">
        <f t="shared" si="80"/>
        <v>0</v>
      </c>
      <c r="CI54" s="333">
        <f t="shared" si="81"/>
        <v>0</v>
      </c>
      <c r="CJ54" s="333">
        <f t="shared" si="82"/>
        <v>0</v>
      </c>
      <c r="CK54" s="333">
        <f t="shared" si="83"/>
        <v>0</v>
      </c>
      <c r="CL54" s="333">
        <f t="shared" si="84"/>
        <v>0</v>
      </c>
      <c r="CM54" s="333">
        <f t="shared" si="85"/>
        <v>0</v>
      </c>
      <c r="CN54" s="333">
        <f t="shared" si="86"/>
        <v>0</v>
      </c>
      <c r="CO54" s="333">
        <f t="shared" si="87"/>
        <v>0</v>
      </c>
      <c r="CP54" s="333">
        <f t="shared" si="88"/>
        <v>0</v>
      </c>
      <c r="CQ54" s="333">
        <f t="shared" si="89"/>
        <v>0</v>
      </c>
      <c r="CR54" s="333">
        <f t="shared" si="90"/>
        <v>0</v>
      </c>
      <c r="CS54" s="333">
        <f t="shared" si="91"/>
        <v>0</v>
      </c>
      <c r="CT54" s="333">
        <f t="shared" si="92"/>
        <v>0</v>
      </c>
      <c r="CU54" s="333">
        <f t="shared" si="93"/>
        <v>0.25</v>
      </c>
      <c r="CV54" s="333">
        <f t="shared" si="94"/>
        <v>0.5</v>
      </c>
      <c r="CW54" s="333">
        <f t="shared" si="95"/>
        <v>0.75</v>
      </c>
      <c r="CX54" s="333">
        <f t="shared" si="96"/>
        <v>1</v>
      </c>
      <c r="CY54" s="334">
        <f t="shared" si="97"/>
        <v>0</v>
      </c>
      <c r="CZ54" s="334">
        <f t="shared" si="98"/>
        <v>0</v>
      </c>
      <c r="DA54" s="334">
        <f t="shared" si="99"/>
        <v>0</v>
      </c>
    </row>
    <row r="55" spans="1:105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321">
        <f t="shared" si="76"/>
        <v>0</v>
      </c>
      <c r="CE55" s="333">
        <f t="shared" si="77"/>
        <v>0</v>
      </c>
      <c r="CF55" s="333">
        <f t="shared" si="78"/>
        <v>0</v>
      </c>
      <c r="CG55" s="333">
        <f t="shared" si="79"/>
        <v>0</v>
      </c>
      <c r="CH55" s="333">
        <f t="shared" si="80"/>
        <v>0</v>
      </c>
      <c r="CI55" s="333">
        <f t="shared" si="81"/>
        <v>0</v>
      </c>
      <c r="CJ55" s="333">
        <f t="shared" si="82"/>
        <v>0</v>
      </c>
      <c r="CK55" s="333">
        <f t="shared" si="83"/>
        <v>0</v>
      </c>
      <c r="CL55" s="333">
        <f t="shared" si="84"/>
        <v>0</v>
      </c>
      <c r="CM55" s="333">
        <f t="shared" si="85"/>
        <v>0</v>
      </c>
      <c r="CN55" s="333">
        <f t="shared" si="86"/>
        <v>0</v>
      </c>
      <c r="CO55" s="333">
        <f t="shared" si="87"/>
        <v>0</v>
      </c>
      <c r="CP55" s="333">
        <f t="shared" si="88"/>
        <v>0</v>
      </c>
      <c r="CQ55" s="333">
        <f t="shared" si="89"/>
        <v>0</v>
      </c>
      <c r="CR55" s="333">
        <f t="shared" si="90"/>
        <v>0</v>
      </c>
      <c r="CS55" s="333">
        <f t="shared" si="91"/>
        <v>0</v>
      </c>
      <c r="CT55" s="333">
        <f t="shared" si="92"/>
        <v>0.19999999999999996</v>
      </c>
      <c r="CU55" s="333">
        <f t="shared" si="93"/>
        <v>0.4</v>
      </c>
      <c r="CV55" s="333">
        <f t="shared" si="94"/>
        <v>0.6</v>
      </c>
      <c r="CW55" s="333">
        <f t="shared" si="95"/>
        <v>0.8</v>
      </c>
      <c r="CX55" s="333">
        <f t="shared" si="96"/>
        <v>1</v>
      </c>
      <c r="CY55" s="334">
        <f t="shared" si="97"/>
        <v>0</v>
      </c>
      <c r="CZ55" s="334">
        <f t="shared" si="98"/>
        <v>0</v>
      </c>
      <c r="DA55" s="334">
        <f t="shared" si="99"/>
        <v>0</v>
      </c>
    </row>
    <row r="56" spans="1:105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321">
        <f t="shared" si="76"/>
        <v>0</v>
      </c>
      <c r="CE56" s="333">
        <f t="shared" si="77"/>
        <v>0</v>
      </c>
      <c r="CF56" s="333">
        <f t="shared" si="78"/>
        <v>0</v>
      </c>
      <c r="CG56" s="333">
        <f t="shared" si="79"/>
        <v>0</v>
      </c>
      <c r="CH56" s="333">
        <f t="shared" si="80"/>
        <v>0</v>
      </c>
      <c r="CI56" s="333">
        <f t="shared" si="81"/>
        <v>0</v>
      </c>
      <c r="CJ56" s="333">
        <f t="shared" si="82"/>
        <v>0</v>
      </c>
      <c r="CK56" s="333">
        <f t="shared" si="83"/>
        <v>0</v>
      </c>
      <c r="CL56" s="333">
        <f t="shared" si="84"/>
        <v>0</v>
      </c>
      <c r="CM56" s="333">
        <f t="shared" si="85"/>
        <v>0</v>
      </c>
      <c r="CN56" s="333">
        <f t="shared" si="86"/>
        <v>0</v>
      </c>
      <c r="CO56" s="333">
        <f t="shared" si="87"/>
        <v>0</v>
      </c>
      <c r="CP56" s="333">
        <f t="shared" si="88"/>
        <v>0.125</v>
      </c>
      <c r="CQ56" s="333">
        <f t="shared" si="89"/>
        <v>0.25</v>
      </c>
      <c r="CR56" s="333">
        <f t="shared" si="90"/>
        <v>0.375</v>
      </c>
      <c r="CS56" s="333">
        <f t="shared" si="91"/>
        <v>0</v>
      </c>
      <c r="CT56" s="333">
        <f t="shared" si="92"/>
        <v>0.5</v>
      </c>
      <c r="CU56" s="333">
        <f t="shared" si="93"/>
        <v>0.625</v>
      </c>
      <c r="CV56" s="333">
        <f t="shared" si="94"/>
        <v>0.75</v>
      </c>
      <c r="CW56" s="333">
        <f t="shared" si="95"/>
        <v>0.875</v>
      </c>
      <c r="CX56" s="333">
        <f t="shared" si="96"/>
        <v>1</v>
      </c>
      <c r="CY56" s="334">
        <f t="shared" si="97"/>
        <v>0</v>
      </c>
      <c r="CZ56" s="334">
        <f t="shared" si="98"/>
        <v>0</v>
      </c>
      <c r="DA56" s="334">
        <f t="shared" si="99"/>
        <v>0</v>
      </c>
    </row>
    <row r="57" spans="1:105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321">
        <f t="shared" si="76"/>
        <v>0</v>
      </c>
      <c r="CE57" s="348">
        <f t="shared" si="77"/>
        <v>0</v>
      </c>
      <c r="CF57" s="333">
        <f t="shared" si="78"/>
        <v>0</v>
      </c>
      <c r="CG57" s="333">
        <f t="shared" si="79"/>
        <v>5.8823529411764719E-2</v>
      </c>
      <c r="CH57" s="333">
        <f t="shared" si="80"/>
        <v>0.11764705882352944</v>
      </c>
      <c r="CI57" s="333">
        <f t="shared" si="81"/>
        <v>0.17647058823529416</v>
      </c>
      <c r="CJ57" s="333">
        <f t="shared" si="82"/>
        <v>0.23529411764705888</v>
      </c>
      <c r="CK57" s="333">
        <f t="shared" si="83"/>
        <v>0.29411764705882348</v>
      </c>
      <c r="CL57" s="333">
        <f t="shared" si="84"/>
        <v>0.3529411764705882</v>
      </c>
      <c r="CM57" s="333">
        <f t="shared" si="85"/>
        <v>0.41176470588235292</v>
      </c>
      <c r="CN57" s="333">
        <f t="shared" si="86"/>
        <v>0.47058823529411764</v>
      </c>
      <c r="CO57" s="333">
        <f t="shared" si="87"/>
        <v>0.52941176470588236</v>
      </c>
      <c r="CP57" s="333">
        <f t="shared" si="88"/>
        <v>0.58823529411764708</v>
      </c>
      <c r="CQ57" s="333">
        <f t="shared" si="89"/>
        <v>0.64705882352941169</v>
      </c>
      <c r="CR57" s="333">
        <f t="shared" si="90"/>
        <v>0.70588235294117641</v>
      </c>
      <c r="CS57" s="333">
        <f t="shared" si="91"/>
        <v>0</v>
      </c>
      <c r="CT57" s="333">
        <f t="shared" si="92"/>
        <v>0.76470588235294112</v>
      </c>
      <c r="CU57" s="333">
        <f t="shared" si="93"/>
        <v>0.82352941176470584</v>
      </c>
      <c r="CV57" s="333">
        <f t="shared" si="94"/>
        <v>0.88235294117647056</v>
      </c>
      <c r="CW57" s="333">
        <f t="shared" si="95"/>
        <v>0.94117647058823528</v>
      </c>
      <c r="CX57" s="333">
        <f t="shared" si="96"/>
        <v>1</v>
      </c>
      <c r="CY57" s="334">
        <f t="shared" si="97"/>
        <v>0</v>
      </c>
      <c r="CZ57" s="334">
        <f t="shared" si="98"/>
        <v>0</v>
      </c>
      <c r="DA57" s="334">
        <f t="shared" si="99"/>
        <v>0</v>
      </c>
    </row>
    <row r="58" spans="1:105" s="1" customFormat="1" ht="12.75" customHeight="1" thickBot="1" x14ac:dyDescent="0.35">
      <c r="A58" s="576"/>
      <c r="B58" s="304" t="s">
        <v>42</v>
      </c>
      <c r="C58" s="302"/>
      <c r="D58" s="305">
        <f t="shared" ref="D58:BO58" si="100">SUM(D48:D57)</f>
        <v>5660028.2779788757</v>
      </c>
      <c r="E58" s="305">
        <f t="shared" si="100"/>
        <v>0</v>
      </c>
      <c r="F58" s="305">
        <f t="shared" si="100"/>
        <v>4092084.3124159449</v>
      </c>
      <c r="G58" s="305">
        <f t="shared" si="100"/>
        <v>385845.48</v>
      </c>
      <c r="H58" s="305">
        <f t="shared" si="100"/>
        <v>0</v>
      </c>
      <c r="I58" s="305">
        <f t="shared" si="100"/>
        <v>0</v>
      </c>
      <c r="J58" s="305">
        <f t="shared" si="100"/>
        <v>0</v>
      </c>
      <c r="K58" s="305">
        <f t="shared" si="100"/>
        <v>452747.86</v>
      </c>
      <c r="L58" s="305">
        <f t="shared" si="100"/>
        <v>0</v>
      </c>
      <c r="M58" s="305">
        <f t="shared" si="100"/>
        <v>0</v>
      </c>
      <c r="N58" s="305">
        <f t="shared" si="100"/>
        <v>0</v>
      </c>
      <c r="O58" s="305">
        <f t="shared" si="100"/>
        <v>370817.32</v>
      </c>
      <c r="P58" s="305">
        <f t="shared" si="100"/>
        <v>0</v>
      </c>
      <c r="Q58" s="305">
        <f t="shared" si="100"/>
        <v>0</v>
      </c>
      <c r="R58" s="305">
        <f t="shared" si="100"/>
        <v>0</v>
      </c>
      <c r="S58" s="305">
        <f t="shared" si="100"/>
        <v>396757.73</v>
      </c>
      <c r="T58" s="305">
        <f t="shared" si="100"/>
        <v>0</v>
      </c>
      <c r="U58" s="305">
        <f t="shared" si="100"/>
        <v>0</v>
      </c>
      <c r="V58" s="305">
        <f t="shared" si="100"/>
        <v>0</v>
      </c>
      <c r="W58" s="305">
        <f t="shared" si="100"/>
        <v>291785.66999999993</v>
      </c>
      <c r="X58" s="305">
        <f t="shared" si="100"/>
        <v>0</v>
      </c>
      <c r="Y58" s="305">
        <f t="shared" si="100"/>
        <v>0</v>
      </c>
      <c r="Z58" s="305">
        <f t="shared" si="100"/>
        <v>0</v>
      </c>
      <c r="AA58" s="305">
        <f t="shared" si="100"/>
        <v>471133.24000000005</v>
      </c>
      <c r="AB58" s="305">
        <f t="shared" si="100"/>
        <v>0</v>
      </c>
      <c r="AC58" s="305">
        <f t="shared" si="100"/>
        <v>0</v>
      </c>
      <c r="AD58" s="305">
        <f t="shared" si="100"/>
        <v>0</v>
      </c>
      <c r="AE58" s="305">
        <f t="shared" si="100"/>
        <v>641039</v>
      </c>
      <c r="AF58" s="305">
        <f t="shared" si="100"/>
        <v>0</v>
      </c>
      <c r="AG58" s="305">
        <f t="shared" si="100"/>
        <v>0</v>
      </c>
      <c r="AH58" s="305">
        <f t="shared" si="100"/>
        <v>0</v>
      </c>
      <c r="AI58" s="305">
        <f t="shared" si="100"/>
        <v>528906.63000000012</v>
      </c>
      <c r="AJ58" s="305">
        <f t="shared" si="100"/>
        <v>0</v>
      </c>
      <c r="AK58" s="305">
        <f t="shared" si="100"/>
        <v>0</v>
      </c>
      <c r="AL58" s="305">
        <f t="shared" si="100"/>
        <v>0</v>
      </c>
      <c r="AM58" s="305">
        <f t="shared" si="100"/>
        <v>421950.02999999991</v>
      </c>
      <c r="AN58" s="305">
        <f t="shared" si="100"/>
        <v>0</v>
      </c>
      <c r="AO58" s="305">
        <f t="shared" si="100"/>
        <v>0</v>
      </c>
      <c r="AP58" s="305">
        <f t="shared" si="100"/>
        <v>0</v>
      </c>
      <c r="AQ58" s="305">
        <f t="shared" si="100"/>
        <v>401723.83</v>
      </c>
      <c r="AR58" s="305">
        <f t="shared" si="100"/>
        <v>0</v>
      </c>
      <c r="AS58" s="305">
        <f t="shared" si="100"/>
        <v>0</v>
      </c>
      <c r="AT58" s="305">
        <f t="shared" si="100"/>
        <v>0</v>
      </c>
      <c r="AU58" s="305">
        <f t="shared" si="100"/>
        <v>401731.13</v>
      </c>
      <c r="AV58" s="305">
        <f t="shared" si="100"/>
        <v>0</v>
      </c>
      <c r="AW58" s="305">
        <f t="shared" si="100"/>
        <v>0</v>
      </c>
      <c r="AX58" s="305">
        <f t="shared" si="100"/>
        <v>0</v>
      </c>
      <c r="AY58" s="305">
        <f t="shared" si="100"/>
        <v>555885.05319699994</v>
      </c>
      <c r="AZ58" s="305">
        <f t="shared" si="100"/>
        <v>0</v>
      </c>
      <c r="BA58" s="305">
        <f t="shared" si="100"/>
        <v>0</v>
      </c>
      <c r="BB58" s="305">
        <f t="shared" si="100"/>
        <v>0</v>
      </c>
      <c r="BC58" s="305">
        <f t="shared" si="100"/>
        <v>660890.24999999988</v>
      </c>
      <c r="BD58" s="305">
        <f t="shared" si="100"/>
        <v>0</v>
      </c>
      <c r="BE58" s="305">
        <f t="shared" si="100"/>
        <v>0</v>
      </c>
      <c r="BF58" s="305">
        <f t="shared" si="100"/>
        <v>0</v>
      </c>
      <c r="BG58" s="305">
        <f t="shared" si="100"/>
        <v>265555</v>
      </c>
      <c r="BH58" s="305">
        <f t="shared" si="100"/>
        <v>265555</v>
      </c>
      <c r="BI58" s="305">
        <f t="shared" si="100"/>
        <v>173348.46</v>
      </c>
      <c r="BJ58" s="305">
        <f t="shared" si="100"/>
        <v>682413</v>
      </c>
      <c r="BK58" s="305">
        <f t="shared" si="100"/>
        <v>0</v>
      </c>
      <c r="BL58" s="305">
        <f t="shared" si="100"/>
        <v>0</v>
      </c>
      <c r="BM58" s="305">
        <f t="shared" si="100"/>
        <v>0</v>
      </c>
      <c r="BN58" s="305">
        <f t="shared" si="100"/>
        <v>805417.89999999991</v>
      </c>
      <c r="BO58" s="305">
        <f t="shared" si="100"/>
        <v>0</v>
      </c>
      <c r="BP58" s="305">
        <f t="shared" ref="BP58:CC58" si="101">SUM(BP48:BP57)</f>
        <v>0</v>
      </c>
      <c r="BQ58" s="305">
        <f t="shared" si="101"/>
        <v>0</v>
      </c>
      <c r="BR58" s="305">
        <f t="shared" si="101"/>
        <v>811234.00000000012</v>
      </c>
      <c r="BS58" s="305">
        <f t="shared" si="101"/>
        <v>0</v>
      </c>
      <c r="BT58" s="305">
        <f t="shared" si="101"/>
        <v>0</v>
      </c>
      <c r="BU58" s="305">
        <f t="shared" si="101"/>
        <v>0</v>
      </c>
      <c r="BV58" s="305">
        <f t="shared" si="101"/>
        <v>994683.03999999969</v>
      </c>
      <c r="BW58" s="305">
        <f t="shared" si="101"/>
        <v>0</v>
      </c>
      <c r="BX58" s="305">
        <f t="shared" si="101"/>
        <v>0</v>
      </c>
      <c r="BY58" s="305">
        <f t="shared" si="101"/>
        <v>0</v>
      </c>
      <c r="BZ58" s="305">
        <f t="shared" si="101"/>
        <v>1009193.6200000001</v>
      </c>
      <c r="CA58" s="305">
        <f t="shared" si="101"/>
        <v>0</v>
      </c>
      <c r="CB58" s="305">
        <f t="shared" si="101"/>
        <v>0</v>
      </c>
      <c r="CC58" s="305">
        <f t="shared" si="101"/>
        <v>0</v>
      </c>
      <c r="CD58" s="306"/>
      <c r="CE58" s="307"/>
      <c r="CF58" s="307"/>
      <c r="CG58" s="307"/>
      <c r="CH58" s="307"/>
      <c r="CI58" s="307"/>
      <c r="CJ58" s="307"/>
      <c r="CK58" s="307"/>
      <c r="CL58" s="307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8">
        <f>SUM(CY48:CY57)</f>
        <v>14461383.466394708</v>
      </c>
      <c r="CZ58" s="308">
        <f>SUM(CZ48:CZ57)</f>
        <v>4584798.0731912861</v>
      </c>
      <c r="DA58" s="308">
        <f>SUM(DA48:DA57)</f>
        <v>6298840.7289002966</v>
      </c>
    </row>
    <row r="59" spans="1:105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02">E58+E47+E13+E45</f>
        <v>0</v>
      </c>
      <c r="F59" s="311">
        <f t="shared" si="102"/>
        <v>45909466.481640995</v>
      </c>
      <c r="G59" s="311">
        <f t="shared" si="102"/>
        <v>2297920.7887920002</v>
      </c>
      <c r="H59" s="311">
        <f t="shared" si="102"/>
        <v>0</v>
      </c>
      <c r="I59" s="311">
        <f t="shared" si="102"/>
        <v>0</v>
      </c>
      <c r="J59" s="311">
        <f t="shared" si="102"/>
        <v>0</v>
      </c>
      <c r="K59" s="311">
        <f t="shared" si="102"/>
        <v>3705380.7350740554</v>
      </c>
      <c r="L59" s="311">
        <f t="shared" si="102"/>
        <v>315949</v>
      </c>
      <c r="M59" s="311">
        <f t="shared" si="102"/>
        <v>0</v>
      </c>
      <c r="N59" s="311">
        <f t="shared" si="102"/>
        <v>0</v>
      </c>
      <c r="O59" s="311">
        <f t="shared" si="102"/>
        <v>3354159.6110610003</v>
      </c>
      <c r="P59" s="311">
        <f t="shared" si="102"/>
        <v>0</v>
      </c>
      <c r="Q59" s="311">
        <f t="shared" si="102"/>
        <v>0</v>
      </c>
      <c r="R59" s="311">
        <f t="shared" si="102"/>
        <v>0</v>
      </c>
      <c r="S59" s="311">
        <f t="shared" si="102"/>
        <v>3518386.36</v>
      </c>
      <c r="T59" s="311">
        <f t="shared" si="102"/>
        <v>0</v>
      </c>
      <c r="U59" s="311">
        <f t="shared" si="102"/>
        <v>0</v>
      </c>
      <c r="V59" s="311">
        <f t="shared" si="102"/>
        <v>0</v>
      </c>
      <c r="W59" s="311">
        <f t="shared" si="102"/>
        <v>3815993.5700000003</v>
      </c>
      <c r="X59" s="311">
        <f t="shared" si="102"/>
        <v>0</v>
      </c>
      <c r="Y59" s="311">
        <f t="shared" si="102"/>
        <v>0</v>
      </c>
      <c r="Z59" s="311">
        <f t="shared" si="102"/>
        <v>0</v>
      </c>
      <c r="AA59" s="311">
        <f t="shared" si="102"/>
        <v>5590315.4300000006</v>
      </c>
      <c r="AB59" s="311">
        <f t="shared" si="102"/>
        <v>556386.07000000007</v>
      </c>
      <c r="AC59" s="311">
        <f t="shared" si="102"/>
        <v>0</v>
      </c>
      <c r="AD59" s="311">
        <f t="shared" si="102"/>
        <v>0</v>
      </c>
      <c r="AE59" s="311">
        <f t="shared" si="102"/>
        <v>6630069.3099999996</v>
      </c>
      <c r="AF59" s="311">
        <f t="shared" si="102"/>
        <v>0</v>
      </c>
      <c r="AG59" s="311">
        <f t="shared" si="102"/>
        <v>0</v>
      </c>
      <c r="AH59" s="311">
        <f t="shared" si="102"/>
        <v>0</v>
      </c>
      <c r="AI59" s="311">
        <f t="shared" si="102"/>
        <v>8798937.4638769962</v>
      </c>
      <c r="AJ59" s="311">
        <f t="shared" si="102"/>
        <v>0</v>
      </c>
      <c r="AK59" s="311">
        <f t="shared" si="102"/>
        <v>0</v>
      </c>
      <c r="AL59" s="311">
        <f t="shared" si="102"/>
        <v>0</v>
      </c>
      <c r="AM59" s="311">
        <f t="shared" si="102"/>
        <v>6243081.9319999982</v>
      </c>
      <c r="AN59" s="311">
        <f t="shared" si="102"/>
        <v>0</v>
      </c>
      <c r="AO59" s="311">
        <f t="shared" si="102"/>
        <v>0</v>
      </c>
      <c r="AP59" s="311">
        <f t="shared" si="102"/>
        <v>0</v>
      </c>
      <c r="AQ59" s="311">
        <f t="shared" si="102"/>
        <v>7546107.3088913755</v>
      </c>
      <c r="AR59" s="311">
        <f t="shared" si="102"/>
        <v>0</v>
      </c>
      <c r="AS59" s="311">
        <f t="shared" si="102"/>
        <v>0</v>
      </c>
      <c r="AT59" s="311">
        <f t="shared" si="102"/>
        <v>0</v>
      </c>
      <c r="AU59" s="311">
        <f t="shared" si="102"/>
        <v>5992535.4899999965</v>
      </c>
      <c r="AV59" s="311">
        <f t="shared" si="102"/>
        <v>0</v>
      </c>
      <c r="AW59" s="311">
        <f t="shared" si="102"/>
        <v>0</v>
      </c>
      <c r="AX59" s="311">
        <f t="shared" si="102"/>
        <v>0</v>
      </c>
      <c r="AY59" s="311">
        <f t="shared" si="102"/>
        <v>9964863.5911969952</v>
      </c>
      <c r="AZ59" s="311">
        <f t="shared" si="102"/>
        <v>0</v>
      </c>
      <c r="BA59" s="311">
        <f t="shared" si="102"/>
        <v>0</v>
      </c>
      <c r="BB59" s="311">
        <f t="shared" si="102"/>
        <v>0</v>
      </c>
      <c r="BC59" s="311">
        <f t="shared" si="102"/>
        <v>11143773.309999999</v>
      </c>
      <c r="BD59" s="311">
        <f t="shared" si="102"/>
        <v>0</v>
      </c>
      <c r="BE59" s="311">
        <f t="shared" si="102"/>
        <v>0</v>
      </c>
      <c r="BF59" s="311">
        <f t="shared" si="102"/>
        <v>0</v>
      </c>
      <c r="BG59" s="311">
        <f t="shared" si="102"/>
        <v>8136602.2479580687</v>
      </c>
      <c r="BH59" s="311">
        <f t="shared" si="102"/>
        <v>6029079.5579580693</v>
      </c>
      <c r="BI59" s="311">
        <f t="shared" si="102"/>
        <v>6021259.6799999988</v>
      </c>
      <c r="BJ59" s="311">
        <f t="shared" si="102"/>
        <v>12605720.150000002</v>
      </c>
      <c r="BK59" s="311">
        <f t="shared" si="102"/>
        <v>0</v>
      </c>
      <c r="BL59" s="311">
        <f t="shared" si="102"/>
        <v>0</v>
      </c>
      <c r="BM59" s="311">
        <f t="shared" si="102"/>
        <v>0</v>
      </c>
      <c r="BN59" s="311">
        <f t="shared" si="102"/>
        <v>25963295.499999996</v>
      </c>
      <c r="BO59" s="311">
        <f t="shared" si="102"/>
        <v>0</v>
      </c>
      <c r="BP59" s="311">
        <f t="shared" si="102"/>
        <v>0</v>
      </c>
      <c r="BQ59" s="311">
        <f t="shared" ref="BQ59:CC59" si="103">BQ58+BQ47+BQ13+BQ45</f>
        <v>0</v>
      </c>
      <c r="BR59" s="311">
        <f t="shared" si="103"/>
        <v>19553374.009999998</v>
      </c>
      <c r="BS59" s="311">
        <f t="shared" si="103"/>
        <v>65610.73</v>
      </c>
      <c r="BT59" s="311">
        <f t="shared" si="103"/>
        <v>0</v>
      </c>
      <c r="BU59" s="311">
        <f t="shared" si="103"/>
        <v>0</v>
      </c>
      <c r="BV59" s="311">
        <f t="shared" si="103"/>
        <v>20404493.799999997</v>
      </c>
      <c r="BW59" s="311">
        <f t="shared" si="103"/>
        <v>2126529.2643995676</v>
      </c>
      <c r="BX59" s="311">
        <f t="shared" si="103"/>
        <v>0</v>
      </c>
      <c r="BY59" s="311">
        <f t="shared" si="103"/>
        <v>0</v>
      </c>
      <c r="BZ59" s="311">
        <f t="shared" si="103"/>
        <v>22105252.660000004</v>
      </c>
      <c r="CA59" s="311">
        <f t="shared" si="103"/>
        <v>2659763.210547294</v>
      </c>
      <c r="CB59" s="311">
        <f t="shared" si="103"/>
        <v>0</v>
      </c>
      <c r="CC59" s="311">
        <f t="shared" si="103"/>
        <v>0</v>
      </c>
      <c r="CD59" s="312"/>
      <c r="CE59" s="312"/>
      <c r="CF59" s="312"/>
      <c r="CG59" s="312"/>
      <c r="CH59" s="312"/>
      <c r="CI59" s="312"/>
      <c r="CJ59" s="312"/>
      <c r="CK59" s="312"/>
      <c r="CL59" s="312"/>
      <c r="CM59" s="312"/>
      <c r="CN59" s="312"/>
      <c r="CO59" s="312"/>
      <c r="CP59" s="312"/>
      <c r="CQ59" s="312"/>
      <c r="CR59" s="312"/>
      <c r="CS59" s="312"/>
      <c r="CT59" s="312"/>
      <c r="CU59" s="312"/>
      <c r="CV59" s="312"/>
      <c r="CW59" s="312"/>
      <c r="CX59" s="312"/>
      <c r="CY59" s="313">
        <f>CY13+CY45+CY47+CY58</f>
        <v>235027212.24344629</v>
      </c>
      <c r="CZ59" s="313">
        <f>CZ13+CZ45+CZ47+CZ58</f>
        <v>63570794.636320606</v>
      </c>
      <c r="DA59" s="314">
        <f>DA13+DA45+DA47+DA58</f>
        <v>118459816.28321208</v>
      </c>
    </row>
    <row r="60" spans="1:105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</row>
    <row r="61" spans="1:105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</row>
    <row r="62" spans="1:105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</row>
    <row r="63" spans="1:105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</row>
    <row r="64" spans="1:105" ht="12.75" customHeight="1" x14ac:dyDescent="0.25"/>
    <row r="65" spans="4:79" x14ac:dyDescent="0.25">
      <c r="BV65" s="391">
        <v>0</v>
      </c>
      <c r="BW65" s="391">
        <v>0</v>
      </c>
      <c r="BZ65" s="391">
        <v>0</v>
      </c>
      <c r="CA65" s="391">
        <v>0</v>
      </c>
    </row>
    <row r="66" spans="4:79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</row>
    <row r="68" spans="4:79" ht="13.25" customHeight="1" x14ac:dyDescent="0.25"/>
    <row r="70" spans="4:79" ht="13.25" customHeight="1" x14ac:dyDescent="0.25"/>
    <row r="74" spans="4:79" x14ac:dyDescent="0.25">
      <c r="AU74" s="220"/>
      <c r="AV74" s="220"/>
      <c r="AW74" s="221"/>
      <c r="AX74" s="221"/>
      <c r="AY74" s="221"/>
      <c r="AZ74" s="221"/>
      <c r="BA74" s="221"/>
      <c r="BB74" s="221"/>
    </row>
    <row r="75" spans="4:79" x14ac:dyDescent="0.25">
      <c r="AU75" s="221"/>
      <c r="AV75" s="221"/>
      <c r="AW75" s="221"/>
      <c r="AX75" s="221"/>
      <c r="AY75" s="221"/>
      <c r="AZ75" s="221"/>
      <c r="BA75" s="221"/>
      <c r="BB75" s="221"/>
    </row>
    <row r="81" customFormat="1" ht="13.25" customHeigh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08">
    <mergeCell ref="AY63:BB63"/>
    <mergeCell ref="BC63:BF63"/>
    <mergeCell ref="BJ63:BM63"/>
    <mergeCell ref="BN63:BQ63"/>
    <mergeCell ref="BR63:BU63"/>
    <mergeCell ref="BV63:BY63"/>
    <mergeCell ref="B63:C63"/>
    <mergeCell ref="D63:F63"/>
    <mergeCell ref="G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BZ61:CC61"/>
    <mergeCell ref="B62:C62"/>
    <mergeCell ref="D62:F62"/>
    <mergeCell ref="G62:J62"/>
    <mergeCell ref="K62:N62"/>
    <mergeCell ref="O62:R62"/>
    <mergeCell ref="S62:V62"/>
    <mergeCell ref="AY62:BB62"/>
    <mergeCell ref="BC62:BF62"/>
    <mergeCell ref="BJ62:BM62"/>
    <mergeCell ref="BN62:BQ62"/>
    <mergeCell ref="BR62:BU62"/>
    <mergeCell ref="W62:Z62"/>
    <mergeCell ref="AA62:AD62"/>
    <mergeCell ref="AE62:AH62"/>
    <mergeCell ref="AI62:AL62"/>
    <mergeCell ref="AM62:AP62"/>
    <mergeCell ref="BZ63:CC63"/>
    <mergeCell ref="BV62:BY62"/>
    <mergeCell ref="BZ62:CC62"/>
    <mergeCell ref="AQ61:AT61"/>
    <mergeCell ref="AU61:AX61"/>
    <mergeCell ref="AY61:BB61"/>
    <mergeCell ref="BC61:BF61"/>
    <mergeCell ref="BJ61:BM61"/>
    <mergeCell ref="BN61:BQ61"/>
    <mergeCell ref="AQ62:AT62"/>
    <mergeCell ref="BR61:BU61"/>
    <mergeCell ref="BV61:BY61"/>
    <mergeCell ref="AU62:AX62"/>
    <mergeCell ref="D61:F61"/>
    <mergeCell ref="G61:J61"/>
    <mergeCell ref="K61:N61"/>
    <mergeCell ref="O61:R61"/>
    <mergeCell ref="AM60:AP60"/>
    <mergeCell ref="S61:V61"/>
    <mergeCell ref="W61:Z61"/>
    <mergeCell ref="AA61:AD61"/>
    <mergeCell ref="AE61:AH61"/>
    <mergeCell ref="AI61:AL61"/>
    <mergeCell ref="AM61:AP61"/>
    <mergeCell ref="CZ3:CZ4"/>
    <mergeCell ref="DA3:DA4"/>
    <mergeCell ref="A5:A13"/>
    <mergeCell ref="A46:A47"/>
    <mergeCell ref="A48:A58"/>
    <mergeCell ref="A60:A63"/>
    <mergeCell ref="B60:C60"/>
    <mergeCell ref="D60:F60"/>
    <mergeCell ref="G60:J60"/>
    <mergeCell ref="AQ60:AT60"/>
    <mergeCell ref="AU60:AX60"/>
    <mergeCell ref="AY60:BB60"/>
    <mergeCell ref="BC60:BF60"/>
    <mergeCell ref="BJ60:BM60"/>
    <mergeCell ref="O60:R60"/>
    <mergeCell ref="S60:V60"/>
    <mergeCell ref="W60:Z60"/>
    <mergeCell ref="AA60:AD60"/>
    <mergeCell ref="AE60:AH60"/>
    <mergeCell ref="BN60:BQ60"/>
    <mergeCell ref="BR60:BU60"/>
    <mergeCell ref="BV60:BY60"/>
    <mergeCell ref="BZ60:CC60"/>
    <mergeCell ref="B61:C61"/>
    <mergeCell ref="CU3:CU4"/>
    <mergeCell ref="CV3:CV4"/>
    <mergeCell ref="CW3:CW4"/>
    <mergeCell ref="CX3:CX4"/>
    <mergeCell ref="CY3:CY4"/>
    <mergeCell ref="CO3:CO4"/>
    <mergeCell ref="CP3:CP4"/>
    <mergeCell ref="CQ3:CQ4"/>
    <mergeCell ref="CR3:CR4"/>
    <mergeCell ref="CS3:CS4"/>
    <mergeCell ref="CT3:CT4"/>
    <mergeCell ref="CI3:CI4"/>
    <mergeCell ref="CJ3:CJ4"/>
    <mergeCell ref="CK3:CK4"/>
    <mergeCell ref="CL3:CL4"/>
    <mergeCell ref="CM3:CM4"/>
    <mergeCell ref="CN3:CN4"/>
    <mergeCell ref="K60:N60"/>
    <mergeCell ref="AI60:AL60"/>
    <mergeCell ref="BW3:BW4"/>
    <mergeCell ref="BX3:BX4"/>
    <mergeCell ref="BY3:BY4"/>
    <mergeCell ref="BZ3:BZ4"/>
    <mergeCell ref="CD3:CD4"/>
    <mergeCell ref="CE3:CE4"/>
    <mergeCell ref="CF3:CF4"/>
    <mergeCell ref="CG3:CG4"/>
    <mergeCell ref="CH3:CH4"/>
    <mergeCell ref="CA3:CA4"/>
    <mergeCell ref="CB3:CB4"/>
    <mergeCell ref="CC3:CC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B3:BB4"/>
    <mergeCell ref="BC3:BC4"/>
    <mergeCell ref="BG3:BG4"/>
    <mergeCell ref="BH3:BH4"/>
    <mergeCell ref="BI3:BI4"/>
    <mergeCell ref="BJ3:BJ4"/>
    <mergeCell ref="BK3:BK4"/>
    <mergeCell ref="BL3:BL4"/>
    <mergeCell ref="BM3:BM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CY2:DA2"/>
    <mergeCell ref="D3:D4"/>
    <mergeCell ref="E3:E4"/>
    <mergeCell ref="F3:F4"/>
    <mergeCell ref="G3:G4"/>
    <mergeCell ref="H3:H4"/>
    <mergeCell ref="I3:I4"/>
    <mergeCell ref="AY2:BB2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W2:Z2"/>
    <mergeCell ref="AU2:AX2"/>
    <mergeCell ref="A1:CC1"/>
    <mergeCell ref="A2:A4"/>
    <mergeCell ref="B2:B4"/>
    <mergeCell ref="C2:C4"/>
    <mergeCell ref="D2:F2"/>
    <mergeCell ref="G2:J2"/>
    <mergeCell ref="K2:N2"/>
    <mergeCell ref="O2:R2"/>
    <mergeCell ref="S2:V2"/>
    <mergeCell ref="BC2:BF2"/>
    <mergeCell ref="BG2:BI2"/>
    <mergeCell ref="BJ2:BM2"/>
    <mergeCell ref="BN2:BQ2"/>
    <mergeCell ref="BR2:BU2"/>
    <mergeCell ref="AA2:AD2"/>
    <mergeCell ref="AE2:AH2"/>
    <mergeCell ref="AI2:AL2"/>
    <mergeCell ref="AM2:AP2"/>
    <mergeCell ref="AQ2:AT2"/>
    <mergeCell ref="BV2:BY2"/>
    <mergeCell ref="BZ2:CC2"/>
    <mergeCell ref="Z3:Z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7F45C-002A-40C1-A666-64239E7FBD37}">
  <sheetPr>
    <tabColor rgb="FFFFFF00"/>
  </sheetPr>
  <dimension ref="A1:DI426"/>
  <sheetViews>
    <sheetView workbookViewId="0">
      <pane xSplit="3" ySplit="4" topLeftCell="CU29" activePane="bottomRight" state="frozen"/>
      <selection pane="topRight" activeCell="D1" sqref="D1"/>
      <selection pane="bottomLeft" activeCell="A5" sqref="A5"/>
      <selection pane="bottomRight" activeCell="DD48" sqref="DD48:DE57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8.54296875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8" width="8" bestFit="1" customWidth="1"/>
    <col min="9" max="9" width="8.81640625" bestFit="1" customWidth="1"/>
    <col min="10" max="10" width="8" bestFit="1" customWidth="1"/>
    <col min="11" max="11" width="13.453125" bestFit="1" customWidth="1"/>
    <col min="12" max="12" width="11.9062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4.6328125" bestFit="1" customWidth="1"/>
    <col min="75" max="75" width="11.08984375" bestFit="1" customWidth="1"/>
    <col min="76" max="77" width="8.81640625" bestFit="1" customWidth="1"/>
    <col min="78" max="78" width="14.6328125" bestFit="1" customWidth="1"/>
    <col min="79" max="79" width="12.08984375" bestFit="1" customWidth="1"/>
    <col min="80" max="81" width="8.81640625" bestFit="1" customWidth="1"/>
    <col min="82" max="82" width="14.6328125" bestFit="1" customWidth="1"/>
    <col min="83" max="83" width="11.81640625" customWidth="1"/>
    <col min="84" max="85" width="8.81640625" bestFit="1" customWidth="1"/>
    <col min="86" max="93" width="11.1796875" customWidth="1"/>
    <col min="94" max="94" width="11.1796875" bestFit="1" customWidth="1"/>
    <col min="95" max="95" width="13" customWidth="1"/>
    <col min="96" max="96" width="15.453125" customWidth="1"/>
    <col min="99" max="99" width="10.1796875" customWidth="1"/>
  </cols>
  <sheetData>
    <row r="1" spans="1:113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13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392"/>
      <c r="CU2" s="392"/>
      <c r="CV2" s="392"/>
      <c r="CW2" s="392"/>
      <c r="CX2" s="392"/>
      <c r="CY2" s="392"/>
      <c r="CZ2" s="392"/>
      <c r="DA2" s="392"/>
      <c r="DB2" s="392"/>
      <c r="DC2" s="392"/>
      <c r="DD2" s="584">
        <v>2020</v>
      </c>
      <c r="DE2" s="585"/>
      <c r="DF2" s="586"/>
    </row>
    <row r="3" spans="1:113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571" t="s">
        <v>63</v>
      </c>
      <c r="CI3" s="571" t="s">
        <v>71</v>
      </c>
      <c r="CJ3" s="571" t="s">
        <v>72</v>
      </c>
      <c r="CK3" s="571" t="s">
        <v>73</v>
      </c>
      <c r="CL3" s="571" t="s">
        <v>74</v>
      </c>
      <c r="CM3" s="571" t="s">
        <v>75</v>
      </c>
      <c r="CN3" s="571" t="s">
        <v>62</v>
      </c>
      <c r="CO3" s="571" t="s">
        <v>64</v>
      </c>
      <c r="CP3" s="571" t="s">
        <v>65</v>
      </c>
      <c r="CQ3" s="571" t="s">
        <v>66</v>
      </c>
      <c r="CR3" s="571" t="s">
        <v>67</v>
      </c>
      <c r="CS3" s="571" t="s">
        <v>76</v>
      </c>
      <c r="CT3" s="571" t="s">
        <v>77</v>
      </c>
      <c r="CU3" s="571" t="s">
        <v>78</v>
      </c>
      <c r="CV3" s="571" t="s">
        <v>79</v>
      </c>
      <c r="CW3" s="571" t="s">
        <v>108</v>
      </c>
      <c r="CX3" s="571" t="s">
        <v>98</v>
      </c>
      <c r="CY3" s="571" t="s">
        <v>99</v>
      </c>
      <c r="CZ3" s="571" t="s">
        <v>100</v>
      </c>
      <c r="DA3" s="571" t="s">
        <v>101</v>
      </c>
      <c r="DB3" s="571" t="s">
        <v>117</v>
      </c>
      <c r="DC3" s="571" t="s">
        <v>118</v>
      </c>
      <c r="DD3" s="490" t="s">
        <v>56</v>
      </c>
      <c r="DE3" s="490" t="s">
        <v>57</v>
      </c>
      <c r="DF3" s="490" t="s">
        <v>58</v>
      </c>
    </row>
    <row r="4" spans="1:113" ht="26.25" customHeight="1" x14ac:dyDescent="0.3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572"/>
      <c r="CI4" s="572"/>
      <c r="CJ4" s="572"/>
      <c r="CK4" s="572"/>
      <c r="CL4" s="572"/>
      <c r="CM4" s="572"/>
      <c r="CN4" s="572"/>
      <c r="CO4" s="572"/>
      <c r="CP4" s="572"/>
      <c r="CQ4" s="572"/>
      <c r="CR4" s="572"/>
      <c r="CS4" s="572"/>
      <c r="CT4" s="572"/>
      <c r="CU4" s="572"/>
      <c r="CV4" s="572"/>
      <c r="CW4" s="572"/>
      <c r="CX4" s="572"/>
      <c r="CY4" s="572"/>
      <c r="CZ4" s="572"/>
      <c r="DA4" s="572"/>
      <c r="DB4" s="572"/>
      <c r="DC4" s="572"/>
      <c r="DD4" s="491"/>
      <c r="DE4" s="491"/>
      <c r="DF4" s="491"/>
      <c r="DH4" s="1" t="s">
        <v>115</v>
      </c>
      <c r="DI4" s="1" t="s">
        <v>116</v>
      </c>
    </row>
    <row r="5" spans="1:113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321">
        <f t="shared" ref="CH5:CH12" si="0">IF(D5=0,0,2001-(D5-F5)*C5/D5)</f>
        <v>1999.6451111805941</v>
      </c>
      <c r="CI5" s="333">
        <f t="shared" ref="CI5:CI12" si="1">IF((1-($DD$2-$CH5)/$C5)&gt;0,(1-($DD$2-$CH5)/$C5),0)</f>
        <v>0</v>
      </c>
      <c r="CJ5" s="333">
        <f t="shared" ref="CJ5:CJ12" si="2">IF((1-($DD$2-G$2)/$C5)&gt;0,(1-($DD$2-G$2)/$C5),0)</f>
        <v>0</v>
      </c>
      <c r="CK5" s="333">
        <f t="shared" ref="CK5:CK12" si="3">IF((1-($DD$2-K$2)/$C5)&gt;0,(1-($DD$2-K$2)/$C5),0)</f>
        <v>0</v>
      </c>
      <c r="CL5" s="333">
        <f t="shared" ref="CL5:CL12" si="4">IF((1-($DD$2-O$2)/$C5)&gt;0,(1-($DD$2-O$2)/$C5),0)</f>
        <v>0</v>
      </c>
      <c r="CM5" s="333">
        <f t="shared" ref="CM5:CM12" si="5">IF((1-($DD$2-S$2)/$C5)&gt;0,(1-($DD$2-S$2)/$C5),0)</f>
        <v>0</v>
      </c>
      <c r="CN5" s="333">
        <f t="shared" ref="CN5:CN12" si="6">IF((1-($DD$2-W$2)/$C5)&gt;0,(1-($DD$2-W$2)/$C5),0)</f>
        <v>0</v>
      </c>
      <c r="CO5" s="333">
        <f t="shared" ref="CO5:CO12" si="7">IF((1-($DD$2-AA$2)/$C5)&gt;0,(1-($DD$2-AA$2)/$C5),0)</f>
        <v>0</v>
      </c>
      <c r="CP5" s="333">
        <f t="shared" ref="CP5:CP12" si="8">IF((1-($DD$2-AE$2)/$C5)&gt;0,(1-($DD$2-AE$2)/$C5),0)</f>
        <v>0</v>
      </c>
      <c r="CQ5" s="333">
        <f t="shared" ref="CQ5:CQ12" si="9">IF((1-($DD$2-AI$2)/$C5)&gt;0,(1-($DD$2-AI$2)/$C5),0)</f>
        <v>0</v>
      </c>
      <c r="CR5" s="333">
        <f t="shared" ref="CR5:CR12" si="10">IF((1-($DD$2-AM$2)/$C5)&gt;0,(1-($DD$2-AM$2)/$C5),0)</f>
        <v>0</v>
      </c>
      <c r="CS5" s="333">
        <f t="shared" ref="CS5:CS12" si="11">IF((1-($DD$2-AQ$2)/$C5)&gt;0,(1-($DD$2-AQ$2)/$C5),0)</f>
        <v>0</v>
      </c>
      <c r="CT5" s="333">
        <f t="shared" ref="CT5:CT12" si="12">IF((1-($DD$2-AU$2)/$C5)&gt;0,(1-($DD$2-AU$2)/$C5),0)</f>
        <v>0</v>
      </c>
      <c r="CU5" s="333">
        <f t="shared" ref="CU5:CU12" si="13">IF((1-($DD$2-AY$2)/$C5)&gt;0,(1-($DD$2-AY$2)/$C5),0)</f>
        <v>0</v>
      </c>
      <c r="CV5" s="333">
        <f t="shared" ref="CV5:CV12" si="14">IF((1-($DD$2-BC$2)/$C5)&gt;0,(1-($DD$2-BC$2)/$C5),0)</f>
        <v>0</v>
      </c>
      <c r="CW5" s="333">
        <f t="shared" ref="CW5:CW12" si="15">IF(BG5=0,0,1-($DD$2-(2014.5-(BG5-BI5)*C5/BG5))/C5)</f>
        <v>0</v>
      </c>
      <c r="CX5" s="333">
        <f t="shared" ref="CX5:CX12" si="16">IF((1-($DD$2-BJ$2)/$C5)&gt;0,(1-($DD$2-BJ$2)/$C5),0)</f>
        <v>0</v>
      </c>
      <c r="CY5" s="333">
        <f t="shared" ref="CY5:CY12" si="17">IF((1-($DD$2-BN$2)/$C5)&gt;0,(1-($DD$2-BN$2)/$C5),0)</f>
        <v>0</v>
      </c>
      <c r="CZ5" s="333">
        <f t="shared" ref="CZ5:CZ12" si="18">IF((1-($DD$2-BR$2)/$C5)&gt;0,(1-($DD$2-BR$2)/$C5),0)</f>
        <v>0.25</v>
      </c>
      <c r="DA5" s="333">
        <f t="shared" ref="DA5:DA12" si="19">IF((1-($DD$2-BV$2)/$C5)&gt;0,(1-($DD$2-BV$2)/$C5),0)</f>
        <v>0.5</v>
      </c>
      <c r="DB5" s="333">
        <f t="shared" ref="DB5:DB12" si="20">IF((1-($DD$2-BZ$2)/$C5)&gt;0,(1-($DD$2-BZ$2)/$C5),0)</f>
        <v>0.75</v>
      </c>
      <c r="DC5" s="333">
        <f t="shared" ref="DC5:DC12" si="21">IF((1-($DD$2-CD$2)/$C5)&gt;0,(1-($DD$2-CD$2)/$C5),0)</f>
        <v>1</v>
      </c>
      <c r="DD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</f>
        <v>9339768.8317265417</v>
      </c>
      <c r="DE5" s="334">
        <f>IF(CI5=0,D5-E5,0)+IF(CJ5=0,(G5-H5-I5)*G$60,0)+IF(CK5=0,(K5-L5-M5)*K$60,0)+IF(CL5=0,(O5-P5-Q5)*O$60,0)+IF(CM5=0,(S5-T5-U5)*S$60,0)+IF(CN5=0,(W5-X5-Y5)*W$60,0)+IF(CO5=0,(AA5-AB5-AC5)*AA$60,0)+IF(CP5=0,(AE5-AF5-AG5)*AE$60,0)+IF(CQ5=0,(AI5-AJ5-AK5)*AI$60,0)+IF(CR5=0,(AM5-AN5-AO5)*AM$60,0)+IF(CS5=0,(AQ5-AR5-AS5)*$AQ$60,0)+IF(CT5=0,(AU5-AV5-AW5)*$AU$60,0)+IF(CU5=0,(AY5-AZ5-BA5)*$AY$60,0)++IF(CV5=0,(BC5-BD5-BE5)*$BC$60,0)+IF(CX5=0,(BJ5-BK5-BL5)*$BJ$60,0)+IF(CW5=0,BG5,0)+IF(CY5=0,(BN5-BO5-BP5)*$BN$60,0)+IF(CZ5=0,(BR5-BS5-BT5)*$BR$60,0)+IF(DA5=0,(BV5-BW5-BX5)*$BV$60,0)+IF(DB5=0,(BZ5-CA5-CB5)*$BZ$60,0)+IF(DC5=0,(CD5-CE5-CF5)*$CD$60,0)</f>
        <v>4438798.589851778</v>
      </c>
      <c r="DF5" s="334">
        <f>(D5-E5)*CI5+((G5-H5-(I5-J5))*G$60)*CJ5+((K5-L5-(M5-N5))*K$60)*CK5+((O5-P5-(Q5-R5))*O$60)*CL5+((S5-T5-(U5-V5))*S$60)*CM5+((W5-X5-(Y5-Z5))*W$60)*CN5+((AA5-AB5-(AC5-AD5))*AA$60)*CO5+((AE5-AF5-(AG5-AH5))*AE$60)*CP5+((AI5-AJ5-(AK5-AL5))*AI$60)*CQ5+((AM5-AN5-(AO5-AP5))*$AM$60)*CR5+((AQ5-AR5-(AS5-AT5))*$AQ$60)*CS5+((AU5-AV5-(AW5-AX5))*$AU$60)*CT5+((AY5-AZ5-(BA5-BB5))*$AY$60)*CU5+((BC5-BD5-(BE5-BF5))*$BC$60)*CV5+((BJ5-BK5-(BL5-BM5))*$BJ$60)*CX5+(BG5-BH5)*CW5+((BN5-BO5-(BP5-BQ5))*$BN$60)*CY5+((BR5-BS5-(BT5-BU5))*$BR$60)*CZ5+((BV5-BW5-(BX5-BY5))*$BV$60)*DA5+((BZ5-CA5-(CB5-CC5))*$BZ$60)*DB5+((CD5-CE5-(CF5-CG5))*$CD$60)*DC5</f>
        <v>3246561.8912186916</v>
      </c>
      <c r="DH5" s="220">
        <f>+DD5-DE5</f>
        <v>4900970.2418747637</v>
      </c>
      <c r="DI5" s="299">
        <f>+M5+Q5+U5+Y5+AC5+AG5+AK5+AO5+AS5++AW5+BA5+BE5+BL5+BP5+BT5+BX5-CB5-CF5</f>
        <v>0</v>
      </c>
    </row>
    <row r="6" spans="1:113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321">
        <f t="shared" si="0"/>
        <v>2001</v>
      </c>
      <c r="CI6" s="333">
        <f t="shared" si="1"/>
        <v>0.98099999999999998</v>
      </c>
      <c r="CJ6" s="333">
        <f t="shared" si="2"/>
        <v>0.98199999999999998</v>
      </c>
      <c r="CK6" s="333">
        <f t="shared" si="3"/>
        <v>0.98299999999999998</v>
      </c>
      <c r="CL6" s="333">
        <f t="shared" si="4"/>
        <v>0.98399999999999999</v>
      </c>
      <c r="CM6" s="333">
        <f t="shared" si="5"/>
        <v>0.98499999999999999</v>
      </c>
      <c r="CN6" s="333">
        <f t="shared" si="6"/>
        <v>0.98599999999999999</v>
      </c>
      <c r="CO6" s="333">
        <f t="shared" si="7"/>
        <v>0.98699999999999999</v>
      </c>
      <c r="CP6" s="333">
        <f t="shared" si="8"/>
        <v>0.98799999999999999</v>
      </c>
      <c r="CQ6" s="333">
        <f t="shared" si="9"/>
        <v>0.98899999999999999</v>
      </c>
      <c r="CR6" s="333">
        <f t="shared" si="10"/>
        <v>0.99</v>
      </c>
      <c r="CS6" s="333">
        <f t="shared" si="11"/>
        <v>0.99099999999999999</v>
      </c>
      <c r="CT6" s="333">
        <f t="shared" si="12"/>
        <v>0.99199999999999999</v>
      </c>
      <c r="CU6" s="333">
        <f t="shared" si="13"/>
        <v>0.99299999999999999</v>
      </c>
      <c r="CV6" s="333">
        <f t="shared" si="14"/>
        <v>0.99399999999999999</v>
      </c>
      <c r="CW6" s="333">
        <f t="shared" si="15"/>
        <v>0.99450000000000005</v>
      </c>
      <c r="CX6" s="333">
        <f t="shared" si="16"/>
        <v>0.995</v>
      </c>
      <c r="CY6" s="333">
        <f t="shared" si="17"/>
        <v>0.996</v>
      </c>
      <c r="CZ6" s="333">
        <f t="shared" si="18"/>
        <v>0.997</v>
      </c>
      <c r="DA6" s="333">
        <f t="shared" si="19"/>
        <v>0.998</v>
      </c>
      <c r="DB6" s="333">
        <f t="shared" si="20"/>
        <v>0.999</v>
      </c>
      <c r="DC6" s="333">
        <f t="shared" si="21"/>
        <v>1</v>
      </c>
      <c r="DD6" s="334">
        <f t="shared" ref="DD6:DD12" si="22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</f>
        <v>1314125.0854951243</v>
      </c>
      <c r="DE6" s="334">
        <f t="shared" ref="DE6:DE12" si="23">IF(CI6=0,D6-E6,0)+IF(CJ6=0,(G6-H6-I6)*G$60,0)+IF(CK6=0,(K6-L6-M6)*K$60,0)+IF(CL6=0,(O6-P6-Q6)*O$60,0)+IF(CM6=0,(S6-T6-U6)*S$60,0)+IF(CN6=0,(W6-X6-Y6)*W$60,0)+IF(CO6=0,(AA6-AB6-AC6)*AA$60,0)+IF(CP6=0,(AE6-AF6-AG6)*AE$60,0)+IF(CQ6=0,(AI6-AJ6-AK6)*AI$60,0)+IF(CR6=0,(AM6-AN6-AO6)*AM$60,0)+IF(CS6=0,(AQ6-AR6-AS6)*$AQ$60,0)+IF(CT6=0,(AU6-AV6-AW6)*$AU$60,0)+IF(CU6=0,(AY6-AZ6-BA6)*$AY$60,0)++IF(CV6=0,(BC6-BD6-BE6)*$BC$60,0)+IF(CX6=0,(BJ6-BK6-BL6)*$BJ$60,0)+IF(CW6=0,BG6,0)+IF(CY6=0,(BN6-BO6-BP6)*$BN$60,0)+IF(CZ6=0,(BR6-BS6-BT6)*$BR$60,0)+IF(DA6=0,(BV6-BW6-BX6)*$BV$60,0)+IF(DB6=0,(BZ6-CA6-CB6)*$BZ$60,0)+IF(DC6=0,(CD6-CE6-CF6)*$CD$60,0)</f>
        <v>0</v>
      </c>
      <c r="DF6" s="334">
        <f t="shared" ref="DF6:DF12" si="24">(D6-E6)*CI6+((G6-H6-(I6-J6))*G$60)*CJ6+((K6-L6-(M6-N6))*K$60)*CK6+((O6-P6-(Q6-R6))*O$60)*CL6+((S6-T6-(U6-V6))*S$60)*CM6+((W6-X6-(Y6-Z6))*W$60)*CN6+((AA6-AB6-(AC6-AD6))*AA$60)*CO6+((AE6-AF6-(AG6-AH6))*AE$60)*CP6+((AI6-AJ6-(AK6-AL6))*AI$60)*CQ6+((AM6-AN6-(AO6-AP6))*$AM$60)*CR6+((AQ6-AR6-(AS6-AT6))*$AQ$60)*CS6+((AU6-AV6-(AW6-AX6))*$AU$60)*CT6+((AY6-AZ6-(BA6-BB6))*$AY$60)*CU6+((BC6-BD6-(BE6-BF6))*$BC$60)*CV6+((BJ6-BK6-(BL6-BM6))*$BJ$60)*CX6+(BG6-BH6)*CW6+((BN6-BO6-(BP6-BQ6))*$BN$60)*CY6+((BR6-BS6-(BT6-BU6))*$BR$60)*CZ6+((BV6-BW6-(BX6-BY6))*$BV$60)*DA6+((BZ6-CA6-(CB6-CC6))*$BZ$60)*DB6+((CD6-CE6-(CF6-CG6))*$CD$60)*DC6</f>
        <v>1306184.563185073</v>
      </c>
      <c r="DH6" s="220">
        <f t="shared" ref="DH6:DH59" si="25">+DD6-DE6</f>
        <v>1314125.0854951243</v>
      </c>
      <c r="DI6" s="299">
        <f t="shared" ref="DI6:DI59" si="26">+M6+Q6+U6+Y6+AC6+AG6+AK6+AO6+AS6++AW6+BA6+BE6+BL6+BP6+BT6+BX6-CB6-CF6</f>
        <v>0</v>
      </c>
    </row>
    <row r="7" spans="1:113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321">
        <f t="shared" si="0"/>
        <v>1985.8657049273502</v>
      </c>
      <c r="CI7" s="333">
        <f t="shared" si="1"/>
        <v>0.14664262318375454</v>
      </c>
      <c r="CJ7" s="333">
        <f t="shared" si="2"/>
        <v>0.55000000000000004</v>
      </c>
      <c r="CK7" s="333">
        <f t="shared" si="3"/>
        <v>0.57499999999999996</v>
      </c>
      <c r="CL7" s="333">
        <f t="shared" si="4"/>
        <v>0.6</v>
      </c>
      <c r="CM7" s="333">
        <f t="shared" si="5"/>
        <v>0.625</v>
      </c>
      <c r="CN7" s="333">
        <f t="shared" si="6"/>
        <v>0.65</v>
      </c>
      <c r="CO7" s="333">
        <f t="shared" si="7"/>
        <v>0.67500000000000004</v>
      </c>
      <c r="CP7" s="333">
        <f t="shared" si="8"/>
        <v>0.7</v>
      </c>
      <c r="CQ7" s="333">
        <f t="shared" si="9"/>
        <v>0.72499999999999998</v>
      </c>
      <c r="CR7" s="333">
        <f t="shared" si="10"/>
        <v>0.75</v>
      </c>
      <c r="CS7" s="333">
        <f t="shared" si="11"/>
        <v>0.77500000000000002</v>
      </c>
      <c r="CT7" s="333">
        <f t="shared" si="12"/>
        <v>0.8</v>
      </c>
      <c r="CU7" s="333">
        <f t="shared" si="13"/>
        <v>0.82499999999999996</v>
      </c>
      <c r="CV7" s="333">
        <f t="shared" si="14"/>
        <v>0.85</v>
      </c>
      <c r="CW7" s="333">
        <f t="shared" si="15"/>
        <v>0.86250000000000004</v>
      </c>
      <c r="CX7" s="333">
        <f t="shared" si="16"/>
        <v>0.875</v>
      </c>
      <c r="CY7" s="333">
        <f t="shared" si="17"/>
        <v>0.9</v>
      </c>
      <c r="CZ7" s="333">
        <f t="shared" si="18"/>
        <v>0.92500000000000004</v>
      </c>
      <c r="DA7" s="333">
        <f t="shared" si="19"/>
        <v>0.95</v>
      </c>
      <c r="DB7" s="333">
        <f t="shared" si="20"/>
        <v>0.97499999999999998</v>
      </c>
      <c r="DC7" s="333">
        <f t="shared" si="21"/>
        <v>1</v>
      </c>
      <c r="DD7" s="334">
        <f t="shared" si="22"/>
        <v>1660884.9416337118</v>
      </c>
      <c r="DE7" s="334">
        <f t="shared" si="23"/>
        <v>0</v>
      </c>
      <c r="DF7" s="334">
        <f t="shared" si="24"/>
        <v>595857.55092974834</v>
      </c>
      <c r="DH7" s="220">
        <f t="shared" si="25"/>
        <v>1660884.9416337118</v>
      </c>
      <c r="DI7" s="299">
        <f t="shared" si="26"/>
        <v>0</v>
      </c>
    </row>
    <row r="8" spans="1:113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321">
        <f t="shared" si="0"/>
        <v>1994.501126969511</v>
      </c>
      <c r="CI8" s="333">
        <f t="shared" si="1"/>
        <v>0</v>
      </c>
      <c r="CJ8" s="333">
        <f t="shared" si="2"/>
        <v>0</v>
      </c>
      <c r="CK8" s="333">
        <f t="shared" si="3"/>
        <v>0</v>
      </c>
      <c r="CL8" s="333">
        <f t="shared" si="4"/>
        <v>0</v>
      </c>
      <c r="CM8" s="333">
        <f t="shared" si="5"/>
        <v>0</v>
      </c>
      <c r="CN8" s="333">
        <f t="shared" si="6"/>
        <v>0</v>
      </c>
      <c r="CO8" s="333">
        <f t="shared" si="7"/>
        <v>0</v>
      </c>
      <c r="CP8" s="333">
        <f t="shared" si="8"/>
        <v>0</v>
      </c>
      <c r="CQ8" s="333">
        <f t="shared" si="9"/>
        <v>0</v>
      </c>
      <c r="CR8" s="333">
        <f t="shared" si="10"/>
        <v>0</v>
      </c>
      <c r="CS8" s="333">
        <f t="shared" si="11"/>
        <v>0</v>
      </c>
      <c r="CT8" s="333">
        <f t="shared" si="12"/>
        <v>0</v>
      </c>
      <c r="CU8" s="333">
        <f t="shared" si="13"/>
        <v>0</v>
      </c>
      <c r="CV8" s="333">
        <f t="shared" si="14"/>
        <v>0.1428571428571429</v>
      </c>
      <c r="CW8" s="333">
        <f t="shared" si="15"/>
        <v>0</v>
      </c>
      <c r="CX8" s="333">
        <f t="shared" si="16"/>
        <v>0.2857142857142857</v>
      </c>
      <c r="CY8" s="333">
        <f t="shared" si="17"/>
        <v>0.4285714285714286</v>
      </c>
      <c r="CZ8" s="333">
        <f t="shared" si="18"/>
        <v>0.5714285714285714</v>
      </c>
      <c r="DA8" s="333">
        <f t="shared" si="19"/>
        <v>0.7142857142857143</v>
      </c>
      <c r="DB8" s="333">
        <f t="shared" si="20"/>
        <v>0.85714285714285721</v>
      </c>
      <c r="DC8" s="333">
        <f t="shared" si="21"/>
        <v>1</v>
      </c>
      <c r="DD8" s="334">
        <f t="shared" si="22"/>
        <v>1052558.8288791813</v>
      </c>
      <c r="DE8" s="334">
        <f t="shared" si="23"/>
        <v>1017335.5550798584</v>
      </c>
      <c r="DF8" s="334">
        <f t="shared" si="24"/>
        <v>20088.420615002775</v>
      </c>
      <c r="DH8" s="220">
        <f t="shared" si="25"/>
        <v>35223.273799322895</v>
      </c>
      <c r="DI8" s="299">
        <f t="shared" si="26"/>
        <v>0</v>
      </c>
    </row>
    <row r="9" spans="1:113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321">
        <f t="shared" si="0"/>
        <v>1997.9397485452369</v>
      </c>
      <c r="CI9" s="333">
        <f t="shared" si="1"/>
        <v>0</v>
      </c>
      <c r="CJ9" s="333">
        <f t="shared" si="2"/>
        <v>0</v>
      </c>
      <c r="CK9" s="333">
        <f t="shared" si="3"/>
        <v>0</v>
      </c>
      <c r="CL9" s="333">
        <f t="shared" si="4"/>
        <v>0</v>
      </c>
      <c r="CM9" s="333">
        <f t="shared" si="5"/>
        <v>0</v>
      </c>
      <c r="CN9" s="333">
        <f t="shared" si="6"/>
        <v>0</v>
      </c>
      <c r="CO9" s="333">
        <f t="shared" si="7"/>
        <v>0</v>
      </c>
      <c r="CP9" s="333">
        <f t="shared" si="8"/>
        <v>0</v>
      </c>
      <c r="CQ9" s="333">
        <f t="shared" si="9"/>
        <v>0</v>
      </c>
      <c r="CR9" s="333">
        <f t="shared" si="10"/>
        <v>0</v>
      </c>
      <c r="CS9" s="333">
        <f t="shared" si="11"/>
        <v>0</v>
      </c>
      <c r="CT9" s="333">
        <f t="shared" si="12"/>
        <v>0</v>
      </c>
      <c r="CU9" s="333">
        <f t="shared" si="13"/>
        <v>0</v>
      </c>
      <c r="CV9" s="333">
        <f t="shared" si="14"/>
        <v>0</v>
      </c>
      <c r="CW9" s="333">
        <f t="shared" si="15"/>
        <v>0</v>
      </c>
      <c r="CX9" s="333">
        <f t="shared" si="16"/>
        <v>0</v>
      </c>
      <c r="CY9" s="333">
        <f t="shared" si="17"/>
        <v>0</v>
      </c>
      <c r="CZ9" s="333">
        <f t="shared" si="18"/>
        <v>0.25</v>
      </c>
      <c r="DA9" s="333">
        <f t="shared" si="19"/>
        <v>0.5</v>
      </c>
      <c r="DB9" s="333">
        <f t="shared" si="20"/>
        <v>0.75</v>
      </c>
      <c r="DC9" s="333">
        <f t="shared" si="21"/>
        <v>1</v>
      </c>
      <c r="DD9" s="334">
        <f t="shared" si="22"/>
        <v>2186749.5246091885</v>
      </c>
      <c r="DE9" s="334">
        <f t="shared" si="23"/>
        <v>1719393.2318830094</v>
      </c>
      <c r="DF9" s="334">
        <f t="shared" si="24"/>
        <v>312033.42668154486</v>
      </c>
      <c r="DH9" s="220">
        <f t="shared" si="25"/>
        <v>467356.29272617912</v>
      </c>
      <c r="DI9" s="299">
        <f t="shared" si="26"/>
        <v>0</v>
      </c>
    </row>
    <row r="10" spans="1:113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321">
        <f t="shared" si="0"/>
        <v>1996.8815287911268</v>
      </c>
      <c r="CI10" s="333">
        <f t="shared" si="1"/>
        <v>0</v>
      </c>
      <c r="CJ10" s="333">
        <f t="shared" si="2"/>
        <v>0</v>
      </c>
      <c r="CK10" s="333">
        <f t="shared" si="3"/>
        <v>0</v>
      </c>
      <c r="CL10" s="333">
        <f t="shared" si="4"/>
        <v>0</v>
      </c>
      <c r="CM10" s="333">
        <f t="shared" si="5"/>
        <v>0</v>
      </c>
      <c r="CN10" s="333">
        <f t="shared" si="6"/>
        <v>0</v>
      </c>
      <c r="CO10" s="333">
        <f t="shared" si="7"/>
        <v>0</v>
      </c>
      <c r="CP10" s="333">
        <f t="shared" si="8"/>
        <v>0</v>
      </c>
      <c r="CQ10" s="333">
        <f t="shared" si="9"/>
        <v>0</v>
      </c>
      <c r="CR10" s="333">
        <f t="shared" si="10"/>
        <v>0</v>
      </c>
      <c r="CS10" s="333">
        <f t="shared" si="11"/>
        <v>0</v>
      </c>
      <c r="CT10" s="333">
        <f t="shared" si="12"/>
        <v>0</v>
      </c>
      <c r="CU10" s="333">
        <f t="shared" si="13"/>
        <v>0</v>
      </c>
      <c r="CV10" s="333">
        <f t="shared" si="14"/>
        <v>0</v>
      </c>
      <c r="CW10" s="333">
        <f t="shared" si="15"/>
        <v>0</v>
      </c>
      <c r="CX10" s="333">
        <f t="shared" si="16"/>
        <v>0</v>
      </c>
      <c r="CY10" s="333">
        <f t="shared" si="17"/>
        <v>0.19999999999999996</v>
      </c>
      <c r="CZ10" s="333">
        <f t="shared" si="18"/>
        <v>0.4</v>
      </c>
      <c r="DA10" s="333">
        <f t="shared" si="19"/>
        <v>0.6</v>
      </c>
      <c r="DB10" s="333">
        <f t="shared" si="20"/>
        <v>0.8</v>
      </c>
      <c r="DC10" s="333">
        <f t="shared" si="21"/>
        <v>1</v>
      </c>
      <c r="DD10" s="334">
        <f t="shared" si="22"/>
        <v>2106488.1793448166</v>
      </c>
      <c r="DE10" s="334">
        <f t="shared" si="23"/>
        <v>1831819.5377837906</v>
      </c>
      <c r="DF10" s="334">
        <f t="shared" si="24"/>
        <v>158883.7283122052</v>
      </c>
      <c r="DH10" s="220">
        <f t="shared" si="25"/>
        <v>274668.64156102599</v>
      </c>
      <c r="DI10" s="299">
        <f t="shared" si="26"/>
        <v>0</v>
      </c>
    </row>
    <row r="11" spans="1:113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321">
        <f t="shared" si="0"/>
        <v>0</v>
      </c>
      <c r="CI11" s="333">
        <f t="shared" si="1"/>
        <v>0</v>
      </c>
      <c r="CJ11" s="333">
        <f t="shared" si="2"/>
        <v>0</v>
      </c>
      <c r="CK11" s="333">
        <f t="shared" si="3"/>
        <v>0</v>
      </c>
      <c r="CL11" s="333">
        <f t="shared" si="4"/>
        <v>0</v>
      </c>
      <c r="CM11" s="333">
        <f t="shared" si="5"/>
        <v>0</v>
      </c>
      <c r="CN11" s="333">
        <f t="shared" si="6"/>
        <v>0</v>
      </c>
      <c r="CO11" s="333">
        <f t="shared" si="7"/>
        <v>0</v>
      </c>
      <c r="CP11" s="333">
        <f t="shared" si="8"/>
        <v>0</v>
      </c>
      <c r="CQ11" s="333">
        <f t="shared" si="9"/>
        <v>0</v>
      </c>
      <c r="CR11" s="333">
        <f t="shared" si="10"/>
        <v>0</v>
      </c>
      <c r="CS11" s="333">
        <f t="shared" si="11"/>
        <v>0</v>
      </c>
      <c r="CT11" s="333">
        <f t="shared" si="12"/>
        <v>0</v>
      </c>
      <c r="CU11" s="333">
        <f t="shared" si="13"/>
        <v>0.125</v>
      </c>
      <c r="CV11" s="333">
        <f t="shared" si="14"/>
        <v>0.25</v>
      </c>
      <c r="CW11" s="333">
        <f t="shared" si="15"/>
        <v>0</v>
      </c>
      <c r="CX11" s="333">
        <f t="shared" si="16"/>
        <v>0.375</v>
      </c>
      <c r="CY11" s="333">
        <f t="shared" si="17"/>
        <v>0.5</v>
      </c>
      <c r="CZ11" s="333">
        <f t="shared" si="18"/>
        <v>0.625</v>
      </c>
      <c r="DA11" s="333">
        <f t="shared" si="19"/>
        <v>0.75</v>
      </c>
      <c r="DB11" s="333">
        <f t="shared" si="20"/>
        <v>0.875</v>
      </c>
      <c r="DC11" s="333">
        <f t="shared" si="21"/>
        <v>1</v>
      </c>
      <c r="DD11" s="334">
        <f t="shared" si="22"/>
        <v>160060.38764167234</v>
      </c>
      <c r="DE11" s="334">
        <f t="shared" si="23"/>
        <v>96481.651983373231</v>
      </c>
      <c r="DF11" s="334">
        <f t="shared" si="24"/>
        <v>19173.601190030931</v>
      </c>
      <c r="DH11" s="220">
        <f t="shared" si="25"/>
        <v>63578.735658299105</v>
      </c>
      <c r="DI11" s="299">
        <f t="shared" si="26"/>
        <v>0</v>
      </c>
    </row>
    <row r="12" spans="1:113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321">
        <f t="shared" si="0"/>
        <v>1992.645817714536</v>
      </c>
      <c r="CI12" s="333">
        <f t="shared" si="1"/>
        <v>0</v>
      </c>
      <c r="CJ12" s="333">
        <f t="shared" si="2"/>
        <v>0</v>
      </c>
      <c r="CK12" s="333">
        <f t="shared" si="3"/>
        <v>0</v>
      </c>
      <c r="CL12" s="333">
        <f t="shared" si="4"/>
        <v>5.8823529411764719E-2</v>
      </c>
      <c r="CM12" s="333">
        <f t="shared" si="5"/>
        <v>0.11764705882352944</v>
      </c>
      <c r="CN12" s="348">
        <f t="shared" si="6"/>
        <v>0.17647058823529416</v>
      </c>
      <c r="CO12" s="333">
        <f t="shared" si="7"/>
        <v>0.23529411764705888</v>
      </c>
      <c r="CP12" s="333">
        <f t="shared" si="8"/>
        <v>0.29411764705882348</v>
      </c>
      <c r="CQ12" s="333">
        <f t="shared" si="9"/>
        <v>0.3529411764705882</v>
      </c>
      <c r="CR12" s="333">
        <f t="shared" si="10"/>
        <v>0.41176470588235292</v>
      </c>
      <c r="CS12" s="333">
        <f t="shared" si="11"/>
        <v>0.47058823529411764</v>
      </c>
      <c r="CT12" s="333">
        <f t="shared" si="12"/>
        <v>0.52941176470588236</v>
      </c>
      <c r="CU12" s="333">
        <f t="shared" si="13"/>
        <v>0.58823529411764708</v>
      </c>
      <c r="CV12" s="333">
        <f t="shared" si="14"/>
        <v>0.64705882352941169</v>
      </c>
      <c r="CW12" s="333">
        <f t="shared" si="15"/>
        <v>0</v>
      </c>
      <c r="CX12" s="333">
        <f t="shared" si="16"/>
        <v>0.70588235294117641</v>
      </c>
      <c r="CY12" s="333">
        <f t="shared" si="17"/>
        <v>0.76470588235294112</v>
      </c>
      <c r="CZ12" s="333">
        <f t="shared" si="18"/>
        <v>0.82352941176470584</v>
      </c>
      <c r="DA12" s="333">
        <f t="shared" si="19"/>
        <v>0.88235294117647056</v>
      </c>
      <c r="DB12" s="333">
        <f t="shared" si="20"/>
        <v>0.94117647058823528</v>
      </c>
      <c r="DC12" s="333">
        <f t="shared" si="21"/>
        <v>1</v>
      </c>
      <c r="DD12" s="334">
        <f t="shared" si="22"/>
        <v>967295.55713017168</v>
      </c>
      <c r="DE12" s="334">
        <f t="shared" si="23"/>
        <v>818282.3085705603</v>
      </c>
      <c r="DF12" s="334">
        <f t="shared" si="24"/>
        <v>42747.881587531061</v>
      </c>
      <c r="DH12" s="220">
        <f t="shared" si="25"/>
        <v>149013.24855961138</v>
      </c>
      <c r="DI12" s="299">
        <f t="shared" si="26"/>
        <v>0</v>
      </c>
    </row>
    <row r="13" spans="1:113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7">SUM(E5:E12)</f>
        <v>0</v>
      </c>
      <c r="F13" s="296">
        <f t="shared" si="27"/>
        <v>3156823.1414713804</v>
      </c>
      <c r="G13" s="296">
        <f t="shared" si="27"/>
        <v>266106.52899199998</v>
      </c>
      <c r="H13" s="296">
        <f t="shared" si="27"/>
        <v>0</v>
      </c>
      <c r="I13" s="296">
        <f t="shared" si="27"/>
        <v>0</v>
      </c>
      <c r="J13" s="296">
        <f t="shared" si="27"/>
        <v>0</v>
      </c>
      <c r="K13" s="296">
        <f t="shared" si="27"/>
        <v>107260.34</v>
      </c>
      <c r="L13" s="296">
        <f t="shared" si="27"/>
        <v>0</v>
      </c>
      <c r="M13" s="296">
        <f t="shared" si="27"/>
        <v>0</v>
      </c>
      <c r="N13" s="296">
        <f t="shared" si="27"/>
        <v>0</v>
      </c>
      <c r="O13" s="296">
        <f t="shared" si="27"/>
        <v>170017.04106100003</v>
      </c>
      <c r="P13" s="296">
        <f t="shared" si="27"/>
        <v>0</v>
      </c>
      <c r="Q13" s="296">
        <f t="shared" si="27"/>
        <v>0</v>
      </c>
      <c r="R13" s="296">
        <f t="shared" si="27"/>
        <v>0</v>
      </c>
      <c r="S13" s="296">
        <f t="shared" si="27"/>
        <v>141552.63</v>
      </c>
      <c r="T13" s="296">
        <f t="shared" si="27"/>
        <v>0</v>
      </c>
      <c r="U13" s="296">
        <f t="shared" si="27"/>
        <v>0</v>
      </c>
      <c r="V13" s="296">
        <f t="shared" si="27"/>
        <v>0</v>
      </c>
      <c r="W13" s="296">
        <f t="shared" si="27"/>
        <v>334246.14000000007</v>
      </c>
      <c r="X13" s="296">
        <f t="shared" si="27"/>
        <v>0</v>
      </c>
      <c r="Y13" s="296">
        <f t="shared" si="27"/>
        <v>0</v>
      </c>
      <c r="Z13" s="296">
        <f t="shared" si="27"/>
        <v>0</v>
      </c>
      <c r="AA13" s="296">
        <f t="shared" si="27"/>
        <v>167868.13</v>
      </c>
      <c r="AB13" s="296">
        <f t="shared" si="27"/>
        <v>0</v>
      </c>
      <c r="AC13" s="296">
        <f t="shared" si="27"/>
        <v>0</v>
      </c>
      <c r="AD13" s="296">
        <f t="shared" si="27"/>
        <v>0</v>
      </c>
      <c r="AE13" s="296">
        <f t="shared" si="27"/>
        <v>132511.28</v>
      </c>
      <c r="AF13" s="296">
        <f t="shared" si="27"/>
        <v>0</v>
      </c>
      <c r="AG13" s="296">
        <f t="shared" si="27"/>
        <v>0</v>
      </c>
      <c r="AH13" s="296">
        <f t="shared" si="27"/>
        <v>0</v>
      </c>
      <c r="AI13" s="296">
        <f t="shared" si="27"/>
        <v>323314.10387699993</v>
      </c>
      <c r="AJ13" s="296">
        <f t="shared" si="27"/>
        <v>0</v>
      </c>
      <c r="AK13" s="296">
        <f t="shared" si="27"/>
        <v>0</v>
      </c>
      <c r="AL13" s="296">
        <f t="shared" si="27"/>
        <v>0</v>
      </c>
      <c r="AM13" s="296">
        <f t="shared" si="27"/>
        <v>91335.93</v>
      </c>
      <c r="AN13" s="296">
        <f t="shared" si="27"/>
        <v>0</v>
      </c>
      <c r="AO13" s="296">
        <f t="shared" si="27"/>
        <v>0</v>
      </c>
      <c r="AP13" s="296">
        <f t="shared" si="27"/>
        <v>0</v>
      </c>
      <c r="AQ13" s="296">
        <f t="shared" si="27"/>
        <v>243514.73</v>
      </c>
      <c r="AR13" s="296">
        <f t="shared" si="27"/>
        <v>0</v>
      </c>
      <c r="AS13" s="296">
        <f t="shared" si="27"/>
        <v>0</v>
      </c>
      <c r="AT13" s="296">
        <f t="shared" si="27"/>
        <v>0</v>
      </c>
      <c r="AU13" s="296">
        <f t="shared" si="27"/>
        <v>0</v>
      </c>
      <c r="AV13" s="296">
        <f t="shared" si="27"/>
        <v>0</v>
      </c>
      <c r="AW13" s="296">
        <f t="shared" si="27"/>
        <v>0</v>
      </c>
      <c r="AX13" s="296">
        <f t="shared" si="27"/>
        <v>0</v>
      </c>
      <c r="AY13" s="296">
        <f t="shared" si="27"/>
        <v>56420.78</v>
      </c>
      <c r="AZ13" s="296">
        <f t="shared" si="27"/>
        <v>0</v>
      </c>
      <c r="BA13" s="296">
        <f t="shared" si="27"/>
        <v>0</v>
      </c>
      <c r="BB13" s="296">
        <f t="shared" si="27"/>
        <v>0</v>
      </c>
      <c r="BC13" s="296">
        <f t="shared" si="27"/>
        <v>1275811.54</v>
      </c>
      <c r="BD13" s="296">
        <f t="shared" si="27"/>
        <v>0</v>
      </c>
      <c r="BE13" s="296">
        <f t="shared" si="27"/>
        <v>0</v>
      </c>
      <c r="BF13" s="296">
        <f t="shared" si="27"/>
        <v>0</v>
      </c>
      <c r="BG13" s="296">
        <f t="shared" si="27"/>
        <v>940000</v>
      </c>
      <c r="BH13" s="296">
        <f t="shared" si="27"/>
        <v>0</v>
      </c>
      <c r="BI13" s="296">
        <f t="shared" si="27"/>
        <v>940000</v>
      </c>
      <c r="BJ13" s="296">
        <f t="shared" si="27"/>
        <v>917175.86</v>
      </c>
      <c r="BK13" s="296">
        <f t="shared" si="27"/>
        <v>0</v>
      </c>
      <c r="BL13" s="296">
        <f t="shared" si="27"/>
        <v>0</v>
      </c>
      <c r="BM13" s="296">
        <f t="shared" si="27"/>
        <v>0</v>
      </c>
      <c r="BN13" s="296">
        <f t="shared" si="27"/>
        <v>1105575.6700000002</v>
      </c>
      <c r="BO13" s="296">
        <f t="shared" si="27"/>
        <v>0</v>
      </c>
      <c r="BP13" s="296">
        <f t="shared" si="27"/>
        <v>0</v>
      </c>
      <c r="BQ13" s="296">
        <f t="shared" ref="BQ13:CC13" si="28">SUM(BQ5:BQ12)</f>
        <v>0</v>
      </c>
      <c r="BR13" s="296">
        <f t="shared" si="28"/>
        <v>1102455.8699999996</v>
      </c>
      <c r="BS13" s="296">
        <f t="shared" si="28"/>
        <v>0</v>
      </c>
      <c r="BT13" s="296">
        <f t="shared" si="28"/>
        <v>0</v>
      </c>
      <c r="BU13" s="296">
        <f t="shared" si="28"/>
        <v>0</v>
      </c>
      <c r="BV13" s="296">
        <f t="shared" si="28"/>
        <v>1120073.2300000004</v>
      </c>
      <c r="BW13" s="296">
        <f t="shared" si="28"/>
        <v>0</v>
      </c>
      <c r="BX13" s="296">
        <f t="shared" si="28"/>
        <v>0</v>
      </c>
      <c r="BY13" s="296">
        <f t="shared" si="28"/>
        <v>0</v>
      </c>
      <c r="BZ13" s="296">
        <f t="shared" si="28"/>
        <v>3586563.6400000011</v>
      </c>
      <c r="CA13" s="296">
        <f t="shared" si="28"/>
        <v>0</v>
      </c>
      <c r="CB13" s="296">
        <f t="shared" si="28"/>
        <v>0</v>
      </c>
      <c r="CC13" s="296">
        <f t="shared" si="28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8">
        <f>SUM(DD5:DD12)</f>
        <v>18787931.336460412</v>
      </c>
      <c r="DE13" s="298">
        <f>SUM(DE5:DE12)</f>
        <v>9922110.87515237</v>
      </c>
      <c r="DF13" s="298">
        <f>SUM(DF5:DF12)</f>
        <v>5701531.0637198277</v>
      </c>
      <c r="DH13" s="220">
        <f t="shared" si="25"/>
        <v>8865820.4613080416</v>
      </c>
      <c r="DI13" s="299">
        <f t="shared" si="26"/>
        <v>0</v>
      </c>
    </row>
    <row r="14" spans="1:113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333"/>
      <c r="CI14" s="333"/>
      <c r="CJ14" s="333"/>
      <c r="CK14" s="333"/>
      <c r="CL14" s="333"/>
      <c r="CM14" s="333"/>
      <c r="CN14" s="333"/>
      <c r="CO14" s="333"/>
      <c r="CP14" s="333"/>
      <c r="CQ14" s="333"/>
      <c r="CR14" s="333"/>
      <c r="CS14" s="333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4"/>
      <c r="DE14" s="334"/>
      <c r="DF14" s="334"/>
      <c r="DH14" s="220">
        <f t="shared" si="25"/>
        <v>0</v>
      </c>
      <c r="DI14" s="299">
        <f t="shared" si="26"/>
        <v>0</v>
      </c>
    </row>
    <row r="15" spans="1:113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321">
        <f>IF(D15=0,0,2001-(D15-F15)*C15/D15)</f>
        <v>0</v>
      </c>
      <c r="CI15" s="333">
        <f>IF((1-($DD$2-$CH15)/$C15)&gt;0,(1-($DD$2-$CH15)/$C15),0)</f>
        <v>0</v>
      </c>
      <c r="CJ15" s="333">
        <f>IF((1-($DD$2-G$2)/$C15)&gt;0,(1-($DD$2-G$2)/$C15),0)</f>
        <v>0.4</v>
      </c>
      <c r="CK15" s="333">
        <f>IF((1-($DD$2-K$2)/$C15)&gt;0,(1-($DD$2-K$2)/$C15),0)</f>
        <v>0.43333333333333335</v>
      </c>
      <c r="CL15" s="333">
        <f>IF((1-($DD$2-O$2)/$C15)&gt;0,(1-($DD$2-O$2)/$C15),0)</f>
        <v>0.46666666666666667</v>
      </c>
      <c r="CM15" s="333">
        <f>IF((1-($DD$2-S$2)/$C15)&gt;0,(1-($DD$2-S$2)/$C15),0)</f>
        <v>0.5</v>
      </c>
      <c r="CN15" s="333">
        <f>IF((1-($DD$2-W$2)/$C15)&gt;0,(1-($DD$2-W$2)/$C15),0)</f>
        <v>0.53333333333333333</v>
      </c>
      <c r="CO15" s="333">
        <f>IF((1-($DD$2-AA$2)/$C15)&gt;0,(1-($DD$2-AA$2)/$C15),0)</f>
        <v>0.56666666666666665</v>
      </c>
      <c r="CP15" s="333">
        <f>IF((1-($DD$2-AE$2)/$C15)&gt;0,(1-($DD$2-AE$2)/$C15),0)</f>
        <v>0.6</v>
      </c>
      <c r="CQ15" s="333">
        <f>IF((1-($DD$2-AI$2)/$C15)&gt;0,(1-($DD$2-AI$2)/$C15),0)</f>
        <v>0.6333333333333333</v>
      </c>
      <c r="CR15" s="333">
        <f>IF((1-($DD$2-AM$2)/$C15)&gt;0,(1-($DD$2-AM$2)/$C15),0)</f>
        <v>0.66666666666666674</v>
      </c>
      <c r="CS15" s="333">
        <f>IF((1-($DD$2-AQ$2)/$C15)&gt;0,(1-($DD$2-AQ$2)/$C15),0)</f>
        <v>0.7</v>
      </c>
      <c r="CT15" s="333">
        <f>IF((1-($DD$2-AU$2)/$C15)&gt;0,(1-($DD$2-AU$2)/$C15),0)</f>
        <v>0.73333333333333339</v>
      </c>
      <c r="CU15" s="333">
        <f>IF((1-($DD$2-AY$2)/$C15)&gt;0,(1-($DD$2-AY$2)/$C15),0)</f>
        <v>0.76666666666666661</v>
      </c>
      <c r="CV15" s="333">
        <f>IF((1-($DD$2-BC$2)/$C15)&gt;0,(1-($DD$2-BC$2)/$C15),0)</f>
        <v>0.8</v>
      </c>
      <c r="CW15" s="333">
        <f>IF(BG15=0,0,1-($DD$2-(2014.5-(BG15-BI15)*C15/BG15))/C15)</f>
        <v>0</v>
      </c>
      <c r="CX15" s="333">
        <f>IF((1-($DD$2-BJ$2)/$C15)&gt;0,(1-($DD$2-BJ$2)/$C15),0)</f>
        <v>0.83333333333333337</v>
      </c>
      <c r="CY15" s="333">
        <f>IF((1-($DD$2-BN$2)/$C15)&gt;0,(1-($DD$2-BN$2)/$C15),0)</f>
        <v>0.8666666666666667</v>
      </c>
      <c r="CZ15" s="333">
        <f>IF((1-($DD$2-BR$2)/$C15)&gt;0,(1-($DD$2-BR$2)/$C15),0)</f>
        <v>0.9</v>
      </c>
      <c r="DA15" s="333">
        <f>IF((1-($DD$2-BV$2)/$C15)&gt;0,(1-($DD$2-BV$2)/$C15),0)</f>
        <v>0.93333333333333335</v>
      </c>
      <c r="DB15" s="333">
        <f>IF((1-($DD$2-BZ$2)/$C15)&gt;0,(1-($DD$2-BZ$2)/$C15),0)</f>
        <v>0.96666666666666667</v>
      </c>
      <c r="DC15" s="333">
        <f>IF((1-($DD$2-CD$2)/$C15)&gt;0,(1-($DD$2-CD$2)/$C15),0)</f>
        <v>1</v>
      </c>
      <c r="DD15" s="334">
        <f t="shared" ref="DD15:DD44" si="29"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+(CD15-CE15-CF15)*$CD$61</f>
        <v>2170367.98068809</v>
      </c>
      <c r="DE15" s="334">
        <f t="shared" ref="DE15:DE44" si="30">IF(CI15=0,D15-E15,0)+IF(CJ15=0,(G15-H15-I15)*G$61,0)+IF(CK15=0,(K15-L15-M15)*K$61,0)+IF(CL15=0,(O15-P15-Q15)*O$61,0)+IF(CM15=0,(S15-T15-U15)*S$61,0)+IF(CN15=0,(W15-X15-Y15)*W$61,0)+IF(CO15=0,(AA15-AB15-AC15)*AA$61,0)+IF(CP15=0,(AE15-AF15-AG15)*AE$61,0)+IF(CQ15=0,(AI15-AJ15-AK15)*AI$61,0)+IF(CR15=0,(AM15-AN15-AO15)*AM$61,0)+IF(CS15=0,(AQ15-AR15-AS15)*$AQ$61,0)+IF(CT15=0,(AU15-AV15-AW15)*$AU$61,0)+IF(CU15=0,(AY15-AZ15-BA15)*$AY$61,0)++IF(CV15=0,(BC15-BD15-BE15)*$BC$61,0)+IF(CX15=0,(BJ15-BK15-BL15)*$BJ$61,0)+IF(CW15=0,BG15,0)+IF(CY15=0,(BN15-BO15-BP15)*$BN$61,0)+IF(CZ15=0,(BR15-BS15-BT15)*$BR$61,0)+IF(DA15=0,(BV15-BW15-BX15)*$BV$61,0)+IF(DB15=0,(BZ15-CA15-CB15)*$BZ$61,0)+IF(DC15=0,(CD15-CE15-CF15)*$CD$61,0)</f>
        <v>0</v>
      </c>
      <c r="DF15" s="334">
        <f>(D15-E15)*CI15+((G15-H15-(I15-J15))*G$61)*CJ15+((K15-L15-(M15-N15))*K$61)*CK15+((O15-P15-(Q15-R15))*O$61)*CL15+((S15-T15-(U15-V15))*S$61)*CM15+((W15-X15-(Y15-Z15))*W$61)*CN15+((AA15-AB15-(AC15-AD15))*AA$61)*CO15+((AE15-AF15-(AG15-AH15))*AE$61)*CP15+((AI15-AJ15-(AK15-AL15))*AI$61)*CQ15+((AM15-AN15-(AO15-AP15))*$AM$61)*CR15+((AQ15-AR15-(AS15-AT15))*$AQ$61)*CS15+((AU15-AV15-(AW15-AX15))*$AU$61)*CT15+((AY15-AZ15-(BA15-BB15))*$AY$61)*CU15+((BC15-BD15-(BE15-BF15))*$BC$61)*CV15+((BJ15-BK15-(BL15-BM15))*$BJ$61)*CX15+(BG15-BH15)*CW15+((BN15-BO15-(BP15-BQ15))*$BN$61)*CY15+((BR15-BS15-(BT15-BU15))*$BR$61)*CZ15+((BV15-BW15-(BX15-BY15))*$BV$61)*DA15+((BZ15-CA15-(CB15-CC15))*$BZ$61)*DB15+((CD15-CE15-(CF15-CG15))*$CD$61)*DC15</f>
        <v>1880985.5832630114</v>
      </c>
      <c r="DH15" s="220">
        <f t="shared" si="25"/>
        <v>2170367.98068809</v>
      </c>
      <c r="DI15" s="299">
        <f t="shared" si="26"/>
        <v>0</v>
      </c>
    </row>
    <row r="16" spans="1:113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321">
        <f>IF(D16=0,0,2001-(D16-F16)*C16/D16)</f>
        <v>0</v>
      </c>
      <c r="CI16" s="333">
        <f>IF((1-($DD$2-$CH16)/$C16)&gt;0,(1-($DD$2-$CH16)/$C16),0)</f>
        <v>0</v>
      </c>
      <c r="CJ16" s="333">
        <f>IF((1-($DD$2-G$2)/$C16)&gt;0,(1-($DD$2-G$2)/$C16),0)</f>
        <v>0.4</v>
      </c>
      <c r="CK16" s="333">
        <f>IF((1-($DD$2-K$2)/$C16)&gt;0,(1-($DD$2-K$2)/$C16),0)</f>
        <v>0.43333333333333335</v>
      </c>
      <c r="CL16" s="333">
        <f>IF((1-($DD$2-O$2)/$C16)&gt;0,(1-($DD$2-O$2)/$C16),0)</f>
        <v>0.46666666666666667</v>
      </c>
      <c r="CM16" s="333">
        <f>IF((1-($DD$2-S$2)/$C16)&gt;0,(1-($DD$2-S$2)/$C16),0)</f>
        <v>0.5</v>
      </c>
      <c r="CN16" s="333">
        <f>IF((1-($DD$2-W$2)/$C16)&gt;0,(1-($DD$2-W$2)/$C16),0)</f>
        <v>0.53333333333333333</v>
      </c>
      <c r="CO16" s="333">
        <f>IF((1-($DD$2-AA$2)/$C16)&gt;0,(1-($DD$2-AA$2)/$C16),0)</f>
        <v>0.56666666666666665</v>
      </c>
      <c r="CP16" s="333">
        <f>IF((1-($DD$2-AE$2)/$C16)&gt;0,(1-($DD$2-AE$2)/$C16),0)</f>
        <v>0.6</v>
      </c>
      <c r="CQ16" s="333">
        <f>IF((1-($DD$2-AI$2)/$C16)&gt;0,(1-($DD$2-AI$2)/$C16),0)</f>
        <v>0.6333333333333333</v>
      </c>
      <c r="CR16" s="333">
        <f>IF((1-($DD$2-AM$2)/$C16)&gt;0,(1-($DD$2-AM$2)/$C16),0)</f>
        <v>0.66666666666666674</v>
      </c>
      <c r="CS16" s="333">
        <f>IF((1-($DD$2-AQ$2)/$C16)&gt;0,(1-($DD$2-AQ$2)/$C16),0)</f>
        <v>0.7</v>
      </c>
      <c r="CT16" s="333">
        <f>IF((1-($DD$2-AU$2)/$C16)&gt;0,(1-($DD$2-AU$2)/$C16),0)</f>
        <v>0.73333333333333339</v>
      </c>
      <c r="CU16" s="333">
        <f>IF((1-($DD$2-AY$2)/$C16)&gt;0,(1-($DD$2-AY$2)/$C16),0)</f>
        <v>0.76666666666666661</v>
      </c>
      <c r="CV16" s="333">
        <f>IF((1-($DD$2-BC$2)/$C16)&gt;0,(1-($DD$2-BC$2)/$C16),0)</f>
        <v>0.8</v>
      </c>
      <c r="CW16" s="333">
        <f>IF(BG16=0,0,1-($DD$2-(2014.5-(BG16-BI16)*C16/BG16))/C16)</f>
        <v>0</v>
      </c>
      <c r="CX16" s="333">
        <f>IF((1-($DD$2-BJ$2)/$C16)&gt;0,(1-($DD$2-BJ$2)/$C16),0)</f>
        <v>0.83333333333333337</v>
      </c>
      <c r="CY16" s="333">
        <f>IF((1-($DD$2-BN$2)/$C16)&gt;0,(1-($DD$2-BN$2)/$C16),0)</f>
        <v>0.8666666666666667</v>
      </c>
      <c r="CZ16" s="333">
        <f>IF((1-($DD$2-BR$2)/$C16)&gt;0,(1-($DD$2-BR$2)/$C16),0)</f>
        <v>0.9</v>
      </c>
      <c r="DA16" s="333">
        <f>IF((1-($DD$2-BV$2)/$C16)&gt;0,(1-($DD$2-BV$2)/$C16),0)</f>
        <v>0.93333333333333335</v>
      </c>
      <c r="DB16" s="333">
        <f>IF((1-($DD$2-BZ$2)/$C16)&gt;0,(1-($DD$2-BZ$2)/$C16),0)</f>
        <v>0.96666666666666667</v>
      </c>
      <c r="DC16" s="333">
        <f>IF((1-($DD$2-CD$2)/$C16)&gt;0,(1-($DD$2-CD$2)/$C16),0)</f>
        <v>1</v>
      </c>
      <c r="DD16" s="334">
        <f t="shared" si="29"/>
        <v>2088630.1130731143</v>
      </c>
      <c r="DE16" s="334">
        <f t="shared" si="30"/>
        <v>0</v>
      </c>
      <c r="DF16" s="334">
        <f>(D16-E16)*CI16+((G16-H16-(I16-J16))*G$61)*CJ16+((K16-L16-(M16-N16))*K$61)*CK16+((O16-P16-(Q16-R16))*O$61)*CL16+((S16-T16-(U16-V16))*S$61)*CM16+((W16-X16-(Y16-Z16))*W$61)*CN16+((AA16-AB16-(AC16-AD16))*AA$61)*CO16+((AE16-AF16-(AG16-AH16))*AE$61)*CP16+((AI16-AJ16-(AK16-AL16))*AI$61)*CQ16+((AM16-AN16-(AO16-AP16))*$AM$61)*CR16+((AQ16-AR16-(AS16-AT16))*$AQ$61)*CS16+((AU16-AV16-(AW16-AX16))*$AU$61)*CT16+((AY16-AZ16-(BA16-BB16))*$AY$61)*CU16+((BC16-BD16-(BE16-BF16))*$BC$61)*CV16+((BJ16-BK16-(BL16-BM16))*$BJ$61)*CX16+(BG16-BH16)*CW16+((BN16-BO16-(BP16-BQ16))*$BN$61)*CY16+((BR16-BS16-(BT16-BU16))*$BR$61)*CZ16+((BV16-BW16-(BX16-BY16))*$BV$61)*DA16+((BZ16-CA16-(CB16-CC16))*$BZ$61)*DB16+((CD16-CE16-(CF16-CG16))*$CD$61)*DC16</f>
        <v>1810146.0979966992</v>
      </c>
      <c r="DH16" s="220">
        <f t="shared" si="25"/>
        <v>2088630.1130731143</v>
      </c>
      <c r="DI16" s="299">
        <f t="shared" si="26"/>
        <v>0</v>
      </c>
    </row>
    <row r="17" spans="1:113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321">
        <f>IF(D17=0,0,2001-(D17-F17)*C17/D17)</f>
        <v>0</v>
      </c>
      <c r="CI17" s="333">
        <f>IF((1-($DD$2-$CH17)/$C17)&gt;0,(1-($DD$2-$CH17)/$C17),0)</f>
        <v>0</v>
      </c>
      <c r="CJ17" s="333">
        <f>IF((1-($DD$2-G$2)/$C17)&gt;0,(1-($DD$2-G$2)/$C17),0)</f>
        <v>0.4</v>
      </c>
      <c r="CK17" s="333">
        <f>IF((1-($DD$2-K$2)/$C17)&gt;0,(1-($DD$2-K$2)/$C17),0)</f>
        <v>0.43333333333333335</v>
      </c>
      <c r="CL17" s="333">
        <f>IF((1-($DD$2-O$2)/$C17)&gt;0,(1-($DD$2-O$2)/$C17),0)</f>
        <v>0.46666666666666667</v>
      </c>
      <c r="CM17" s="333">
        <f>IF((1-($DD$2-S$2)/$C17)&gt;0,(1-($DD$2-S$2)/$C17),0)</f>
        <v>0.5</v>
      </c>
      <c r="CN17" s="333">
        <f>IF((1-($DD$2-W$2)/$C17)&gt;0,(1-($DD$2-W$2)/$C17),0)</f>
        <v>0.53333333333333333</v>
      </c>
      <c r="CO17" s="333">
        <f>IF((1-($DD$2-AA$2)/$C17)&gt;0,(1-($DD$2-AA$2)/$C17),0)</f>
        <v>0.56666666666666665</v>
      </c>
      <c r="CP17" s="333">
        <f>IF((1-($DD$2-AE$2)/$C17)&gt;0,(1-($DD$2-AE$2)/$C17),0)</f>
        <v>0.6</v>
      </c>
      <c r="CQ17" s="333">
        <f>IF((1-($DD$2-AI$2)/$C17)&gt;0,(1-($DD$2-AI$2)/$C17),0)</f>
        <v>0.6333333333333333</v>
      </c>
      <c r="CR17" s="333">
        <f>IF((1-($DD$2-AM$2)/$C17)&gt;0,(1-($DD$2-AM$2)/$C17),0)</f>
        <v>0.66666666666666674</v>
      </c>
      <c r="CS17" s="333">
        <f>IF((1-($DD$2-AQ$2)/$C17)&gt;0,(1-($DD$2-AQ$2)/$C17),0)</f>
        <v>0.7</v>
      </c>
      <c r="CT17" s="333">
        <f>IF((1-($DD$2-AU$2)/$C17)&gt;0,(1-($DD$2-AU$2)/$C17),0)</f>
        <v>0.73333333333333339</v>
      </c>
      <c r="CU17" s="333">
        <f>IF((1-($DD$2-AY$2)/$C17)&gt;0,(1-($DD$2-AY$2)/$C17),0)</f>
        <v>0.76666666666666661</v>
      </c>
      <c r="CV17" s="333">
        <f>IF((1-($DD$2-BC$2)/$C17)&gt;0,(1-($DD$2-BC$2)/$C17),0)</f>
        <v>0.8</v>
      </c>
      <c r="CW17" s="333">
        <f>IF(BG17=0,0,1-($DD$2-(2014.5-(BG17-BI17)*C17/BG17))/C17)</f>
        <v>0</v>
      </c>
      <c r="CX17" s="333">
        <f>IF((1-($DD$2-BJ$2)/$C17)&gt;0,(1-($DD$2-BJ$2)/$C17),0)</f>
        <v>0.83333333333333337</v>
      </c>
      <c r="CY17" s="333">
        <f>IF((1-($DD$2-BN$2)/$C17)&gt;0,(1-($DD$2-BN$2)/$C17),0)</f>
        <v>0.8666666666666667</v>
      </c>
      <c r="CZ17" s="333">
        <f>IF((1-($DD$2-BR$2)/$C17)&gt;0,(1-($DD$2-BR$2)/$C17),0)</f>
        <v>0.9</v>
      </c>
      <c r="DA17" s="333">
        <f>IF((1-($DD$2-BV$2)/$C17)&gt;0,(1-($DD$2-BV$2)/$C17),0)</f>
        <v>0.93333333333333335</v>
      </c>
      <c r="DB17" s="333">
        <f>IF((1-($DD$2-BZ$2)/$C17)&gt;0,(1-($DD$2-BZ$2)/$C17),0)</f>
        <v>0.96666666666666667</v>
      </c>
      <c r="DC17" s="333">
        <f>IF((1-($DD$2-CD$2)/$C17)&gt;0,(1-($DD$2-CD$2)/$C17),0)</f>
        <v>1</v>
      </c>
      <c r="DD17" s="334">
        <f t="shared" si="29"/>
        <v>7229414.3872795496</v>
      </c>
      <c r="DE17" s="334">
        <f t="shared" si="30"/>
        <v>0</v>
      </c>
      <c r="DF17" s="334">
        <f>(D17-E17)*CI17+((G17-H17-(I17-J17))*G$61)*CJ17+((K17-L17-(M17-N17))*K$61)*CK17+((O17-P17-(Q17-R17))*O$61)*CL17+((S17-T17-(U17-V17))*S$61)*CM17+((W17-X17-(Y17-Z17))*W$61)*CN17+((AA17-AB17-(AC17-AD17))*AA$61)*CO17+((AE17-AF17-(AG17-AH17))*AE$61)*CP17+((AI17-AJ17-(AK17-AL17))*AI$61)*CQ17+((AM17-AN17-(AO17-AP17))*$AM$61)*CR17+((AQ17-AR17-(AS17-AT17))*$AQ$61)*CS17+((AU17-AV17-(AW17-AX17))*$AU$61)*CT17+((AY17-AZ17-(BA17-BB17))*$AY$61)*CU17+((BC17-BD17-(BE17-BF17))*$BC$61)*CV17+((BJ17-BK17-(BL17-BM17))*$BJ$61)*CX17+(BG17-BH17)*CW17+((BN17-BO17-(BP17-BQ17))*$BN$61)*CY17+((BR17-BS17-(BT17-BU17))*$BR$61)*CZ17+((BV17-BW17-(BX17-BY17))*$BV$61)*DA17+((BZ17-CA17-(CB17-CC17))*$BZ$61)*DB17+((CD17-CE17-(CF17-CG17))*$CD$61)*DC17</f>
        <v>6270750.0741472002</v>
      </c>
      <c r="DH17" s="220">
        <f t="shared" si="25"/>
        <v>7229414.3872795496</v>
      </c>
      <c r="DI17" s="299">
        <f t="shared" si="26"/>
        <v>0</v>
      </c>
    </row>
    <row r="18" spans="1:113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333"/>
      <c r="CI18" s="333"/>
      <c r="CJ18" s="333"/>
      <c r="CK18" s="333"/>
      <c r="CL18" s="333"/>
      <c r="CM18" s="333"/>
      <c r="CN18" s="333"/>
      <c r="CO18" s="333"/>
      <c r="CP18" s="333"/>
      <c r="CQ18" s="333"/>
      <c r="CR18" s="333"/>
      <c r="CS18" s="333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4">
        <f t="shared" si="29"/>
        <v>0</v>
      </c>
      <c r="DE18" s="334">
        <f t="shared" si="30"/>
        <v>0</v>
      </c>
      <c r="DF18" s="334"/>
      <c r="DH18" s="220">
        <f t="shared" si="25"/>
        <v>0</v>
      </c>
      <c r="DI18" s="299">
        <f t="shared" si="26"/>
        <v>0</v>
      </c>
    </row>
    <row r="19" spans="1:113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321">
        <f t="shared" ref="CH19:CH31" si="31">IF(D19=0,0,2001-(D19-F19)*C19/D19)</f>
        <v>1987.6168208038905</v>
      </c>
      <c r="CI19" s="333">
        <f t="shared" ref="CI19:CI31" si="32">IF((1-($DD$2-$CH19)/$C19)&gt;0,(1-($DD$2-$CH19)/$C19),0)</f>
        <v>0</v>
      </c>
      <c r="CJ19" s="333">
        <f t="shared" ref="CJ19:CJ31" si="33">IF((1-($DD$2-G$2)/$C19)&gt;0,(1-($DD$2-G$2)/$C19),0)</f>
        <v>0.4</v>
      </c>
      <c r="CK19" s="333">
        <f t="shared" ref="CK19:CK31" si="34">IF((1-($DD$2-K$2)/$C19)&gt;0,(1-($DD$2-K$2)/$C19),0)</f>
        <v>0.43333333333333335</v>
      </c>
      <c r="CL19" s="333">
        <f t="shared" ref="CL19:CL31" si="35">IF((1-($DD$2-O$2)/$C19)&gt;0,(1-($DD$2-O$2)/$C19),0)</f>
        <v>0.46666666666666667</v>
      </c>
      <c r="CM19" s="333">
        <f t="shared" ref="CM19:CM31" si="36">IF((1-($DD$2-S$2)/$C19)&gt;0,(1-($DD$2-S$2)/$C19),0)</f>
        <v>0.5</v>
      </c>
      <c r="CN19" s="333">
        <f t="shared" ref="CN19:CN31" si="37">IF((1-($DD$2-W$2)/$C19)&gt;0,(1-($DD$2-W$2)/$C19),0)</f>
        <v>0.53333333333333333</v>
      </c>
      <c r="CO19" s="333">
        <f t="shared" ref="CO19:CO31" si="38">IF((1-($DD$2-AA$2)/$C19)&gt;0,(1-($DD$2-AA$2)/$C19),0)</f>
        <v>0.56666666666666665</v>
      </c>
      <c r="CP19" s="333">
        <f t="shared" ref="CP19:CP31" si="39">IF((1-($DD$2-AE$2)/$C19)&gt;0,(1-($DD$2-AE$2)/$C19),0)</f>
        <v>0.6</v>
      </c>
      <c r="CQ19" s="333">
        <f t="shared" ref="CQ19:CQ31" si="40">IF((1-($DD$2-AI$2)/$C19)&gt;0,(1-($DD$2-AI$2)/$C19),0)</f>
        <v>0.6333333333333333</v>
      </c>
      <c r="CR19" s="333">
        <f t="shared" ref="CR19:CR31" si="41">IF((1-($DD$2-AM$2)/$C19)&gt;0,(1-($DD$2-AM$2)/$C19),0)</f>
        <v>0.66666666666666674</v>
      </c>
      <c r="CS19" s="333">
        <f t="shared" ref="CS19:CS31" si="42">IF((1-($DD$2-AQ$2)/$C19)&gt;0,(1-($DD$2-AQ$2)/$C19),0)</f>
        <v>0.7</v>
      </c>
      <c r="CT19" s="333">
        <f t="shared" ref="CT19:CT31" si="43">IF((1-($DD$2-AU$2)/$C19)&gt;0,(1-($DD$2-AU$2)/$C19),0)</f>
        <v>0.73333333333333339</v>
      </c>
      <c r="CU19" s="333">
        <f t="shared" ref="CU19:CU31" si="44">IF((1-($DD$2-AY$2)/$C19)&gt;0,(1-($DD$2-AY$2)/$C19),0)</f>
        <v>0.76666666666666661</v>
      </c>
      <c r="CV19" s="333">
        <f t="shared" ref="CV19:CV31" si="45">IF((1-($DD$2-BC$2)/$C19)&gt;0,(1-($DD$2-BC$2)/$C19),0)</f>
        <v>0.8</v>
      </c>
      <c r="CW19" s="333">
        <f t="shared" ref="CW19:CW31" si="46">IF(BG19=0,0,1-($DD$2-(2014.5-(BG19-BI19)*C19/BG19))/C19)</f>
        <v>0.48840331069290344</v>
      </c>
      <c r="CX19" s="333">
        <f t="shared" ref="CX19:CX31" si="47">IF((1-($DD$2-BJ$2)/$C19)&gt;0,(1-($DD$2-BJ$2)/$C19),0)</f>
        <v>0.83333333333333337</v>
      </c>
      <c r="CY19" s="333">
        <f t="shared" ref="CY19:CY31" si="48">IF((1-($DD$2-BN$2)/$C19)&gt;0,(1-($DD$2-BN$2)/$C19),0)</f>
        <v>0.8666666666666667</v>
      </c>
      <c r="CZ19" s="333">
        <f t="shared" ref="CZ19:CZ31" si="49">IF((1-($DD$2-BR$2)/$C19)&gt;0,(1-($DD$2-BR$2)/$C19),0)</f>
        <v>0.9</v>
      </c>
      <c r="DA19" s="333">
        <f t="shared" ref="DA19:DA31" si="50">IF((1-($DD$2-BV$2)/$C19)&gt;0,(1-($DD$2-BV$2)/$C19),0)</f>
        <v>0.93333333333333335</v>
      </c>
      <c r="DB19" s="333">
        <f t="shared" ref="DB19:DB31" si="51">IF((1-($DD$2-BZ$2)/$C19)&gt;0,(1-($DD$2-BZ$2)/$C19),0)</f>
        <v>0.96666666666666667</v>
      </c>
      <c r="DC19" s="333">
        <f t="shared" ref="DC19:DC31" si="52">IF((1-($DD$2-CD$2)/$C19)&gt;0,(1-($DD$2-CD$2)/$C19),0)</f>
        <v>1</v>
      </c>
      <c r="DD19" s="334">
        <f t="shared" si="29"/>
        <v>47924166.001586221</v>
      </c>
      <c r="DE19" s="334">
        <f t="shared" si="30"/>
        <v>20631115.423739497</v>
      </c>
      <c r="DF19" s="334">
        <f>(D19-E19)*CI19+((G19-H19-(I19-J19))*G$61)*CJ19+((K19-L19-(M19-N19))*K$61)*CK19+((O19-P19-(Q19-R19))*O$61)*CL19+((S19-T19-(U19-V19))*S$61)*CM19+((W19-X19-(Y19-Z19))*W$61)*CN19+((AA19-AB19-(AC19-AD19))*AA$61)*CO19+((AE19-AF19-(AG19-AH19))*AE$61)*CP19+((AI19-AJ19-(AK19-AL19))*AI$61)*CQ19+((AM19-AN19-(AO19-AP19))*$AM$61)*CR19+((AQ19-AR19-(AS19-AT19))*$AQ$61)*CS19+((AU19-AV19-(AW19-AX19))*$AU$61)*CT19+((AY19-AZ19-(BA19-BB19))*$AY$61)*CU19+((BC19-BD19-(BE19-BF19))*$BC$61)*CV19+((BJ19-BK19-(BL19-BM19))*$BJ$61)*CX19+(BG19-BH19)*CW19+((BN19-BO19-(BP19-BQ19))*$BN$61)*CY19+((BR19-BS19-(BT19-BU19))*$BR$61)*CZ19+((BV19-BW19-(BX19-BY19))*$BV$61)*DA19+((BZ19-CA19-(CB19-CC19))*$BZ$61)*DB19+((CD19-CE19-(CF19-CG19))*$CD$61)*DC19</f>
        <v>18827612.02262802</v>
      </c>
      <c r="DH19" s="220">
        <f t="shared" si="25"/>
        <v>27293050.577846725</v>
      </c>
      <c r="DI19" s="299">
        <f t="shared" si="26"/>
        <v>0</v>
      </c>
    </row>
    <row r="20" spans="1:113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321">
        <f t="shared" si="31"/>
        <v>1987.6165577130359</v>
      </c>
      <c r="CI20" s="333">
        <f t="shared" si="32"/>
        <v>0</v>
      </c>
      <c r="CJ20" s="333">
        <f t="shared" si="33"/>
        <v>0.4</v>
      </c>
      <c r="CK20" s="333">
        <f t="shared" si="34"/>
        <v>0.43333333333333335</v>
      </c>
      <c r="CL20" s="333">
        <f t="shared" si="35"/>
        <v>0.46666666666666667</v>
      </c>
      <c r="CM20" s="333">
        <f t="shared" si="36"/>
        <v>0.5</v>
      </c>
      <c r="CN20" s="333">
        <f t="shared" si="37"/>
        <v>0.53333333333333333</v>
      </c>
      <c r="CO20" s="333">
        <f t="shared" si="38"/>
        <v>0.56666666666666665</v>
      </c>
      <c r="CP20" s="333">
        <f t="shared" si="39"/>
        <v>0.6</v>
      </c>
      <c r="CQ20" s="333">
        <f t="shared" si="40"/>
        <v>0.6333333333333333</v>
      </c>
      <c r="CR20" s="333">
        <f t="shared" si="41"/>
        <v>0.66666666666666674</v>
      </c>
      <c r="CS20" s="333">
        <f t="shared" si="42"/>
        <v>0.7</v>
      </c>
      <c r="CT20" s="333">
        <f t="shared" si="43"/>
        <v>0.73333333333333339</v>
      </c>
      <c r="CU20" s="333">
        <f t="shared" si="44"/>
        <v>0.76666666666666661</v>
      </c>
      <c r="CV20" s="333">
        <f t="shared" si="45"/>
        <v>0.8</v>
      </c>
      <c r="CW20" s="333">
        <f t="shared" si="46"/>
        <v>0</v>
      </c>
      <c r="CX20" s="333">
        <f t="shared" si="47"/>
        <v>0.83333333333333337</v>
      </c>
      <c r="CY20" s="333">
        <f t="shared" si="48"/>
        <v>0.8666666666666667</v>
      </c>
      <c r="CZ20" s="333">
        <f t="shared" si="49"/>
        <v>0.9</v>
      </c>
      <c r="DA20" s="333">
        <f t="shared" si="50"/>
        <v>0.93333333333333335</v>
      </c>
      <c r="DB20" s="333">
        <f t="shared" si="51"/>
        <v>0.96666666666666667</v>
      </c>
      <c r="DC20" s="333">
        <f t="shared" si="52"/>
        <v>1</v>
      </c>
      <c r="DD20" s="334">
        <f t="shared" si="29"/>
        <v>31582916.037978992</v>
      </c>
      <c r="DE20" s="334">
        <f t="shared" si="30"/>
        <v>20319163.888809633</v>
      </c>
      <c r="DF20" s="334">
        <f t="shared" ref="DF20:DF31" si="53">(D20-E20)*CI20+((G20-H20-(I20-J20))*G$61)*CJ20+((K20-L20-(M20-N20))*K$61)*CK20+((O20-P20-(Q20-R20))*O$61)*CL20+((S20-T20-(U20-V20))*S$61)*CM20+((W20-X20-(Y20-Z20))*W$61)*CN20+((AA20-AB20-(AC20-AD20))*AA$61)*CO20+((AE20-AF20-(AG20-AH20))*AE$61)*CP20+((AI20-AJ20-(AK20-AL20))*AI$61)*CQ20+((AM20-AN20-(AO20-AP20))*$AM$61)*CR20+((AQ20-AR20-(AS20-AT20))*$AQ$61)*CS20+((AU20-AV20-(AW20-AX20))*$AU$61)*CT20+((AY20-AZ20-(BA20-BB20))*$AY$61)*CU20+((BC20-BD20-(BE20-BF20))*$BC$61)*CV20+((BJ20-BK20-(BL20-BM20))*$BJ$61)*CX20+(BG20-BH20)*CW20+((BN20-BO20-(BP20-BQ20))*$BN$61)*CY20+((BR20-BS20-(BT20-BU20))*$BR$61)*CZ20+((BV20-BW20-(BX20-BY20))*$BV$61)*DA20+((BZ20-CA20-(CB20-CC20))*$BZ$61)*DB20+((CD20-CE20-(CF20-CG20))*$CD$61)*DC20</f>
        <v>9114548.3066064101</v>
      </c>
      <c r="DH20" s="220">
        <f t="shared" si="25"/>
        <v>11263752.149169359</v>
      </c>
      <c r="DI20" s="299">
        <f t="shared" si="26"/>
        <v>0</v>
      </c>
    </row>
    <row r="21" spans="1:113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321">
        <f t="shared" si="31"/>
        <v>1987.6167726485194</v>
      </c>
      <c r="CI21" s="333">
        <f t="shared" si="32"/>
        <v>0</v>
      </c>
      <c r="CJ21" s="333">
        <f t="shared" si="33"/>
        <v>0.4</v>
      </c>
      <c r="CK21" s="333">
        <f t="shared" si="34"/>
        <v>0.43333333333333335</v>
      </c>
      <c r="CL21" s="333">
        <f t="shared" si="35"/>
        <v>0.46666666666666667</v>
      </c>
      <c r="CM21" s="333">
        <f t="shared" si="36"/>
        <v>0.5</v>
      </c>
      <c r="CN21" s="333">
        <f t="shared" si="37"/>
        <v>0.53333333333333333</v>
      </c>
      <c r="CO21" s="333">
        <f t="shared" si="38"/>
        <v>0.56666666666666665</v>
      </c>
      <c r="CP21" s="333">
        <f t="shared" si="39"/>
        <v>0.6</v>
      </c>
      <c r="CQ21" s="333">
        <f t="shared" si="40"/>
        <v>0.6333333333333333</v>
      </c>
      <c r="CR21" s="333">
        <f t="shared" si="41"/>
        <v>0.66666666666666674</v>
      </c>
      <c r="CS21" s="333">
        <f t="shared" si="42"/>
        <v>0.7</v>
      </c>
      <c r="CT21" s="333">
        <f t="shared" si="43"/>
        <v>0.73333333333333339</v>
      </c>
      <c r="CU21" s="333">
        <f t="shared" si="44"/>
        <v>0.76666666666666661</v>
      </c>
      <c r="CV21" s="333">
        <f t="shared" si="45"/>
        <v>0.8</v>
      </c>
      <c r="CW21" s="333">
        <f t="shared" si="46"/>
        <v>0.51666673709728461</v>
      </c>
      <c r="CX21" s="333">
        <f t="shared" si="47"/>
        <v>0.83333333333333337</v>
      </c>
      <c r="CY21" s="333">
        <f t="shared" si="48"/>
        <v>0.8666666666666667</v>
      </c>
      <c r="CZ21" s="333">
        <f t="shared" si="49"/>
        <v>0.9</v>
      </c>
      <c r="DA21" s="333">
        <f t="shared" si="50"/>
        <v>0.93333333333333335</v>
      </c>
      <c r="DB21" s="333">
        <f t="shared" si="51"/>
        <v>0.96666666666666667</v>
      </c>
      <c r="DC21" s="333">
        <f t="shared" si="52"/>
        <v>1</v>
      </c>
      <c r="DD21" s="334">
        <f t="shared" si="29"/>
        <v>220572.67704669843</v>
      </c>
      <c r="DE21" s="334">
        <f t="shared" si="30"/>
        <v>149580.82704669842</v>
      </c>
      <c r="DF21" s="334">
        <f t="shared" si="53"/>
        <v>36679.127499999864</v>
      </c>
      <c r="DH21" s="220">
        <f t="shared" si="25"/>
        <v>70991.850000000006</v>
      </c>
      <c r="DI21" s="299">
        <f t="shared" si="26"/>
        <v>0</v>
      </c>
    </row>
    <row r="22" spans="1:113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321">
        <f t="shared" si="31"/>
        <v>0</v>
      </c>
      <c r="CI22" s="333">
        <f t="shared" si="32"/>
        <v>0</v>
      </c>
      <c r="CJ22" s="333">
        <f t="shared" si="33"/>
        <v>0.4</v>
      </c>
      <c r="CK22" s="333">
        <f t="shared" si="34"/>
        <v>0.43333333333333335</v>
      </c>
      <c r="CL22" s="333">
        <f t="shared" si="35"/>
        <v>0.46666666666666667</v>
      </c>
      <c r="CM22" s="333">
        <f t="shared" si="36"/>
        <v>0.5</v>
      </c>
      <c r="CN22" s="333">
        <f t="shared" si="37"/>
        <v>0.53333333333333333</v>
      </c>
      <c r="CO22" s="333">
        <f t="shared" si="38"/>
        <v>0.56666666666666665</v>
      </c>
      <c r="CP22" s="333">
        <f t="shared" si="39"/>
        <v>0.6</v>
      </c>
      <c r="CQ22" s="333">
        <f t="shared" si="40"/>
        <v>0.6333333333333333</v>
      </c>
      <c r="CR22" s="333">
        <f t="shared" si="41"/>
        <v>0.66666666666666674</v>
      </c>
      <c r="CS22" s="333">
        <f t="shared" si="42"/>
        <v>0.7</v>
      </c>
      <c r="CT22" s="333">
        <f t="shared" si="43"/>
        <v>0.73333333333333339</v>
      </c>
      <c r="CU22" s="333">
        <f t="shared" si="44"/>
        <v>0.76666666666666661</v>
      </c>
      <c r="CV22" s="333">
        <f t="shared" si="45"/>
        <v>0.8</v>
      </c>
      <c r="CW22" s="333">
        <f t="shared" si="46"/>
        <v>0</v>
      </c>
      <c r="CX22" s="333">
        <f t="shared" si="47"/>
        <v>0.83333333333333337</v>
      </c>
      <c r="CY22" s="333">
        <f t="shared" si="48"/>
        <v>0.8666666666666667</v>
      </c>
      <c r="CZ22" s="333">
        <f t="shared" si="49"/>
        <v>0.9</v>
      </c>
      <c r="DA22" s="333">
        <f t="shared" si="50"/>
        <v>0.93333333333333335</v>
      </c>
      <c r="DB22" s="333">
        <f t="shared" si="51"/>
        <v>0.96666666666666667</v>
      </c>
      <c r="DC22" s="333">
        <f t="shared" si="52"/>
        <v>1</v>
      </c>
      <c r="DD22" s="334">
        <f t="shared" si="29"/>
        <v>3757681.0878967764</v>
      </c>
      <c r="DE22" s="334">
        <f t="shared" si="30"/>
        <v>0</v>
      </c>
      <c r="DF22" s="334">
        <f t="shared" si="53"/>
        <v>3243324.7153229686</v>
      </c>
      <c r="DH22" s="220">
        <f t="shared" si="25"/>
        <v>3757681.0878967764</v>
      </c>
      <c r="DI22" s="299">
        <f t="shared" si="26"/>
        <v>0</v>
      </c>
    </row>
    <row r="23" spans="1:113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321">
        <f t="shared" si="31"/>
        <v>0</v>
      </c>
      <c r="CI23" s="333">
        <f t="shared" si="32"/>
        <v>0</v>
      </c>
      <c r="CJ23" s="333">
        <f t="shared" si="33"/>
        <v>0.4</v>
      </c>
      <c r="CK23" s="333">
        <f t="shared" si="34"/>
        <v>0.43333333333333335</v>
      </c>
      <c r="CL23" s="333">
        <f t="shared" si="35"/>
        <v>0.46666666666666667</v>
      </c>
      <c r="CM23" s="333">
        <f t="shared" si="36"/>
        <v>0.5</v>
      </c>
      <c r="CN23" s="333">
        <f t="shared" si="37"/>
        <v>0.53333333333333333</v>
      </c>
      <c r="CO23" s="333">
        <f t="shared" si="38"/>
        <v>0.56666666666666665</v>
      </c>
      <c r="CP23" s="333">
        <f t="shared" si="39"/>
        <v>0.6</v>
      </c>
      <c r="CQ23" s="333">
        <f t="shared" si="40"/>
        <v>0.6333333333333333</v>
      </c>
      <c r="CR23" s="333">
        <f t="shared" si="41"/>
        <v>0.66666666666666674</v>
      </c>
      <c r="CS23" s="333">
        <f t="shared" si="42"/>
        <v>0.7</v>
      </c>
      <c r="CT23" s="333">
        <f t="shared" si="43"/>
        <v>0.73333333333333339</v>
      </c>
      <c r="CU23" s="333">
        <f t="shared" si="44"/>
        <v>0.76666666666666661</v>
      </c>
      <c r="CV23" s="333">
        <f t="shared" si="45"/>
        <v>0.8</v>
      </c>
      <c r="CW23" s="333">
        <f t="shared" si="46"/>
        <v>0</v>
      </c>
      <c r="CX23" s="333">
        <f t="shared" si="47"/>
        <v>0.83333333333333337</v>
      </c>
      <c r="CY23" s="333">
        <f t="shared" si="48"/>
        <v>0.8666666666666667</v>
      </c>
      <c r="CZ23" s="333">
        <f t="shared" si="49"/>
        <v>0.9</v>
      </c>
      <c r="DA23" s="333">
        <f t="shared" si="50"/>
        <v>0.93333333333333335</v>
      </c>
      <c r="DB23" s="333">
        <f t="shared" si="51"/>
        <v>0.96666666666666667</v>
      </c>
      <c r="DC23" s="333">
        <f t="shared" si="52"/>
        <v>1</v>
      </c>
      <c r="DD23" s="334">
        <f t="shared" si="29"/>
        <v>3889272.1123850327</v>
      </c>
      <c r="DE23" s="334">
        <f t="shared" si="30"/>
        <v>0</v>
      </c>
      <c r="DF23" s="334">
        <f t="shared" si="53"/>
        <v>3359894.1741278712</v>
      </c>
      <c r="DH23" s="220">
        <f t="shared" si="25"/>
        <v>3889272.1123850327</v>
      </c>
      <c r="DI23" s="299">
        <f t="shared" si="26"/>
        <v>0</v>
      </c>
    </row>
    <row r="24" spans="1:113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321">
        <f t="shared" si="31"/>
        <v>0</v>
      </c>
      <c r="CI24" s="333">
        <f t="shared" si="32"/>
        <v>0</v>
      </c>
      <c r="CJ24" s="333">
        <f t="shared" si="33"/>
        <v>0.4</v>
      </c>
      <c r="CK24" s="333">
        <f t="shared" si="34"/>
        <v>0.43333333333333335</v>
      </c>
      <c r="CL24" s="333">
        <f t="shared" si="35"/>
        <v>0.46666666666666667</v>
      </c>
      <c r="CM24" s="333">
        <f t="shared" si="36"/>
        <v>0.5</v>
      </c>
      <c r="CN24" s="333">
        <f t="shared" si="37"/>
        <v>0.53333333333333333</v>
      </c>
      <c r="CO24" s="333">
        <f t="shared" si="38"/>
        <v>0.56666666666666665</v>
      </c>
      <c r="CP24" s="333">
        <f t="shared" si="39"/>
        <v>0.6</v>
      </c>
      <c r="CQ24" s="333">
        <f t="shared" si="40"/>
        <v>0.6333333333333333</v>
      </c>
      <c r="CR24" s="333">
        <f t="shared" si="41"/>
        <v>0.66666666666666674</v>
      </c>
      <c r="CS24" s="333">
        <f t="shared" si="42"/>
        <v>0.7</v>
      </c>
      <c r="CT24" s="333">
        <f t="shared" si="43"/>
        <v>0.73333333333333339</v>
      </c>
      <c r="CU24" s="333">
        <f t="shared" si="44"/>
        <v>0.76666666666666661</v>
      </c>
      <c r="CV24" s="333">
        <f t="shared" si="45"/>
        <v>0.8</v>
      </c>
      <c r="CW24" s="333">
        <f t="shared" si="46"/>
        <v>0</v>
      </c>
      <c r="CX24" s="333">
        <f t="shared" si="47"/>
        <v>0.83333333333333337</v>
      </c>
      <c r="CY24" s="333">
        <f t="shared" si="48"/>
        <v>0.8666666666666667</v>
      </c>
      <c r="CZ24" s="333">
        <f t="shared" si="49"/>
        <v>0.9</v>
      </c>
      <c r="DA24" s="333">
        <f t="shared" si="50"/>
        <v>0.93333333333333335</v>
      </c>
      <c r="DB24" s="333">
        <f t="shared" si="51"/>
        <v>0.96666666666666667</v>
      </c>
      <c r="DC24" s="333">
        <f t="shared" si="52"/>
        <v>1</v>
      </c>
      <c r="DD24" s="334">
        <f t="shared" si="29"/>
        <v>0</v>
      </c>
      <c r="DE24" s="334">
        <f t="shared" si="30"/>
        <v>0</v>
      </c>
      <c r="DF24" s="334">
        <f t="shared" si="53"/>
        <v>0</v>
      </c>
      <c r="DH24" s="220">
        <f t="shared" si="25"/>
        <v>0</v>
      </c>
      <c r="DI24" s="299">
        <f t="shared" si="26"/>
        <v>0</v>
      </c>
    </row>
    <row r="25" spans="1:113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321">
        <f t="shared" si="31"/>
        <v>1983.0579643777135</v>
      </c>
      <c r="CI25" s="333">
        <f t="shared" si="32"/>
        <v>0</v>
      </c>
      <c r="CJ25" s="333">
        <f t="shared" si="33"/>
        <v>0.4</v>
      </c>
      <c r="CK25" s="333">
        <f t="shared" si="34"/>
        <v>0.43333333333333335</v>
      </c>
      <c r="CL25" s="333">
        <f t="shared" si="35"/>
        <v>0.46666666666666667</v>
      </c>
      <c r="CM25" s="333">
        <f t="shared" si="36"/>
        <v>0.5</v>
      </c>
      <c r="CN25" s="333">
        <f t="shared" si="37"/>
        <v>0.53333333333333333</v>
      </c>
      <c r="CO25" s="333">
        <f t="shared" si="38"/>
        <v>0.56666666666666665</v>
      </c>
      <c r="CP25" s="333">
        <f t="shared" si="39"/>
        <v>0.6</v>
      </c>
      <c r="CQ25" s="333">
        <f t="shared" si="40"/>
        <v>0.6333333333333333</v>
      </c>
      <c r="CR25" s="333">
        <f t="shared" si="41"/>
        <v>0.66666666666666674</v>
      </c>
      <c r="CS25" s="333">
        <f t="shared" si="42"/>
        <v>0.7</v>
      </c>
      <c r="CT25" s="333">
        <f t="shared" si="43"/>
        <v>0.73333333333333339</v>
      </c>
      <c r="CU25" s="333">
        <f t="shared" si="44"/>
        <v>0.76666666666666661</v>
      </c>
      <c r="CV25" s="333">
        <f t="shared" si="45"/>
        <v>0.8</v>
      </c>
      <c r="CW25" s="333">
        <f t="shared" si="46"/>
        <v>0.36909427527524863</v>
      </c>
      <c r="CX25" s="333">
        <f t="shared" si="47"/>
        <v>0.83333333333333337</v>
      </c>
      <c r="CY25" s="333">
        <f t="shared" si="48"/>
        <v>0.8666666666666667</v>
      </c>
      <c r="CZ25" s="333">
        <f t="shared" si="49"/>
        <v>0.9</v>
      </c>
      <c r="DA25" s="333">
        <f t="shared" si="50"/>
        <v>0.93333333333333335</v>
      </c>
      <c r="DB25" s="333">
        <f t="shared" si="51"/>
        <v>0.96666666666666667</v>
      </c>
      <c r="DC25" s="333">
        <f t="shared" si="52"/>
        <v>1</v>
      </c>
      <c r="DD25" s="334">
        <f t="shared" si="29"/>
        <v>10114490.007903956</v>
      </c>
      <c r="DE25" s="334">
        <f t="shared" si="30"/>
        <v>5501374.3444445133</v>
      </c>
      <c r="DF25" s="334">
        <f t="shared" si="53"/>
        <v>3311112.5405729529</v>
      </c>
      <c r="DH25" s="220">
        <f t="shared" si="25"/>
        <v>4613115.6634594426</v>
      </c>
      <c r="DI25" s="299">
        <f t="shared" si="26"/>
        <v>0</v>
      </c>
    </row>
    <row r="26" spans="1:113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321">
        <f t="shared" si="31"/>
        <v>0</v>
      </c>
      <c r="CI26" s="333">
        <f t="shared" si="32"/>
        <v>0</v>
      </c>
      <c r="CJ26" s="333">
        <f t="shared" si="33"/>
        <v>0.4</v>
      </c>
      <c r="CK26" s="333">
        <f t="shared" si="34"/>
        <v>0.43333333333333335</v>
      </c>
      <c r="CL26" s="333">
        <f t="shared" si="35"/>
        <v>0.46666666666666667</v>
      </c>
      <c r="CM26" s="333">
        <f t="shared" si="36"/>
        <v>0.5</v>
      </c>
      <c r="CN26" s="333">
        <f t="shared" si="37"/>
        <v>0.53333333333333333</v>
      </c>
      <c r="CO26" s="333">
        <f t="shared" si="38"/>
        <v>0.56666666666666665</v>
      </c>
      <c r="CP26" s="333">
        <f t="shared" si="39"/>
        <v>0.6</v>
      </c>
      <c r="CQ26" s="333">
        <f t="shared" si="40"/>
        <v>0.6333333333333333</v>
      </c>
      <c r="CR26" s="333">
        <f t="shared" si="41"/>
        <v>0.66666666666666674</v>
      </c>
      <c r="CS26" s="333">
        <f t="shared" si="42"/>
        <v>0.7</v>
      </c>
      <c r="CT26" s="333">
        <f t="shared" si="43"/>
        <v>0.73333333333333339</v>
      </c>
      <c r="CU26" s="333">
        <f t="shared" si="44"/>
        <v>0.76666666666666661</v>
      </c>
      <c r="CV26" s="333">
        <f t="shared" si="45"/>
        <v>0.8</v>
      </c>
      <c r="CW26" s="333">
        <f t="shared" si="46"/>
        <v>0.57079074582906442</v>
      </c>
      <c r="CX26" s="333">
        <f t="shared" si="47"/>
        <v>0.83333333333333337</v>
      </c>
      <c r="CY26" s="333">
        <f t="shared" si="48"/>
        <v>0.8666666666666667</v>
      </c>
      <c r="CZ26" s="333">
        <f t="shared" si="49"/>
        <v>0.9</v>
      </c>
      <c r="DA26" s="333">
        <f t="shared" si="50"/>
        <v>0.93333333333333335</v>
      </c>
      <c r="DB26" s="333">
        <f t="shared" si="51"/>
        <v>0.96666666666666667</v>
      </c>
      <c r="DC26" s="333">
        <f t="shared" si="52"/>
        <v>1</v>
      </c>
      <c r="DD26" s="334">
        <f t="shared" si="29"/>
        <v>2503042.5259680757</v>
      </c>
      <c r="DE26" s="334">
        <f t="shared" si="30"/>
        <v>0</v>
      </c>
      <c r="DF26" s="334">
        <f t="shared" si="53"/>
        <v>0</v>
      </c>
      <c r="DH26" s="220">
        <f t="shared" si="25"/>
        <v>2503042.5259680757</v>
      </c>
      <c r="DI26" s="299">
        <f t="shared" si="26"/>
        <v>0</v>
      </c>
    </row>
    <row r="27" spans="1:113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321">
        <f t="shared" si="31"/>
        <v>0</v>
      </c>
      <c r="CI27" s="333">
        <f t="shared" si="32"/>
        <v>0</v>
      </c>
      <c r="CJ27" s="333">
        <f t="shared" si="33"/>
        <v>0.4</v>
      </c>
      <c r="CK27" s="333">
        <f t="shared" si="34"/>
        <v>0.43333333333333335</v>
      </c>
      <c r="CL27" s="333">
        <f t="shared" si="35"/>
        <v>0.46666666666666667</v>
      </c>
      <c r="CM27" s="333">
        <f t="shared" si="36"/>
        <v>0.5</v>
      </c>
      <c r="CN27" s="333">
        <f t="shared" si="37"/>
        <v>0.53333333333333333</v>
      </c>
      <c r="CO27" s="333">
        <f t="shared" si="38"/>
        <v>0.56666666666666665</v>
      </c>
      <c r="CP27" s="333">
        <f t="shared" si="39"/>
        <v>0.6</v>
      </c>
      <c r="CQ27" s="333">
        <f t="shared" si="40"/>
        <v>0.6333333333333333</v>
      </c>
      <c r="CR27" s="333">
        <f t="shared" si="41"/>
        <v>0.66666666666666674</v>
      </c>
      <c r="CS27" s="333">
        <f t="shared" si="42"/>
        <v>0.7</v>
      </c>
      <c r="CT27" s="333">
        <f t="shared" si="43"/>
        <v>0.73333333333333339</v>
      </c>
      <c r="CU27" s="333">
        <f t="shared" si="44"/>
        <v>0.76666666666666661</v>
      </c>
      <c r="CV27" s="333">
        <f t="shared" si="45"/>
        <v>0.8</v>
      </c>
      <c r="CW27" s="333">
        <f t="shared" si="46"/>
        <v>0</v>
      </c>
      <c r="CX27" s="333">
        <f t="shared" si="47"/>
        <v>0.83333333333333337</v>
      </c>
      <c r="CY27" s="333">
        <f t="shared" si="48"/>
        <v>0.8666666666666667</v>
      </c>
      <c r="CZ27" s="333">
        <f t="shared" si="49"/>
        <v>0.9</v>
      </c>
      <c r="DA27" s="333">
        <f t="shared" si="50"/>
        <v>0.93333333333333335</v>
      </c>
      <c r="DB27" s="333">
        <f t="shared" si="51"/>
        <v>0.96666666666666667</v>
      </c>
      <c r="DC27" s="333">
        <f t="shared" si="52"/>
        <v>1</v>
      </c>
      <c r="DD27" s="334">
        <f t="shared" si="29"/>
        <v>0</v>
      </c>
      <c r="DE27" s="334">
        <f t="shared" si="30"/>
        <v>0</v>
      </c>
      <c r="DF27" s="334">
        <f t="shared" si="53"/>
        <v>0</v>
      </c>
      <c r="DH27" s="220">
        <f t="shared" si="25"/>
        <v>0</v>
      </c>
      <c r="DI27" s="299">
        <f t="shared" si="26"/>
        <v>0</v>
      </c>
    </row>
    <row r="28" spans="1:113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321">
        <f t="shared" si="31"/>
        <v>0</v>
      </c>
      <c r="CI28" s="333">
        <f t="shared" si="32"/>
        <v>0</v>
      </c>
      <c r="CJ28" s="333">
        <f t="shared" si="33"/>
        <v>0.4</v>
      </c>
      <c r="CK28" s="333">
        <f t="shared" si="34"/>
        <v>0.43333333333333335</v>
      </c>
      <c r="CL28" s="333">
        <f t="shared" si="35"/>
        <v>0.46666666666666667</v>
      </c>
      <c r="CM28" s="333">
        <f t="shared" si="36"/>
        <v>0.5</v>
      </c>
      <c r="CN28" s="333">
        <f t="shared" si="37"/>
        <v>0.53333333333333333</v>
      </c>
      <c r="CO28" s="333">
        <f t="shared" si="38"/>
        <v>0.56666666666666665</v>
      </c>
      <c r="CP28" s="333">
        <f t="shared" si="39"/>
        <v>0.6</v>
      </c>
      <c r="CQ28" s="333">
        <f t="shared" si="40"/>
        <v>0.6333333333333333</v>
      </c>
      <c r="CR28" s="333">
        <f t="shared" si="41"/>
        <v>0.66666666666666674</v>
      </c>
      <c r="CS28" s="333">
        <f t="shared" si="42"/>
        <v>0.7</v>
      </c>
      <c r="CT28" s="333">
        <f t="shared" si="43"/>
        <v>0.73333333333333339</v>
      </c>
      <c r="CU28" s="333">
        <f t="shared" si="44"/>
        <v>0.76666666666666661</v>
      </c>
      <c r="CV28" s="333">
        <f t="shared" si="45"/>
        <v>0.8</v>
      </c>
      <c r="CW28" s="333">
        <f t="shared" si="46"/>
        <v>0</v>
      </c>
      <c r="CX28" s="333">
        <f t="shared" si="47"/>
        <v>0.83333333333333337</v>
      </c>
      <c r="CY28" s="333">
        <f t="shared" si="48"/>
        <v>0.8666666666666667</v>
      </c>
      <c r="CZ28" s="333">
        <f t="shared" si="49"/>
        <v>0.9</v>
      </c>
      <c r="DA28" s="333">
        <f t="shared" si="50"/>
        <v>0.93333333333333335</v>
      </c>
      <c r="DB28" s="333">
        <f t="shared" si="51"/>
        <v>0.96666666666666667</v>
      </c>
      <c r="DC28" s="333">
        <f t="shared" si="52"/>
        <v>1</v>
      </c>
      <c r="DD28" s="334">
        <f t="shared" si="29"/>
        <v>12610.54608680449</v>
      </c>
      <c r="DE28" s="334">
        <f t="shared" si="30"/>
        <v>0</v>
      </c>
      <c r="DF28" s="334">
        <f t="shared" si="53"/>
        <v>9668.0853332167753</v>
      </c>
      <c r="DH28" s="220">
        <f t="shared" si="25"/>
        <v>12610.54608680449</v>
      </c>
      <c r="DI28" s="299">
        <f t="shared" si="26"/>
        <v>0</v>
      </c>
    </row>
    <row r="29" spans="1:113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321">
        <f t="shared" si="31"/>
        <v>1990.0430180109104</v>
      </c>
      <c r="CI29" s="333">
        <f t="shared" si="32"/>
        <v>1.4339336970123906E-3</v>
      </c>
      <c r="CJ29" s="333">
        <f t="shared" si="33"/>
        <v>0.4</v>
      </c>
      <c r="CK29" s="333">
        <f t="shared" si="34"/>
        <v>0.43333333333333335</v>
      </c>
      <c r="CL29" s="333">
        <f t="shared" si="35"/>
        <v>0.46666666666666667</v>
      </c>
      <c r="CM29" s="333">
        <f t="shared" si="36"/>
        <v>0.5</v>
      </c>
      <c r="CN29" s="333">
        <f t="shared" si="37"/>
        <v>0.53333333333333333</v>
      </c>
      <c r="CO29" s="333">
        <f t="shared" si="38"/>
        <v>0.56666666666666665</v>
      </c>
      <c r="CP29" s="333">
        <f t="shared" si="39"/>
        <v>0.6</v>
      </c>
      <c r="CQ29" s="333">
        <f t="shared" si="40"/>
        <v>0.6333333333333333</v>
      </c>
      <c r="CR29" s="333">
        <f t="shared" si="41"/>
        <v>0.66666666666666674</v>
      </c>
      <c r="CS29" s="333">
        <f t="shared" si="42"/>
        <v>0.7</v>
      </c>
      <c r="CT29" s="333">
        <f t="shared" si="43"/>
        <v>0.73333333333333339</v>
      </c>
      <c r="CU29" s="333">
        <f t="shared" si="44"/>
        <v>0.76666666666666661</v>
      </c>
      <c r="CV29" s="333">
        <f t="shared" si="45"/>
        <v>0.8</v>
      </c>
      <c r="CW29" s="333">
        <f t="shared" si="46"/>
        <v>0.57079074582906442</v>
      </c>
      <c r="CX29" s="333">
        <f t="shared" si="47"/>
        <v>0.83333333333333337</v>
      </c>
      <c r="CY29" s="333">
        <f t="shared" si="48"/>
        <v>0.8666666666666667</v>
      </c>
      <c r="CZ29" s="333">
        <f t="shared" si="49"/>
        <v>0.9</v>
      </c>
      <c r="DA29" s="333">
        <f t="shared" si="50"/>
        <v>0.93333333333333335</v>
      </c>
      <c r="DB29" s="333">
        <f t="shared" si="51"/>
        <v>0.96666666666666667</v>
      </c>
      <c r="DC29" s="333">
        <f t="shared" si="52"/>
        <v>1</v>
      </c>
      <c r="DD29" s="334">
        <f t="shared" si="29"/>
        <v>23507694.249781072</v>
      </c>
      <c r="DE29" s="334">
        <f t="shared" si="30"/>
        <v>0</v>
      </c>
      <c r="DF29" s="334">
        <f>(D29-E29)*CI29+((G29-H29-(I29-J29))*G$61)*CJ29+((K29-L29-(M29-N29))*K$61)*CK29+((O29-P29-(Q29-R29))*O$61)*CL29+((S29-T29-(U29-V29))*S$61)*CM29+((W29-X29-(Y29-Z29))*W$61)*CN29+((AA29-AB29-(AC29-AD29))*AA$61)*CO29+((AE29-AF29-(AG29-AH29))*AE$61)*CP29+((AI29-AJ29-(AK29-AL29))*AI$61)*CQ29+((AM29-AN29-(AO29-AP29))*$AM$61)*CR29+((AQ29-AR29-(AS29-AT29))*$AQ$61)*CS29+((AU29-AV29-(AW29-AX29))*$AU$61)*CT29+((AY29-AZ29-(BA29-BB29))*$AY$61)*CU29+((BC29-BD29-(BE29-BF29))*$BC$61)*CV29+((BJ29-BK29-(BL29-BM29))*$BJ$61)*CX29+(BG29-BH29)*CW29+((BN29-BO29-(BP29-BQ29))*$BN$61)*CY29+((BR29-BS29-(BT29-BU29))*$BR$61)*CZ29+((BV29-BW29-(BX29-BY29))*$BV$61)*DA29+((BZ29-CA29-(CB29-CC29))*$BZ$61)*DB29+((CD29-CE29-(CF29-CG29))*$CD$61)*DC29</f>
        <v>16115448.668256378</v>
      </c>
      <c r="DH29" s="220">
        <f t="shared" si="25"/>
        <v>23507694.249781072</v>
      </c>
      <c r="DI29" s="299">
        <f t="shared" si="26"/>
        <v>0</v>
      </c>
    </row>
    <row r="30" spans="1:113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321">
        <f t="shared" si="31"/>
        <v>1990.0418779969095</v>
      </c>
      <c r="CI30" s="333">
        <f t="shared" si="32"/>
        <v>1.3959332303178362E-3</v>
      </c>
      <c r="CJ30" s="333">
        <f t="shared" si="33"/>
        <v>0.4</v>
      </c>
      <c r="CK30" s="333">
        <f t="shared" si="34"/>
        <v>0.43333333333333335</v>
      </c>
      <c r="CL30" s="333">
        <f t="shared" si="35"/>
        <v>0.46666666666666667</v>
      </c>
      <c r="CM30" s="333">
        <f t="shared" si="36"/>
        <v>0.5</v>
      </c>
      <c r="CN30" s="333">
        <f t="shared" si="37"/>
        <v>0.53333333333333333</v>
      </c>
      <c r="CO30" s="333">
        <f t="shared" si="38"/>
        <v>0.56666666666666665</v>
      </c>
      <c r="CP30" s="333">
        <f t="shared" si="39"/>
        <v>0.6</v>
      </c>
      <c r="CQ30" s="333">
        <f t="shared" si="40"/>
        <v>0.6333333333333333</v>
      </c>
      <c r="CR30" s="333">
        <f t="shared" si="41"/>
        <v>0.66666666666666674</v>
      </c>
      <c r="CS30" s="333">
        <f t="shared" si="42"/>
        <v>0.7</v>
      </c>
      <c r="CT30" s="333">
        <f t="shared" si="43"/>
        <v>0.73333333333333339</v>
      </c>
      <c r="CU30" s="333">
        <f t="shared" si="44"/>
        <v>0.76666666666666661</v>
      </c>
      <c r="CV30" s="333">
        <f t="shared" si="45"/>
        <v>0.8</v>
      </c>
      <c r="CW30" s="333">
        <f t="shared" si="46"/>
        <v>0</v>
      </c>
      <c r="CX30" s="333">
        <f t="shared" si="47"/>
        <v>0.83333333333333337</v>
      </c>
      <c r="CY30" s="333">
        <f t="shared" si="48"/>
        <v>0.8666666666666667</v>
      </c>
      <c r="CZ30" s="333">
        <f t="shared" si="49"/>
        <v>0.9</v>
      </c>
      <c r="DA30" s="333">
        <f t="shared" si="50"/>
        <v>0.93333333333333335</v>
      </c>
      <c r="DB30" s="333">
        <f t="shared" si="51"/>
        <v>0.96666666666666667</v>
      </c>
      <c r="DC30" s="333">
        <f t="shared" si="52"/>
        <v>1</v>
      </c>
      <c r="DD30" s="334">
        <f t="shared" si="29"/>
        <v>14757270.153516874</v>
      </c>
      <c r="DE30" s="334">
        <f t="shared" si="30"/>
        <v>0</v>
      </c>
      <c r="DF30" s="334">
        <f t="shared" si="53"/>
        <v>9112391.777417073</v>
      </c>
      <c r="DH30" s="220">
        <f t="shared" si="25"/>
        <v>14757270.153516874</v>
      </c>
      <c r="DI30" s="299">
        <f t="shared" si="26"/>
        <v>0</v>
      </c>
    </row>
    <row r="31" spans="1:113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321">
        <f t="shared" si="31"/>
        <v>0</v>
      </c>
      <c r="CI31" s="333">
        <f t="shared" si="32"/>
        <v>0</v>
      </c>
      <c r="CJ31" s="333">
        <f t="shared" si="33"/>
        <v>0.4</v>
      </c>
      <c r="CK31" s="333">
        <f t="shared" si="34"/>
        <v>0.43333333333333335</v>
      </c>
      <c r="CL31" s="333">
        <f t="shared" si="35"/>
        <v>0.46666666666666667</v>
      </c>
      <c r="CM31" s="333">
        <f t="shared" si="36"/>
        <v>0.5</v>
      </c>
      <c r="CN31" s="333">
        <f t="shared" si="37"/>
        <v>0.53333333333333333</v>
      </c>
      <c r="CO31" s="333">
        <f t="shared" si="38"/>
        <v>0.56666666666666665</v>
      </c>
      <c r="CP31" s="333">
        <f t="shared" si="39"/>
        <v>0.6</v>
      </c>
      <c r="CQ31" s="333">
        <f t="shared" si="40"/>
        <v>0.6333333333333333</v>
      </c>
      <c r="CR31" s="333">
        <f t="shared" si="41"/>
        <v>0.66666666666666674</v>
      </c>
      <c r="CS31" s="333">
        <f t="shared" si="42"/>
        <v>0.7</v>
      </c>
      <c r="CT31" s="333">
        <f t="shared" si="43"/>
        <v>0.73333333333333339</v>
      </c>
      <c r="CU31" s="333">
        <f t="shared" si="44"/>
        <v>0.76666666666666661</v>
      </c>
      <c r="CV31" s="333">
        <f t="shared" si="45"/>
        <v>0.8</v>
      </c>
      <c r="CW31" s="333">
        <f t="shared" si="46"/>
        <v>0</v>
      </c>
      <c r="CX31" s="333">
        <f t="shared" si="47"/>
        <v>0.83333333333333337</v>
      </c>
      <c r="CY31" s="333">
        <f t="shared" si="48"/>
        <v>0.8666666666666667</v>
      </c>
      <c r="CZ31" s="333">
        <f t="shared" si="49"/>
        <v>0.9</v>
      </c>
      <c r="DA31" s="333">
        <f t="shared" si="50"/>
        <v>0.93333333333333335</v>
      </c>
      <c r="DB31" s="333">
        <f t="shared" si="51"/>
        <v>0.96666666666666667</v>
      </c>
      <c r="DC31" s="333">
        <f t="shared" si="52"/>
        <v>1</v>
      </c>
      <c r="DD31" s="334">
        <f t="shared" si="29"/>
        <v>1468332.2839237878</v>
      </c>
      <c r="DE31" s="334">
        <f t="shared" si="30"/>
        <v>0</v>
      </c>
      <c r="DF31" s="334">
        <f t="shared" si="53"/>
        <v>1357269.4038174679</v>
      </c>
      <c r="DH31" s="220">
        <f t="shared" si="25"/>
        <v>1468332.2839237878</v>
      </c>
      <c r="DI31" s="299">
        <f t="shared" si="26"/>
        <v>0</v>
      </c>
    </row>
    <row r="32" spans="1:113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333"/>
      <c r="CI32" s="333"/>
      <c r="CJ32" s="333"/>
      <c r="CK32" s="333"/>
      <c r="CL32" s="333"/>
      <c r="CM32" s="333"/>
      <c r="CN32" s="333"/>
      <c r="CO32" s="333"/>
      <c r="CP32" s="333"/>
      <c r="CQ32" s="333"/>
      <c r="CR32" s="333"/>
      <c r="CS32" s="333"/>
      <c r="CT32" s="333"/>
      <c r="CU32" s="333"/>
      <c r="CV32" s="333"/>
      <c r="CW32" s="333"/>
      <c r="CX32" s="333"/>
      <c r="CY32" s="333"/>
      <c r="CZ32" s="333"/>
      <c r="DA32" s="333"/>
      <c r="DB32" s="333"/>
      <c r="DC32" s="333"/>
      <c r="DD32" s="334">
        <f t="shared" si="29"/>
        <v>0</v>
      </c>
      <c r="DE32" s="334">
        <f t="shared" si="30"/>
        <v>0</v>
      </c>
      <c r="DF32" s="334"/>
      <c r="DH32" s="220">
        <f t="shared" si="25"/>
        <v>0</v>
      </c>
      <c r="DI32" s="299">
        <f t="shared" si="26"/>
        <v>0</v>
      </c>
    </row>
    <row r="33" spans="1:113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321">
        <f>IF(D33=0,0,2001-(D33-F33)*C33/D33)</f>
        <v>0</v>
      </c>
      <c r="CI33" s="333">
        <f>IF((1-($DD$2-$CH33)/$C33)&gt;0,(1-($DD$2-$CH33)/$C33),0)</f>
        <v>0</v>
      </c>
      <c r="CJ33" s="333">
        <f>IF((1-($DD$2-G$2)/$C33)&gt;0,(1-($DD$2-G$2)/$C33),0)</f>
        <v>0.4</v>
      </c>
      <c r="CK33" s="333">
        <f>IF((1-($DD$2-K$2)/$C33)&gt;0,(1-($DD$2-K$2)/$C33),0)</f>
        <v>0.43333333333333335</v>
      </c>
      <c r="CL33" s="333">
        <f>IF((1-($DD$2-O$2)/$C33)&gt;0,(1-($DD$2-O$2)/$C33),0)</f>
        <v>0.46666666666666667</v>
      </c>
      <c r="CM33" s="333">
        <f>IF((1-($DD$2-S$2)/$C33)&gt;0,(1-($DD$2-S$2)/$C33),0)</f>
        <v>0.5</v>
      </c>
      <c r="CN33" s="333">
        <f>IF((1-($DD$2-W$2)/$C33)&gt;0,(1-($DD$2-W$2)/$C33),0)</f>
        <v>0.53333333333333333</v>
      </c>
      <c r="CO33" s="333">
        <f>IF((1-($DD$2-AA$2)/$C33)&gt;0,(1-($DD$2-AA$2)/$C33),0)</f>
        <v>0.56666666666666665</v>
      </c>
      <c r="CP33" s="333">
        <f>IF((1-($DD$2-AE$2)/$C33)&gt;0,(1-($DD$2-AE$2)/$C33),0)</f>
        <v>0.6</v>
      </c>
      <c r="CQ33" s="333">
        <f>IF((1-($DD$2-AI$2)/$C33)&gt;0,(1-($DD$2-AI$2)/$C33),0)</f>
        <v>0.6333333333333333</v>
      </c>
      <c r="CR33" s="333">
        <f>IF((1-($DD$2-AM$2)/$C33)&gt;0,(1-($DD$2-AM$2)/$C33),0)</f>
        <v>0.66666666666666674</v>
      </c>
      <c r="CS33" s="333">
        <f>IF((1-($DD$2-AQ$2)/$C33)&gt;0,(1-($DD$2-AQ$2)/$C33),0)</f>
        <v>0.7</v>
      </c>
      <c r="CT33" s="333">
        <f>IF((1-($DD$2-AU$2)/$C33)&gt;0,(1-($DD$2-AU$2)/$C33),0)</f>
        <v>0.73333333333333339</v>
      </c>
      <c r="CU33" s="333">
        <f>IF((1-($DD$2-AY$2)/$C33)&gt;0,(1-($DD$2-AY$2)/$C33),0)</f>
        <v>0.76666666666666661</v>
      </c>
      <c r="CV33" s="333">
        <f>IF((1-($DD$2-BC$2)/$C33)&gt;0,(1-($DD$2-BC$2)/$C33),0)</f>
        <v>0.8</v>
      </c>
      <c r="CW33" s="333">
        <f>IF(BG33=0,0,1-($DD$2-(2014.5-(BG33-BI33)*C33/BG33))/C33)</f>
        <v>0.57079074582906442</v>
      </c>
      <c r="CX33" s="333">
        <f>IF((1-($DD$2-BJ$2)/$C33)&gt;0,(1-($DD$2-BJ$2)/$C33),0)</f>
        <v>0.83333333333333337</v>
      </c>
      <c r="CY33" s="333">
        <f>IF((1-($DD$2-BN$2)/$C33)&gt;0,(1-($DD$2-BN$2)/$C33),0)</f>
        <v>0.8666666666666667</v>
      </c>
      <c r="CZ33" s="333">
        <f>IF((1-($DD$2-BR$2)/$C33)&gt;0,(1-($DD$2-BR$2)/$C33),0)</f>
        <v>0.9</v>
      </c>
      <c r="DA33" s="333">
        <f>IF((1-($DD$2-BV$2)/$C33)&gt;0,(1-($DD$2-BV$2)/$C33),0)</f>
        <v>0.93333333333333335</v>
      </c>
      <c r="DB33" s="333">
        <f>IF((1-($DD$2-BZ$2)/$C33)&gt;0,(1-($DD$2-BZ$2)/$C33),0)</f>
        <v>0.96666666666666667</v>
      </c>
      <c r="DC33" s="333">
        <f>IF((1-($DD$2-CD$2)/$C33)&gt;0,(1-($DD$2-CD$2)/$C33),0)</f>
        <v>1</v>
      </c>
      <c r="DD33" s="334">
        <f t="shared" si="29"/>
        <v>24276635.853504088</v>
      </c>
      <c r="DE33" s="334">
        <f t="shared" si="30"/>
        <v>0</v>
      </c>
      <c r="DF33" s="334">
        <f>(D33-E33)*CI33+((G33-H33-(I33-J33))*G$61)*CJ33+((K33-L33-(M33-N33))*K$61)*CK33+((O33-P33-(Q33-R33))*O$61)*CL33+((S33-T33-(U33-V33))*S$61)*CM33+((W33-X33-(Y33-Z33))*W$61)*CN33+((AA33-AB33-(AC33-AD33))*AA$61)*CO33+((AE33-AF33-(AG33-AH33))*AE$61)*CP33+((AI33-AJ33-(AK33-AL33))*AI$61)*CQ33+((AM33-AN33-(AO33-AP33))*$AM$61)*CR33+((AQ33-AR33-(AS33-AT33))*$AQ$61)*CS33+((AU33-AV33-(AW33-AX33))*$AU$61)*CT33+((AY33-AZ33-(BA33-BB33))*$AY$61)*CU33+((BC33-BD33-(BE33-BF33))*$BC$61)*CV33+((BJ33-BK33-(BL33-BM33))*$BJ$61)*CX33+(BG33-BH33)*CW33+((BN33-BO33-(BP33-BQ33))*$BN$61)*CY33+((BR33-BS33-(BT33-BU33))*$BR$61)*CZ33+((BV33-BW33-(BX33-BY33))*$BV$61)*DA33+((BZ33-CA33-(CB33-CC33))*$BZ$61)*DB33+((CD33-CE33-(CF33-CG33))*$CD$61)*DC33</f>
        <v>19050620.947652064</v>
      </c>
      <c r="DH33" s="220">
        <f t="shared" si="25"/>
        <v>24276635.853504088</v>
      </c>
      <c r="DI33" s="299">
        <f t="shared" si="26"/>
        <v>0</v>
      </c>
    </row>
    <row r="34" spans="1:113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321">
        <f>IF(D34=0,0,2001-(D34-F34)*C34/D34)</f>
        <v>0</v>
      </c>
      <c r="CI34" s="333">
        <f>IF((1-($DD$2-$CH34)/$C34)&gt;0,(1-($DD$2-$CH34)/$C34),0)</f>
        <v>0</v>
      </c>
      <c r="CJ34" s="333">
        <f>IF((1-($DD$2-G$2)/$C34)&gt;0,(1-($DD$2-G$2)/$C34),0)</f>
        <v>0.4</v>
      </c>
      <c r="CK34" s="333">
        <f>IF((1-($DD$2-K$2)/$C34)&gt;0,(1-($DD$2-K$2)/$C34),0)</f>
        <v>0.43333333333333335</v>
      </c>
      <c r="CL34" s="333">
        <f>IF((1-($DD$2-O$2)/$C34)&gt;0,(1-($DD$2-O$2)/$C34),0)</f>
        <v>0.46666666666666667</v>
      </c>
      <c r="CM34" s="333">
        <f>IF((1-($DD$2-S$2)/$C34)&gt;0,(1-($DD$2-S$2)/$C34),0)</f>
        <v>0.5</v>
      </c>
      <c r="CN34" s="333">
        <f>IF((1-($DD$2-W$2)/$C34)&gt;0,(1-($DD$2-W$2)/$C34),0)</f>
        <v>0.53333333333333333</v>
      </c>
      <c r="CO34" s="333">
        <f>IF((1-($DD$2-AA$2)/$C34)&gt;0,(1-($DD$2-AA$2)/$C34),0)</f>
        <v>0.56666666666666665</v>
      </c>
      <c r="CP34" s="333">
        <f>IF((1-($DD$2-AE$2)/$C34)&gt;0,(1-($DD$2-AE$2)/$C34),0)</f>
        <v>0.6</v>
      </c>
      <c r="CQ34" s="333">
        <f>IF((1-($DD$2-AI$2)/$C34)&gt;0,(1-($DD$2-AI$2)/$C34),0)</f>
        <v>0.6333333333333333</v>
      </c>
      <c r="CR34" s="333">
        <f>IF((1-($DD$2-AM$2)/$C34)&gt;0,(1-($DD$2-AM$2)/$C34),0)</f>
        <v>0.66666666666666674</v>
      </c>
      <c r="CS34" s="333">
        <f>IF((1-($DD$2-AQ$2)/$C34)&gt;0,(1-($DD$2-AQ$2)/$C34),0)</f>
        <v>0.7</v>
      </c>
      <c r="CT34" s="333">
        <f>IF((1-($DD$2-AU$2)/$C34)&gt;0,(1-($DD$2-AU$2)/$C34),0)</f>
        <v>0.73333333333333339</v>
      </c>
      <c r="CU34" s="333">
        <f>IF((1-($DD$2-AY$2)/$C34)&gt;0,(1-($DD$2-AY$2)/$C34),0)</f>
        <v>0.76666666666666661</v>
      </c>
      <c r="CV34" s="333">
        <f>IF((1-($DD$2-BC$2)/$C34)&gt;0,(1-($DD$2-BC$2)/$C34),0)</f>
        <v>0.8</v>
      </c>
      <c r="CW34" s="333">
        <f>IF(BG34=0,0,1-($DD$2-(2014.5-(BG34-BI34)*C34/BG34))/C34)</f>
        <v>0</v>
      </c>
      <c r="CX34" s="333">
        <f>IF((1-($DD$2-BJ$2)/$C34)&gt;0,(1-($DD$2-BJ$2)/$C34),0)</f>
        <v>0.83333333333333337</v>
      </c>
      <c r="CY34" s="333">
        <f>IF((1-($DD$2-BN$2)/$C34)&gt;0,(1-($DD$2-BN$2)/$C34),0)</f>
        <v>0.8666666666666667</v>
      </c>
      <c r="CZ34" s="333">
        <f>IF((1-($DD$2-BR$2)/$C34)&gt;0,(1-($DD$2-BR$2)/$C34),0)</f>
        <v>0.9</v>
      </c>
      <c r="DA34" s="333">
        <f>IF((1-($DD$2-BV$2)/$C34)&gt;0,(1-($DD$2-BV$2)/$C34),0)</f>
        <v>0.93333333333333335</v>
      </c>
      <c r="DB34" s="333">
        <f>IF((1-($DD$2-BZ$2)/$C34)&gt;0,(1-($DD$2-BZ$2)/$C34),0)</f>
        <v>0.96666666666666667</v>
      </c>
      <c r="DC34" s="333">
        <f>IF((1-($DD$2-CD$2)/$C34)&gt;0,(1-($DD$2-CD$2)/$C34),0)</f>
        <v>1</v>
      </c>
      <c r="DD34" s="334">
        <f t="shared" si="29"/>
        <v>7827144.1035724916</v>
      </c>
      <c r="DE34" s="334">
        <f t="shared" si="30"/>
        <v>0</v>
      </c>
      <c r="DF34" s="334">
        <f>(D34-E34)*CI34+((G34-H34-(I34-J34))*G$61)*CJ34+((K34-L34-(M34-N34))*K$61)*CK34+((O34-P34-(Q34-R34))*O$61)*CL34+((S34-T34-(U34-V34))*S$61)*CM34+((W34-X34-(Y34-Z34))*W$61)*CN34+((AA34-AB34-(AC34-AD34))*AA$61)*CO34+((AE34-AF34-(AG34-AH34))*AE$61)*CP34+((AI34-AJ34-(AK34-AL34))*AI$61)*CQ34+((AM34-AN34-(AO34-AP34))*$AM$61)*CR34+((AQ34-AR34-(AS34-AT34))*$AQ$61)*CS34+((AU34-AV34-(AW34-AX34))*$AU$61)*CT34+((AY34-AZ34-(BA34-BB34))*$AY$61)*CU34+((BC34-BD34-(BE34-BF34))*$BC$61)*CV34+((BJ34-BK34-(BL34-BM34))*$BJ$61)*CX34+(BG34-BH34)*CW34+((BN34-BO34-(BP34-BQ34))*$BN$61)*CY34+((BR34-BS34-(BT34-BU34))*$BR$61)*CZ34+((BV34-BW34-(BX34-BY34))*$BV$61)*DA34+((BZ34-CA34-(CB34-CC34))*$BZ$61)*DB34+((CD34-CE34-(CF34-CG34))*$CD$61)*DC34</f>
        <v>6993585.6990904342</v>
      </c>
      <c r="DH34" s="220">
        <f t="shared" si="25"/>
        <v>7827144.1035724916</v>
      </c>
      <c r="DI34" s="299">
        <f t="shared" si="26"/>
        <v>0</v>
      </c>
    </row>
    <row r="35" spans="1:113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321">
        <f>IF(D35=0,0,2001-(D35-F35)*C35/D35)</f>
        <v>1991.607642802117</v>
      </c>
      <c r="CI35" s="333">
        <f>IF((1-($DD$2-$CH35)/$C35)&gt;0,(1-($DD$2-$CH35)/$C35),0)</f>
        <v>5.3588093403899029E-2</v>
      </c>
      <c r="CJ35" s="333">
        <f>IF((1-($DD$2-G$2)/$C35)&gt;0,(1-($DD$2-G$2)/$C35),0)</f>
        <v>0.4</v>
      </c>
      <c r="CK35" s="333">
        <f>IF((1-($DD$2-K$2)/$C35)&gt;0,(1-($DD$2-K$2)/$C35),0)</f>
        <v>0.43333333333333335</v>
      </c>
      <c r="CL35" s="333">
        <f>IF((1-($DD$2-O$2)/$C35)&gt;0,(1-($DD$2-O$2)/$C35),0)</f>
        <v>0.46666666666666667</v>
      </c>
      <c r="CM35" s="333">
        <f>IF((1-($DD$2-S$2)/$C35)&gt;0,(1-($DD$2-S$2)/$C35),0)</f>
        <v>0.5</v>
      </c>
      <c r="CN35" s="333">
        <f>IF((1-($DD$2-W$2)/$C35)&gt;0,(1-($DD$2-W$2)/$C35),0)</f>
        <v>0.53333333333333333</v>
      </c>
      <c r="CO35" s="333">
        <f>IF((1-($DD$2-AA$2)/$C35)&gt;0,(1-($DD$2-AA$2)/$C35),0)</f>
        <v>0.56666666666666665</v>
      </c>
      <c r="CP35" s="333">
        <f>IF((1-($DD$2-AE$2)/$C35)&gt;0,(1-($DD$2-AE$2)/$C35),0)</f>
        <v>0.6</v>
      </c>
      <c r="CQ35" s="333">
        <f>IF((1-($DD$2-AI$2)/$C35)&gt;0,(1-($DD$2-AI$2)/$C35),0)</f>
        <v>0.6333333333333333</v>
      </c>
      <c r="CR35" s="333">
        <f>IF((1-($DD$2-AM$2)/$C35)&gt;0,(1-($DD$2-AM$2)/$C35),0)</f>
        <v>0.66666666666666674</v>
      </c>
      <c r="CS35" s="333">
        <f>IF((1-($DD$2-AQ$2)/$C35)&gt;0,(1-($DD$2-AQ$2)/$C35),0)</f>
        <v>0.7</v>
      </c>
      <c r="CT35" s="333">
        <f>IF((1-($DD$2-AU$2)/$C35)&gt;0,(1-($DD$2-AU$2)/$C35),0)</f>
        <v>0.73333333333333339</v>
      </c>
      <c r="CU35" s="333">
        <f>IF((1-($DD$2-AY$2)/$C35)&gt;0,(1-($DD$2-AY$2)/$C35),0)</f>
        <v>0.76666666666666661</v>
      </c>
      <c r="CV35" s="333">
        <f>IF((1-($DD$2-BC$2)/$C35)&gt;0,(1-($DD$2-BC$2)/$C35),0)</f>
        <v>0.8</v>
      </c>
      <c r="CW35" s="333">
        <f>IF(BG35=0,0,1-($DD$2-(2014.5-(BG35-BI35)*C35/BG35))/C35)</f>
        <v>0.57079074582906442</v>
      </c>
      <c r="CX35" s="333">
        <f>IF((1-($DD$2-BJ$2)/$C35)&gt;0,(1-($DD$2-BJ$2)/$C35),0)</f>
        <v>0.83333333333333337</v>
      </c>
      <c r="CY35" s="333">
        <f>IF((1-($DD$2-BN$2)/$C35)&gt;0,(1-($DD$2-BN$2)/$C35),0)</f>
        <v>0.8666666666666667</v>
      </c>
      <c r="CZ35" s="333">
        <f>IF((1-($DD$2-BR$2)/$C35)&gt;0,(1-($DD$2-BR$2)/$C35),0)</f>
        <v>0.9</v>
      </c>
      <c r="DA35" s="333">
        <f>IF((1-($DD$2-BV$2)/$C35)&gt;0,(1-($DD$2-BV$2)/$C35),0)</f>
        <v>0.93333333333333335</v>
      </c>
      <c r="DB35" s="333">
        <f>IF((1-($DD$2-BZ$2)/$C35)&gt;0,(1-($DD$2-BZ$2)/$C35),0)</f>
        <v>0.96666666666666667</v>
      </c>
      <c r="DC35" s="333">
        <f>IF((1-($DD$2-CD$2)/$C35)&gt;0,(1-($DD$2-CD$2)/$C35),0)</f>
        <v>1</v>
      </c>
      <c r="DD35" s="334">
        <f t="shared" si="29"/>
        <v>14509671.137072485</v>
      </c>
      <c r="DE35" s="334">
        <f t="shared" si="30"/>
        <v>0</v>
      </c>
      <c r="DF35" s="334">
        <f>(D35-E35)*CI35+((G35-H35-(I35-J35))*G$61)*CJ35+((K35-L35-(M35-N35))*K$61)*CK35+((O35-P35-(Q35-R35))*O$61)*CL35+((S35-T35-(U35-V35))*S$61)*CM35+((W35-X35-(Y35-Z35))*W$61)*CN35+((AA35-AB35-(AC35-AD35))*AA$61)*CO35+((AE35-AF35-(AG35-AH35))*AE$61)*CP35+((AI35-AJ35-(AK35-AL35))*AI$61)*CQ35+((AM35-AN35-(AO35-AP35))*$AM$61)*CR35+((AQ35-AR35-(AS35-AT35))*$AQ$61)*CS35+((AU35-AV35-(AW35-AX35))*$AU$61)*CT35+((AY35-AZ35-(BA35-BB35))*$AY$61)*CU35+((BC35-BD35-(BE35-BF35))*$BC$61)*CV35+((BJ35-BK35-(BL35-BM35))*$BJ$61)*CX35+(BG35-BH35)*CW35+((BN35-BO35-(BP35-BQ35))*$BN$61)*CY35+((BR35-BS35-(BT35-BU35))*$BR$61)*CZ35+((BV35-BW35-(BX35-BY35))*$BV$61)*DA35+((BZ35-CA35-(CB35-CC35))*$BZ$61)*DB35+((CD35-CE35-(CF35-CG35))*$CD$61)*DC35</f>
        <v>3638006.873873231</v>
      </c>
      <c r="DH35" s="220">
        <f t="shared" si="25"/>
        <v>14509671.137072485</v>
      </c>
      <c r="DI35" s="299">
        <f t="shared" si="26"/>
        <v>0</v>
      </c>
    </row>
    <row r="36" spans="1:113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4">
        <f t="shared" si="29"/>
        <v>0</v>
      </c>
      <c r="DE36" s="334">
        <f t="shared" si="30"/>
        <v>0</v>
      </c>
      <c r="DF36" s="334"/>
      <c r="DH36" s="220">
        <f t="shared" si="25"/>
        <v>0</v>
      </c>
      <c r="DI36" s="299">
        <f t="shared" si="26"/>
        <v>0</v>
      </c>
    </row>
    <row r="37" spans="1:113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321">
        <f t="shared" ref="CH37:CH44" si="54">IF(D37=0,0,2001-(D37-F37)*C37/D37)</f>
        <v>0</v>
      </c>
      <c r="CI37" s="333">
        <f t="shared" ref="CI37:CI44" si="55">IF((1-($DD$2-$CH37)/$C37)&gt;0,(1-($DD$2-$CH37)/$C37),0)</f>
        <v>0</v>
      </c>
      <c r="CJ37" s="333">
        <f t="shared" ref="CJ37:CJ44" si="56">IF((1-($DD$2-G$2)/$C37)&gt;0,(1-($DD$2-G$2)/$C37),0)</f>
        <v>0</v>
      </c>
      <c r="CK37" s="333">
        <f t="shared" ref="CK37:CK44" si="57">IF((1-($DD$2-K$2)/$C37)&gt;0,(1-($DD$2-K$2)/$C37),0)</f>
        <v>0</v>
      </c>
      <c r="CL37" s="333">
        <f t="shared" ref="CL37:CL44" si="58">IF((1-($DD$2-O$2)/$C37)&gt;0,(1-($DD$2-O$2)/$C37),0)</f>
        <v>0</v>
      </c>
      <c r="CM37" s="333">
        <f t="shared" ref="CM37:CM44" si="59">IF((1-($DD$2-S$2)/$C37)&gt;0,(1-($DD$2-S$2)/$C37),0)</f>
        <v>0</v>
      </c>
      <c r="CN37" s="333">
        <f t="shared" ref="CN37:CN44" si="60">IF((1-($DD$2-W$2)/$C37)&gt;0,(1-($DD$2-W$2)/$C37),0)</f>
        <v>0</v>
      </c>
      <c r="CO37" s="333">
        <f t="shared" ref="CO37:CO44" si="61">IF((1-($DD$2-AA$2)/$C37)&gt;0,(1-($DD$2-AA$2)/$C37),0)</f>
        <v>0</v>
      </c>
      <c r="CP37" s="333">
        <f t="shared" ref="CP37:CP44" si="62">IF((1-($DD$2-AE$2)/$C37)&gt;0,(1-($DD$2-AE$2)/$C37),0)</f>
        <v>0</v>
      </c>
      <c r="CQ37" s="333">
        <f t="shared" ref="CQ37:CQ44" si="63">IF((1-($DD$2-AI$2)/$C37)&gt;0,(1-($DD$2-AI$2)/$C37),0)</f>
        <v>0</v>
      </c>
      <c r="CR37" s="333">
        <f t="shared" ref="CR37:CR44" si="64">IF((1-($DD$2-AM$2)/$C37)&gt;0,(1-($DD$2-AM$2)/$C37),0)</f>
        <v>0</v>
      </c>
      <c r="CS37" s="333">
        <f t="shared" ref="CS37:CS44" si="65">IF((1-($DD$2-AQ$2)/$C37)&gt;0,(1-($DD$2-AQ$2)/$C37),0)</f>
        <v>9.9999999999999978E-2</v>
      </c>
      <c r="CT37" s="333">
        <f t="shared" ref="CT37:CT44" si="66">IF((1-($DD$2-AU$2)/$C37)&gt;0,(1-($DD$2-AU$2)/$C37),0)</f>
        <v>0.19999999999999996</v>
      </c>
      <c r="CU37" s="333">
        <f t="shared" ref="CU37:CU44" si="67">IF((1-($DD$2-AY$2)/$C37)&gt;0,(1-($DD$2-AY$2)/$C37),0)</f>
        <v>0.30000000000000004</v>
      </c>
      <c r="CV37" s="333">
        <f t="shared" ref="CV37:CV44" si="68">IF((1-($DD$2-BC$2)/$C37)&gt;0,(1-($DD$2-BC$2)/$C37),0)</f>
        <v>0.4</v>
      </c>
      <c r="CW37" s="333">
        <f t="shared" ref="CW37:CW44" si="69">IF(BG37=0,0,1-($DD$2-(2014.5-(BG37-BI37)*C37/BG37))/C37)</f>
        <v>0</v>
      </c>
      <c r="CX37" s="333">
        <f t="shared" ref="CX37:CX44" si="70">IF((1-($DD$2-BJ$2)/$C37)&gt;0,(1-($DD$2-BJ$2)/$C37),0)</f>
        <v>0.5</v>
      </c>
      <c r="CY37" s="333">
        <f t="shared" ref="CY37:CY44" si="71">IF((1-($DD$2-BN$2)/$C37)&gt;0,(1-($DD$2-BN$2)/$C37),0)</f>
        <v>0.6</v>
      </c>
      <c r="CZ37" s="333">
        <f t="shared" ref="CZ37:CZ44" si="72">IF((1-($DD$2-BR$2)/$C37)&gt;0,(1-($DD$2-BR$2)/$C37),0)</f>
        <v>0.7</v>
      </c>
      <c r="DA37" s="333">
        <f t="shared" ref="DA37:DA44" si="73">IF((1-($DD$2-BV$2)/$C37)&gt;0,(1-($DD$2-BV$2)/$C37),0)</f>
        <v>0.8</v>
      </c>
      <c r="DB37" s="333">
        <f t="shared" ref="DB37:DB44" si="74">IF((1-($DD$2-BZ$2)/$C37)&gt;0,(1-($DD$2-BZ$2)/$C37),0)</f>
        <v>0.9</v>
      </c>
      <c r="DC37" s="333">
        <f t="shared" ref="DC37:DC44" si="75">IF((1-($DD$2-CD$2)/$C37)&gt;0,(1-($DD$2-CD$2)/$C37),0)</f>
        <v>1</v>
      </c>
      <c r="DD37" s="334">
        <f t="shared" si="29"/>
        <v>0</v>
      </c>
      <c r="DE37" s="334">
        <f t="shared" si="30"/>
        <v>0</v>
      </c>
      <c r="DF37" s="334">
        <f>(D37-E37)*CI37+((G37-H37-(I37-J37))*G$61)*CJ37+((K37-L37-(M37-N37))*K$61)*CK37+((O37-P37-(Q37-R37))*O$61)*CL37+((S37-T37-(U37-V37))*S$61)*CM37+((W37-X37-(Y37-Z37))*W$61)*CN37+((AA37-AB37-(AC37-AD37))*AA$61)*CO37+((AE37-AF37-(AG37-AH37))*AE$61)*CP37+((AI37-AJ37-(AK37-AL37))*AI$61)*CQ37+((AM37-AN37-(AO37-AP37))*$AM$61)*CR37+((AQ37-AR37-(AS37-AT37))*$AQ$61)*CS37+((AU37-AV37-(AW37-AX37))*$AU$61)*CT37+((AY37-AZ37-(BA37-BB37))*$AY$61)*CU37+((BC37-BD37-(BE37-BF37))*$BC$61)*CV37+((BJ37-BK37-(BL37-BM37))*$BJ$61)*CX37+(BG37-BH37)*CW37+((BN37-BO37-(BP37-BQ37))*$BN$61)*CY37+((BR37-BS37-(BT37-BU37))*$BR$61)*CZ37+((BV37-BW37-(BX37-BY37))*$BV$61)*DA37+((BZ37-CA37-(CB37-CC37))*$BZ$61)*DB37+((CD37-CE37-(CF37-CG37))*$CD$61)*DC37</f>
        <v>0</v>
      </c>
      <c r="DH37" s="220">
        <f t="shared" si="25"/>
        <v>0</v>
      </c>
      <c r="DI37" s="299">
        <f t="shared" si="26"/>
        <v>0</v>
      </c>
    </row>
    <row r="38" spans="1:113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321">
        <f t="shared" si="54"/>
        <v>0</v>
      </c>
      <c r="CI38" s="333">
        <f t="shared" si="55"/>
        <v>0</v>
      </c>
      <c r="CJ38" s="333">
        <f t="shared" si="56"/>
        <v>0</v>
      </c>
      <c r="CK38" s="333">
        <f t="shared" si="57"/>
        <v>0</v>
      </c>
      <c r="CL38" s="333">
        <f t="shared" si="58"/>
        <v>0</v>
      </c>
      <c r="CM38" s="333">
        <f t="shared" si="59"/>
        <v>0</v>
      </c>
      <c r="CN38" s="333">
        <f t="shared" si="60"/>
        <v>0</v>
      </c>
      <c r="CO38" s="333">
        <f t="shared" si="61"/>
        <v>0</v>
      </c>
      <c r="CP38" s="333">
        <f t="shared" si="62"/>
        <v>0</v>
      </c>
      <c r="CQ38" s="333">
        <f t="shared" si="63"/>
        <v>0</v>
      </c>
      <c r="CR38" s="333">
        <f t="shared" si="64"/>
        <v>0</v>
      </c>
      <c r="CS38" s="333">
        <f t="shared" si="65"/>
        <v>0</v>
      </c>
      <c r="CT38" s="333">
        <f t="shared" si="66"/>
        <v>0</v>
      </c>
      <c r="CU38" s="333">
        <f t="shared" si="67"/>
        <v>0</v>
      </c>
      <c r="CV38" s="333">
        <f t="shared" si="68"/>
        <v>0</v>
      </c>
      <c r="CW38" s="333">
        <f t="shared" si="69"/>
        <v>0</v>
      </c>
      <c r="CX38" s="333">
        <f t="shared" si="70"/>
        <v>0</v>
      </c>
      <c r="CY38" s="333">
        <f t="shared" si="71"/>
        <v>0.19999999999999996</v>
      </c>
      <c r="CZ38" s="333">
        <f t="shared" si="72"/>
        <v>0.4</v>
      </c>
      <c r="DA38" s="333">
        <f t="shared" si="73"/>
        <v>0.6</v>
      </c>
      <c r="DB38" s="333">
        <f t="shared" si="74"/>
        <v>0.8</v>
      </c>
      <c r="DC38" s="333">
        <f t="shared" si="75"/>
        <v>1</v>
      </c>
      <c r="DD38" s="334">
        <f t="shared" si="29"/>
        <v>7670.8689809675761</v>
      </c>
      <c r="DE38" s="334">
        <f t="shared" si="30"/>
        <v>7670.8689809675761</v>
      </c>
      <c r="DF38" s="334">
        <f t="shared" ref="DF38:DF44" si="76">(D38-E38)*CI38+((G38-H38-(I38-J38))*G$61)*CJ38+((K38-L38-(M38-N38))*K$61)*CK38+((O38-P38-(Q38-R38))*O$61)*CL38+((S38-T38-(U38-V38))*S$61)*CM38+((W38-X38-(Y38-Z38))*W$61)*CN38+((AA38-AB38-(AC38-AD38))*AA$61)*CO38+((AE38-AF38-(AG38-AH38))*AE$61)*CP38+((AI38-AJ38-(AK38-AL38))*AI$61)*CQ38+((AM38-AN38-(AO38-AP38))*$AM$61)*CR38+((AQ38-AR38-(AS38-AT38))*$AQ$61)*CS38+((AU38-AV38-(AW38-AX38))*$AU$61)*CT38+((AY38-AZ38-(BA38-BB38))*$AY$61)*CU38+((BC38-BD38-(BE38-BF38))*$BC$61)*CV38+((BJ38-BK38-(BL38-BM38))*$BJ$61)*CX38+(BG38-BH38)*CW38+((BN38-BO38-(BP38-BQ38))*$BN$61)*CY38+((BR38-BS38-(BT38-BU38))*$BR$61)*CZ38+((BV38-BW38-(BX38-BY38))*$BV$61)*DA38+((BZ38-CA38-(CB38-CC38))*$BZ$61)*DB38+((CD38-CE38-(CF38-CG38))*$CD$61)*DC38</f>
        <v>0</v>
      </c>
      <c r="DH38" s="220">
        <f t="shared" si="25"/>
        <v>0</v>
      </c>
      <c r="DI38" s="299">
        <f t="shared" si="26"/>
        <v>0</v>
      </c>
    </row>
    <row r="39" spans="1:113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321">
        <f t="shared" si="54"/>
        <v>0</v>
      </c>
      <c r="CI39" s="333">
        <f t="shared" si="55"/>
        <v>0</v>
      </c>
      <c r="CJ39" s="333">
        <f t="shared" si="56"/>
        <v>0.98199999999999998</v>
      </c>
      <c r="CK39" s="333">
        <f t="shared" si="57"/>
        <v>0.98299999999999998</v>
      </c>
      <c r="CL39" s="333">
        <f t="shared" si="58"/>
        <v>0.98399999999999999</v>
      </c>
      <c r="CM39" s="333">
        <f t="shared" si="59"/>
        <v>0.98499999999999999</v>
      </c>
      <c r="CN39" s="333">
        <f t="shared" si="60"/>
        <v>0.98599999999999999</v>
      </c>
      <c r="CO39" s="333">
        <f t="shared" si="61"/>
        <v>0.98699999999999999</v>
      </c>
      <c r="CP39" s="333">
        <f t="shared" si="62"/>
        <v>0.98799999999999999</v>
      </c>
      <c r="CQ39" s="333">
        <f t="shared" si="63"/>
        <v>0.98899999999999999</v>
      </c>
      <c r="CR39" s="333">
        <f t="shared" si="64"/>
        <v>0.99</v>
      </c>
      <c r="CS39" s="333">
        <f t="shared" si="65"/>
        <v>0.99099999999999999</v>
      </c>
      <c r="CT39" s="333">
        <f t="shared" si="66"/>
        <v>0.99199999999999999</v>
      </c>
      <c r="CU39" s="333">
        <f t="shared" si="67"/>
        <v>0.99299999999999999</v>
      </c>
      <c r="CV39" s="333">
        <f t="shared" si="68"/>
        <v>0.99399999999999999</v>
      </c>
      <c r="CW39" s="333">
        <f t="shared" si="69"/>
        <v>0</v>
      </c>
      <c r="CX39" s="333">
        <f t="shared" si="70"/>
        <v>0.995</v>
      </c>
      <c r="CY39" s="333">
        <f t="shared" si="71"/>
        <v>0.996</v>
      </c>
      <c r="CZ39" s="333">
        <f t="shared" si="72"/>
        <v>0.997</v>
      </c>
      <c r="DA39" s="333">
        <f t="shared" si="73"/>
        <v>0.998</v>
      </c>
      <c r="DB39" s="333">
        <f t="shared" si="74"/>
        <v>0.999</v>
      </c>
      <c r="DC39" s="333">
        <f t="shared" si="75"/>
        <v>1</v>
      </c>
      <c r="DD39" s="334">
        <f t="shared" si="29"/>
        <v>0</v>
      </c>
      <c r="DE39" s="334">
        <f t="shared" si="30"/>
        <v>0</v>
      </c>
      <c r="DF39" s="334">
        <f t="shared" si="76"/>
        <v>0</v>
      </c>
      <c r="DH39" s="220">
        <f t="shared" si="25"/>
        <v>0</v>
      </c>
      <c r="DI39" s="299">
        <f t="shared" si="26"/>
        <v>0</v>
      </c>
    </row>
    <row r="40" spans="1:113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321">
        <f t="shared" si="54"/>
        <v>0</v>
      </c>
      <c r="CI40" s="333">
        <f t="shared" si="55"/>
        <v>0</v>
      </c>
      <c r="CJ40" s="333">
        <f t="shared" si="56"/>
        <v>0.55000000000000004</v>
      </c>
      <c r="CK40" s="333">
        <f t="shared" si="57"/>
        <v>0.57499999999999996</v>
      </c>
      <c r="CL40" s="333">
        <f t="shared" si="58"/>
        <v>0.6</v>
      </c>
      <c r="CM40" s="333">
        <f t="shared" si="59"/>
        <v>0.625</v>
      </c>
      <c r="CN40" s="333">
        <f t="shared" si="60"/>
        <v>0.65</v>
      </c>
      <c r="CO40" s="333">
        <f t="shared" si="61"/>
        <v>0.67500000000000004</v>
      </c>
      <c r="CP40" s="333">
        <f t="shared" si="62"/>
        <v>0.7</v>
      </c>
      <c r="CQ40" s="333">
        <f t="shared" si="63"/>
        <v>0.72499999999999998</v>
      </c>
      <c r="CR40" s="333">
        <f t="shared" si="64"/>
        <v>0.75</v>
      </c>
      <c r="CS40" s="333">
        <f t="shared" si="65"/>
        <v>0.77500000000000002</v>
      </c>
      <c r="CT40" s="333">
        <f t="shared" si="66"/>
        <v>0.8</v>
      </c>
      <c r="CU40" s="333">
        <f t="shared" si="67"/>
        <v>0.82499999999999996</v>
      </c>
      <c r="CV40" s="333">
        <f t="shared" si="68"/>
        <v>0.85</v>
      </c>
      <c r="CW40" s="333">
        <f t="shared" si="69"/>
        <v>0</v>
      </c>
      <c r="CX40" s="333">
        <f t="shared" si="70"/>
        <v>0.875</v>
      </c>
      <c r="CY40" s="333">
        <f t="shared" si="71"/>
        <v>0.9</v>
      </c>
      <c r="CZ40" s="333">
        <f t="shared" si="72"/>
        <v>0.92500000000000004</v>
      </c>
      <c r="DA40" s="333">
        <f t="shared" si="73"/>
        <v>0.95</v>
      </c>
      <c r="DB40" s="333">
        <f t="shared" si="74"/>
        <v>0.97499999999999998</v>
      </c>
      <c r="DC40" s="333">
        <f t="shared" si="75"/>
        <v>1</v>
      </c>
      <c r="DD40" s="334">
        <f t="shared" si="29"/>
        <v>0</v>
      </c>
      <c r="DE40" s="334">
        <f t="shared" si="30"/>
        <v>0</v>
      </c>
      <c r="DF40" s="334">
        <f t="shared" si="76"/>
        <v>0</v>
      </c>
      <c r="DH40" s="220">
        <f t="shared" si="25"/>
        <v>0</v>
      </c>
      <c r="DI40" s="299">
        <f t="shared" si="26"/>
        <v>0</v>
      </c>
    </row>
    <row r="41" spans="1:113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321">
        <f t="shared" si="54"/>
        <v>1991</v>
      </c>
      <c r="CI41" s="333">
        <f t="shared" si="55"/>
        <v>0</v>
      </c>
      <c r="CJ41" s="333">
        <f t="shared" si="56"/>
        <v>0</v>
      </c>
      <c r="CK41" s="333">
        <f t="shared" si="57"/>
        <v>0</v>
      </c>
      <c r="CL41" s="333">
        <f t="shared" si="58"/>
        <v>0</v>
      </c>
      <c r="CM41" s="333">
        <f t="shared" si="59"/>
        <v>0</v>
      </c>
      <c r="CN41" s="333">
        <f t="shared" si="60"/>
        <v>0</v>
      </c>
      <c r="CO41" s="333">
        <f t="shared" si="61"/>
        <v>0</v>
      </c>
      <c r="CP41" s="333">
        <f t="shared" si="62"/>
        <v>0</v>
      </c>
      <c r="CQ41" s="333">
        <f t="shared" si="63"/>
        <v>0</v>
      </c>
      <c r="CR41" s="333">
        <f t="shared" si="64"/>
        <v>0</v>
      </c>
      <c r="CS41" s="333">
        <f t="shared" si="65"/>
        <v>9.9999999999999978E-2</v>
      </c>
      <c r="CT41" s="333">
        <f t="shared" si="66"/>
        <v>0.19999999999999996</v>
      </c>
      <c r="CU41" s="333">
        <f t="shared" si="67"/>
        <v>0.30000000000000004</v>
      </c>
      <c r="CV41" s="333">
        <f t="shared" si="68"/>
        <v>0.4</v>
      </c>
      <c r="CW41" s="333">
        <f t="shared" si="69"/>
        <v>0</v>
      </c>
      <c r="CX41" s="333">
        <f t="shared" si="70"/>
        <v>0.5</v>
      </c>
      <c r="CY41" s="333">
        <f t="shared" si="71"/>
        <v>0.6</v>
      </c>
      <c r="CZ41" s="333">
        <f t="shared" si="72"/>
        <v>0.7</v>
      </c>
      <c r="DA41" s="333">
        <f t="shared" si="73"/>
        <v>0.8</v>
      </c>
      <c r="DB41" s="333">
        <f t="shared" si="74"/>
        <v>0.9</v>
      </c>
      <c r="DC41" s="333">
        <f t="shared" si="75"/>
        <v>1</v>
      </c>
      <c r="DD41" s="334">
        <f t="shared" si="29"/>
        <v>5229316.4708012994</v>
      </c>
      <c r="DE41" s="334">
        <f t="shared" si="30"/>
        <v>328000.49410279316</v>
      </c>
      <c r="DF41" s="334">
        <f t="shared" si="76"/>
        <v>3484012.789727163</v>
      </c>
      <c r="DH41" s="220">
        <f t="shared" si="25"/>
        <v>4901315.9766985066</v>
      </c>
      <c r="DI41" s="299">
        <f t="shared" si="26"/>
        <v>0</v>
      </c>
    </row>
    <row r="42" spans="1:113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321">
        <f t="shared" si="54"/>
        <v>0</v>
      </c>
      <c r="CI42" s="333">
        <f t="shared" si="55"/>
        <v>0</v>
      </c>
      <c r="CJ42" s="333">
        <f t="shared" si="56"/>
        <v>0.18181818181818177</v>
      </c>
      <c r="CK42" s="333">
        <f t="shared" si="57"/>
        <v>0.22727272727272729</v>
      </c>
      <c r="CL42" s="333">
        <f t="shared" si="58"/>
        <v>0.27272727272727271</v>
      </c>
      <c r="CM42" s="333">
        <f t="shared" si="59"/>
        <v>0.31818181818181823</v>
      </c>
      <c r="CN42" s="333">
        <f t="shared" si="60"/>
        <v>0.36363636363636365</v>
      </c>
      <c r="CO42" s="333">
        <f t="shared" si="61"/>
        <v>0.40909090909090906</v>
      </c>
      <c r="CP42" s="333">
        <f t="shared" si="62"/>
        <v>0.45454545454545459</v>
      </c>
      <c r="CQ42" s="333">
        <f t="shared" si="63"/>
        <v>0.5</v>
      </c>
      <c r="CR42" s="333">
        <f t="shared" si="64"/>
        <v>0.54545454545454541</v>
      </c>
      <c r="CS42" s="333">
        <f t="shared" si="65"/>
        <v>0.59090909090909083</v>
      </c>
      <c r="CT42" s="333">
        <f t="shared" si="66"/>
        <v>0.63636363636363635</v>
      </c>
      <c r="CU42" s="333">
        <f t="shared" si="67"/>
        <v>0.68181818181818188</v>
      </c>
      <c r="CV42" s="333">
        <f t="shared" si="68"/>
        <v>0.72727272727272729</v>
      </c>
      <c r="CW42" s="333">
        <f t="shared" si="69"/>
        <v>0</v>
      </c>
      <c r="CX42" s="333">
        <f t="shared" si="70"/>
        <v>0.77272727272727271</v>
      </c>
      <c r="CY42" s="333">
        <f t="shared" si="71"/>
        <v>0.81818181818181812</v>
      </c>
      <c r="CZ42" s="333">
        <f t="shared" si="72"/>
        <v>0.86363636363636365</v>
      </c>
      <c r="DA42" s="333">
        <f t="shared" si="73"/>
        <v>0.90909090909090906</v>
      </c>
      <c r="DB42" s="333">
        <f t="shared" si="74"/>
        <v>0.95454545454545459</v>
      </c>
      <c r="DC42" s="333">
        <f t="shared" si="75"/>
        <v>1</v>
      </c>
      <c r="DD42" s="334">
        <f t="shared" si="29"/>
        <v>635285.51281004911</v>
      </c>
      <c r="DE42" s="334">
        <f t="shared" si="30"/>
        <v>0</v>
      </c>
      <c r="DF42" s="334">
        <f t="shared" si="76"/>
        <v>514042.06547518418</v>
      </c>
      <c r="DH42" s="220">
        <f t="shared" si="25"/>
        <v>635285.51281004911</v>
      </c>
      <c r="DI42" s="299">
        <f t="shared" si="26"/>
        <v>0</v>
      </c>
    </row>
    <row r="43" spans="1:113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321">
        <f t="shared" si="54"/>
        <v>0</v>
      </c>
      <c r="CI43" s="333">
        <f t="shared" si="55"/>
        <v>0</v>
      </c>
      <c r="CJ43" s="333">
        <f t="shared" si="56"/>
        <v>0</v>
      </c>
      <c r="CK43" s="333">
        <f t="shared" si="57"/>
        <v>0</v>
      </c>
      <c r="CL43" s="333">
        <f t="shared" si="58"/>
        <v>0</v>
      </c>
      <c r="CM43" s="333">
        <f t="shared" si="59"/>
        <v>0</v>
      </c>
      <c r="CN43" s="333">
        <f t="shared" si="60"/>
        <v>0</v>
      </c>
      <c r="CO43" s="333">
        <f t="shared" si="61"/>
        <v>0</v>
      </c>
      <c r="CP43" s="333">
        <f t="shared" si="62"/>
        <v>0</v>
      </c>
      <c r="CQ43" s="333">
        <f t="shared" si="63"/>
        <v>0</v>
      </c>
      <c r="CR43" s="333">
        <f t="shared" si="64"/>
        <v>0</v>
      </c>
      <c r="CS43" s="333">
        <f t="shared" si="65"/>
        <v>0</v>
      </c>
      <c r="CT43" s="333">
        <f t="shared" si="66"/>
        <v>0</v>
      </c>
      <c r="CU43" s="333">
        <f t="shared" si="67"/>
        <v>0</v>
      </c>
      <c r="CV43" s="333">
        <f t="shared" si="68"/>
        <v>0</v>
      </c>
      <c r="CW43" s="333">
        <f t="shared" si="69"/>
        <v>0</v>
      </c>
      <c r="CX43" s="333">
        <f t="shared" si="70"/>
        <v>0</v>
      </c>
      <c r="CY43" s="333">
        <f t="shared" si="71"/>
        <v>0</v>
      </c>
      <c r="CZ43" s="333">
        <f t="shared" si="72"/>
        <v>0.25</v>
      </c>
      <c r="DA43" s="333">
        <f t="shared" si="73"/>
        <v>0.5</v>
      </c>
      <c r="DB43" s="333">
        <f t="shared" si="74"/>
        <v>0.75</v>
      </c>
      <c r="DC43" s="333">
        <f t="shared" si="75"/>
        <v>1</v>
      </c>
      <c r="DD43" s="334">
        <f t="shared" si="29"/>
        <v>0</v>
      </c>
      <c r="DE43" s="334">
        <f t="shared" si="30"/>
        <v>0</v>
      </c>
      <c r="DF43" s="334">
        <f t="shared" si="76"/>
        <v>0</v>
      </c>
      <c r="DH43" s="220">
        <f t="shared" si="25"/>
        <v>0</v>
      </c>
      <c r="DI43" s="299">
        <f t="shared" si="26"/>
        <v>0</v>
      </c>
    </row>
    <row r="44" spans="1:113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321">
        <f t="shared" si="54"/>
        <v>0</v>
      </c>
      <c r="CI44" s="348">
        <f t="shared" si="55"/>
        <v>0</v>
      </c>
      <c r="CJ44" s="333">
        <f t="shared" si="56"/>
        <v>0</v>
      </c>
      <c r="CK44" s="333">
        <f t="shared" si="57"/>
        <v>0</v>
      </c>
      <c r="CL44" s="333">
        <f t="shared" si="58"/>
        <v>0</v>
      </c>
      <c r="CM44" s="333">
        <f t="shared" si="59"/>
        <v>0</v>
      </c>
      <c r="CN44" s="333">
        <f t="shared" si="60"/>
        <v>0</v>
      </c>
      <c r="CO44" s="333">
        <f t="shared" si="61"/>
        <v>0</v>
      </c>
      <c r="CP44" s="333">
        <f t="shared" si="62"/>
        <v>0</v>
      </c>
      <c r="CQ44" s="333">
        <f t="shared" si="63"/>
        <v>0</v>
      </c>
      <c r="CR44" s="333">
        <f t="shared" si="64"/>
        <v>0</v>
      </c>
      <c r="CS44" s="333">
        <f t="shared" si="65"/>
        <v>0</v>
      </c>
      <c r="CT44" s="333">
        <f t="shared" si="66"/>
        <v>0</v>
      </c>
      <c r="CU44" s="333">
        <f t="shared" si="67"/>
        <v>0.125</v>
      </c>
      <c r="CV44" s="333">
        <f t="shared" si="68"/>
        <v>0.25</v>
      </c>
      <c r="CW44" s="333">
        <f t="shared" si="69"/>
        <v>0</v>
      </c>
      <c r="CX44" s="333">
        <f t="shared" si="70"/>
        <v>0.375</v>
      </c>
      <c r="CY44" s="333">
        <f t="shared" si="71"/>
        <v>0.5</v>
      </c>
      <c r="CZ44" s="333">
        <f t="shared" si="72"/>
        <v>0.625</v>
      </c>
      <c r="DA44" s="333">
        <f t="shared" si="73"/>
        <v>0.75</v>
      </c>
      <c r="DB44" s="333">
        <f t="shared" si="74"/>
        <v>0.875</v>
      </c>
      <c r="DC44" s="333">
        <f t="shared" si="75"/>
        <v>1</v>
      </c>
      <c r="DD44" s="334">
        <f t="shared" si="29"/>
        <v>153091.81329945009</v>
      </c>
      <c r="DE44" s="334">
        <f t="shared" si="30"/>
        <v>153091.81329945009</v>
      </c>
      <c r="DF44" s="334">
        <f t="shared" si="76"/>
        <v>0</v>
      </c>
      <c r="DH44" s="220">
        <f t="shared" si="25"/>
        <v>0</v>
      </c>
      <c r="DI44" s="299">
        <f t="shared" si="26"/>
        <v>0</v>
      </c>
    </row>
    <row r="45" spans="1:113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77">SUM(E14:E44)</f>
        <v>0</v>
      </c>
      <c r="F45" s="296">
        <f t="shared" si="77"/>
        <v>36745444.950886555</v>
      </c>
      <c r="G45" s="296">
        <f t="shared" si="77"/>
        <v>1262365.3598000002</v>
      </c>
      <c r="H45" s="296">
        <f t="shared" si="77"/>
        <v>0</v>
      </c>
      <c r="I45" s="296">
        <f t="shared" si="77"/>
        <v>0</v>
      </c>
      <c r="J45" s="296">
        <f t="shared" si="77"/>
        <v>0</v>
      </c>
      <c r="K45" s="296">
        <f t="shared" si="77"/>
        <v>2422005.5850740555</v>
      </c>
      <c r="L45" s="296">
        <f t="shared" si="77"/>
        <v>315949</v>
      </c>
      <c r="M45" s="296">
        <f t="shared" si="77"/>
        <v>0</v>
      </c>
      <c r="N45" s="296">
        <f t="shared" si="77"/>
        <v>0</v>
      </c>
      <c r="O45" s="296">
        <f t="shared" si="77"/>
        <v>2468106.6800000002</v>
      </c>
      <c r="P45" s="296">
        <f t="shared" si="77"/>
        <v>0</v>
      </c>
      <c r="Q45" s="296">
        <f t="shared" si="77"/>
        <v>0</v>
      </c>
      <c r="R45" s="296">
        <f t="shared" si="77"/>
        <v>0</v>
      </c>
      <c r="S45" s="296">
        <f t="shared" si="77"/>
        <v>2636963</v>
      </c>
      <c r="T45" s="296">
        <f t="shared" si="77"/>
        <v>0</v>
      </c>
      <c r="U45" s="296">
        <f t="shared" si="77"/>
        <v>0</v>
      </c>
      <c r="V45" s="296">
        <f t="shared" si="77"/>
        <v>0</v>
      </c>
      <c r="W45" s="296">
        <f t="shared" si="77"/>
        <v>2901614.0900000003</v>
      </c>
      <c r="X45" s="296">
        <f t="shared" si="77"/>
        <v>0</v>
      </c>
      <c r="Y45" s="296">
        <f t="shared" si="77"/>
        <v>0</v>
      </c>
      <c r="Z45" s="296">
        <f t="shared" si="77"/>
        <v>0</v>
      </c>
      <c r="AA45" s="296">
        <f t="shared" si="77"/>
        <v>4650052.8100000005</v>
      </c>
      <c r="AB45" s="296">
        <f t="shared" si="77"/>
        <v>556386.07000000007</v>
      </c>
      <c r="AC45" s="296">
        <f t="shared" si="77"/>
        <v>0</v>
      </c>
      <c r="AD45" s="296">
        <f t="shared" si="77"/>
        <v>0</v>
      </c>
      <c r="AE45" s="296">
        <f t="shared" si="77"/>
        <v>5437854.6999999993</v>
      </c>
      <c r="AF45" s="296">
        <f t="shared" si="77"/>
        <v>0</v>
      </c>
      <c r="AG45" s="296">
        <f t="shared" si="77"/>
        <v>0</v>
      </c>
      <c r="AH45" s="296">
        <f t="shared" si="77"/>
        <v>0</v>
      </c>
      <c r="AI45" s="296">
        <f t="shared" si="77"/>
        <v>7755169.0999999968</v>
      </c>
      <c r="AJ45" s="296">
        <f t="shared" si="77"/>
        <v>0</v>
      </c>
      <c r="AK45" s="296">
        <f t="shared" si="77"/>
        <v>0</v>
      </c>
      <c r="AL45" s="296">
        <f t="shared" si="77"/>
        <v>0</v>
      </c>
      <c r="AM45" s="296">
        <f t="shared" si="77"/>
        <v>5445007.6719999984</v>
      </c>
      <c r="AN45" s="296">
        <f t="shared" si="77"/>
        <v>0</v>
      </c>
      <c r="AO45" s="296">
        <f t="shared" si="77"/>
        <v>0</v>
      </c>
      <c r="AP45" s="296">
        <f t="shared" si="77"/>
        <v>0</v>
      </c>
      <c r="AQ45" s="296">
        <f t="shared" si="77"/>
        <v>6483412.9600000028</v>
      </c>
      <c r="AR45" s="296">
        <f t="shared" si="77"/>
        <v>0</v>
      </c>
      <c r="AS45" s="296">
        <f t="shared" si="77"/>
        <v>0</v>
      </c>
      <c r="AT45" s="296">
        <f t="shared" si="77"/>
        <v>0</v>
      </c>
      <c r="AU45" s="296">
        <f t="shared" si="77"/>
        <v>4744163.7299999967</v>
      </c>
      <c r="AV45" s="296">
        <f t="shared" si="77"/>
        <v>0</v>
      </c>
      <c r="AW45" s="296">
        <f t="shared" si="77"/>
        <v>0</v>
      </c>
      <c r="AX45" s="296">
        <f t="shared" si="77"/>
        <v>0</v>
      </c>
      <c r="AY45" s="296">
        <f t="shared" si="77"/>
        <v>8655575.7579999957</v>
      </c>
      <c r="AZ45" s="296">
        <f t="shared" si="77"/>
        <v>0</v>
      </c>
      <c r="BA45" s="296">
        <f t="shared" si="77"/>
        <v>0</v>
      </c>
      <c r="BB45" s="296">
        <f t="shared" si="77"/>
        <v>0</v>
      </c>
      <c r="BC45" s="296">
        <f t="shared" si="77"/>
        <v>8595478.4899999984</v>
      </c>
      <c r="BD45" s="296">
        <f t="shared" si="77"/>
        <v>0</v>
      </c>
      <c r="BE45" s="296">
        <f t="shared" si="77"/>
        <v>0</v>
      </c>
      <c r="BF45" s="296">
        <f t="shared" si="77"/>
        <v>0</v>
      </c>
      <c r="BG45" s="296">
        <f t="shared" si="77"/>
        <v>6931047.2479580687</v>
      </c>
      <c r="BH45" s="296">
        <f t="shared" si="77"/>
        <v>5763524.5579580693</v>
      </c>
      <c r="BI45" s="296">
        <f t="shared" si="77"/>
        <v>4907911.2199999988</v>
      </c>
      <c r="BJ45" s="296">
        <f t="shared" si="77"/>
        <v>10289030.280000001</v>
      </c>
      <c r="BK45" s="296">
        <f t="shared" si="77"/>
        <v>0</v>
      </c>
      <c r="BL45" s="296">
        <f t="shared" si="77"/>
        <v>0</v>
      </c>
      <c r="BM45" s="296">
        <f t="shared" si="77"/>
        <v>0</v>
      </c>
      <c r="BN45" s="296">
        <f t="shared" si="77"/>
        <v>23273467.399999995</v>
      </c>
      <c r="BO45" s="296">
        <f t="shared" si="77"/>
        <v>0</v>
      </c>
      <c r="BP45" s="296">
        <f t="shared" si="77"/>
        <v>0</v>
      </c>
      <c r="BQ45" s="296">
        <f t="shared" ref="BQ45:CC45" si="78">SUM(BQ14:BQ44)</f>
        <v>0</v>
      </c>
      <c r="BR45" s="296">
        <f t="shared" si="78"/>
        <v>16573617.789999997</v>
      </c>
      <c r="BS45" s="296">
        <f t="shared" si="78"/>
        <v>65610.73</v>
      </c>
      <c r="BT45" s="296">
        <f t="shared" si="78"/>
        <v>0</v>
      </c>
      <c r="BU45" s="296">
        <f t="shared" si="78"/>
        <v>0</v>
      </c>
      <c r="BV45" s="296">
        <f t="shared" si="78"/>
        <v>17574337.189999998</v>
      </c>
      <c r="BW45" s="296">
        <f t="shared" si="78"/>
        <v>2126529.2643995676</v>
      </c>
      <c r="BX45" s="296">
        <f t="shared" si="78"/>
        <v>0</v>
      </c>
      <c r="BY45" s="296">
        <f t="shared" si="78"/>
        <v>0</v>
      </c>
      <c r="BZ45" s="296">
        <f t="shared" si="78"/>
        <v>17203994.490000002</v>
      </c>
      <c r="CA45" s="296">
        <f t="shared" si="78"/>
        <v>2659763.210547294</v>
      </c>
      <c r="CB45" s="296">
        <f t="shared" si="78"/>
        <v>0</v>
      </c>
      <c r="CC45" s="296">
        <f t="shared" si="78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7"/>
      <c r="CI45" s="297"/>
      <c r="CJ45" s="297"/>
      <c r="CK45" s="297"/>
      <c r="CL45" s="297"/>
      <c r="CM45" s="297"/>
      <c r="CN45" s="297"/>
      <c r="CO45" s="297"/>
      <c r="CP45" s="297"/>
      <c r="CQ45" s="297"/>
      <c r="CR45" s="297"/>
      <c r="CS45" s="297"/>
      <c r="CT45" s="297"/>
      <c r="CU45" s="297"/>
      <c r="CV45" s="297"/>
      <c r="CW45" s="297"/>
      <c r="CX45" s="297"/>
      <c r="CY45" s="297"/>
      <c r="CZ45" s="297"/>
      <c r="DA45" s="297"/>
      <c r="DB45" s="297"/>
      <c r="DC45" s="297"/>
      <c r="DD45" s="298">
        <f>SUM(DD14:DD44)</f>
        <v>203865275.92515585</v>
      </c>
      <c r="DE45" s="298">
        <f>SUM(DE14:DE44)</f>
        <v>47089997.660423547</v>
      </c>
      <c r="DF45" s="298">
        <f>SUM(DF14:DF44)</f>
        <v>108130098.95280735</v>
      </c>
      <c r="DH45" s="220">
        <f t="shared" si="25"/>
        <v>156775278.2647323</v>
      </c>
      <c r="DI45" s="299">
        <f t="shared" si="26"/>
        <v>0</v>
      </c>
    </row>
    <row r="46" spans="1:113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321">
        <f>IF(D46=0,0,2001-(D46-F46)*C46/D46)</f>
        <v>1993.2473056022818</v>
      </c>
      <c r="CI46" s="374">
        <f>IF((1-($DD$2-$CH46)/$C46)&gt;0,(1-($DD$2-$CH46)/$C46),0)</f>
        <v>0</v>
      </c>
      <c r="CJ46" s="333">
        <f>IF((1-($DD$2-G$2)/$C46)&gt;0,(1-($DD$2-G$2)/$C46),0)</f>
        <v>0.18181818181818177</v>
      </c>
      <c r="CK46" s="333">
        <f>IF((1-($DD$2-K$2)/$C46)&gt;0,(1-($DD$2-K$2)/$C46),0)</f>
        <v>0.22727272727272729</v>
      </c>
      <c r="CL46" s="333">
        <f>IF((1-($DD$2-O$2)/$C46)&gt;0,(1-($DD$2-O$2)/$C46),0)</f>
        <v>0.27272727272727271</v>
      </c>
      <c r="CM46" s="333">
        <f>IF((1-($DD$2-S$2)/$C46)&gt;0,(1-($DD$2-S$2)/$C46),0)</f>
        <v>0.31818181818181823</v>
      </c>
      <c r="CN46" s="333">
        <f>IF((1-($DD$2-W$2)/$C46)&gt;0,(1-($DD$2-W$2)/$C46),0)</f>
        <v>0.36363636363636365</v>
      </c>
      <c r="CO46" s="333">
        <f>IF((1-($DD$2-AA$2)/$C46)&gt;0,(1-($DD$2-AA$2)/$C46),0)</f>
        <v>0.40909090909090906</v>
      </c>
      <c r="CP46" s="333">
        <f>IF((1-($DD$2-AE$2)/$C46)&gt;0,(1-($DD$2-AE$2)/$C46),0)</f>
        <v>0.45454545454545459</v>
      </c>
      <c r="CQ46" s="333">
        <f>IF((1-($DD$2-AI$2)/$C46)&gt;0,(1-($DD$2-AI$2)/$C46),0)</f>
        <v>0.5</v>
      </c>
      <c r="CR46" s="333">
        <f>IF((1-($DD$2-AM$2)/$C46)&gt;0,(1-($DD$2-AM$2)/$C46),0)</f>
        <v>0.54545454545454541</v>
      </c>
      <c r="CS46" s="333">
        <f>IF((1-($DD$2-AQ$2)/$C46)&gt;0,(1-($DD$2-AQ$2)/$C46),0)</f>
        <v>0.59090909090909083</v>
      </c>
      <c r="CT46" s="333">
        <f>IF((1-($DD$2-AU$2)/$C46)&gt;0,(1-($DD$2-AU$2)/$C46),0)</f>
        <v>0.63636363636363635</v>
      </c>
      <c r="CU46" s="333">
        <f>IF((1-($DD$2-AY$2)/$C46)&gt;0,(1-($DD$2-AY$2)/$C46),0)</f>
        <v>0.68181818181818188</v>
      </c>
      <c r="CV46" s="333">
        <f>IF((1-($DD$2-BC$2)/$C46)&gt;0,(1-($DD$2-BC$2)/$C46),0)</f>
        <v>0.72727272727272729</v>
      </c>
      <c r="CW46" s="333">
        <f>IF(BG46=0,0,1-($DD$2-(2014.5-(BG46-BI46)*C46/BG46))/C46)</f>
        <v>0</v>
      </c>
      <c r="CX46" s="333">
        <f>IF((1-($DD$2-BJ$2)/$C46)&gt;0,(1-($DD$2-BJ$2)/$C46),0)</f>
        <v>0.77272727272727271</v>
      </c>
      <c r="CY46" s="333">
        <f>IF((1-($DD$2-BN$2)/$C46)&gt;0,(1-($DD$2-BN$2)/$C46),0)</f>
        <v>0.81818181818181812</v>
      </c>
      <c r="CZ46" s="333">
        <f>IF((1-($DD$2-BR$2)/$C46)&gt;0,(1-($DD$2-BR$2)/$C46),0)</f>
        <v>0.86363636363636365</v>
      </c>
      <c r="DA46" s="333">
        <f>IF((1-($DD$2-BV$2)/$C46)&gt;0,(1-($DD$2-BV$2)/$C46),0)</f>
        <v>0.90909090909090906</v>
      </c>
      <c r="DB46" s="333">
        <f>IF((1-($DD$2-BZ$2)/$C46)&gt;0,(1-($DD$2-BZ$2)/$C46),0)</f>
        <v>0.95454545454545459</v>
      </c>
      <c r="DC46" s="333">
        <f>IF((1-($DD$2-CD$2)/$C46)&gt;0,(1-($DD$2-CD$2)/$C46),0)</f>
        <v>1</v>
      </c>
      <c r="DD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+(CD46-CE46-CF46)*$CD$62</f>
        <v>12116919.004222054</v>
      </c>
      <c r="DE46" s="334">
        <f>IF(CI46=0,D46-E46,0)+IF(CJ46=0,(G46-H46-I46)*G$62,0)+IF(CK46=0,(K46-L46-M46)*K$62,0)+IF(CL46=0,(O46-P46-Q46)*O$62,0)+IF(CM46=0,(S46-T46-U46)*S$62,0)+IF(CN46=0,(W46-X46-Y46)*W$62,0)+IF(CO46=0,(AA46-AB46-AC46)*AA$62,0)+IF(CP46=0,(AE46-AF46-AG46)*AE$62,0)+IF(CQ46=0,(AI46-AJ46-AK46)*AI$62,0)+IF(CR46=0,(AM46-AN46-AO46)*AM$62,0)+IF(CS46=0,(AQ46-AR46-AS46)*$AQ$62,0)+IF(CT46=0,(AU46-AV46-AW46)*$AU$62,0)+IF(CU46=0,(AY46-AZ46-BA46)*$AY$62,0)++IF(CV46=0,(BC46-BD46-BE46)*$BC$62,0)+IF(CX46=0,(BJ46-BK46-BL46)*$BJ$62,0)+IF(CW46=0,BG46,0)+IF(CY46=0,(BN46-BO46-BP46)*$BN$62,0)+IF(CZ46=0,(BR46-BS46-BT46)*$BR$62,0)+IF(DA46=0,(BV46-BW46-BX46)*$BV$62,0)+IF(DB46=0,(BZ46-CA46-CB46)*$BZ$62,0)+IF(DC46=0,(CD46-CE46-CF46)*$CD$62,0)</f>
        <v>2957226.5007306808</v>
      </c>
      <c r="DF46" s="334">
        <f>(D46-E46)*CI46+((G46-H46-(I46-J46))*G$62)*CJ46+((K46-L46-(M46-N46))*K$62)*CK46+((O46-P46-(Q46-R46))*O$62)*CL46+((S46-T46-(U46-V46))*S$62)*CM46+((W46-X46-(Y46-Z46))*W$62)*CN46+((AA46-AB46-(AC46-AD46))*AA$62)*CO46+((AE46-AF46-(AG46-AH46))*AE$62)*CP46+((AI46-AJ46-(AK46-AL46))*AI$62)*CQ46+((AM46-AN46-(AO46-AP46))*$AM$62)*CR46+((AQ46-AR46-(AS46-AT46))*$AQ$62)*CS46+((AU46-AV46-(AW46-AX46))*$AU$62)*CT46+((AY46-AZ46-(BA46-BB46))*$AY$62)*CU46+((BC46-BD46-(BE46-BF46))*$BC$62)*CV46+((BJ46-BK46-(BL46-BM46))*$BJ$62)*CX46+(BG46-BH46)*CW46+((BN46-BO46-(BP46-BQ46))*$BN$62)*CY46+((BR46-BS46-(BT46-BU46))*$BR$62)*CZ46+((BV46-BW46-(BX46-BY46))*$BV$62)*DA46+((BZ46-CA46-(CB46-CC46))*$BZ$62)*DB46+((CD46-CE46-(CF46-CG46))*$CD$62)*DC46</f>
        <v>5715092.2071539946</v>
      </c>
      <c r="DH46" s="220">
        <f t="shared" si="25"/>
        <v>9159692.5034913737</v>
      </c>
      <c r="DI46" s="299">
        <f t="shared" si="26"/>
        <v>0</v>
      </c>
    </row>
    <row r="47" spans="1:113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79">+E46</f>
        <v>0</v>
      </c>
      <c r="F47" s="296">
        <f t="shared" si="79"/>
        <v>1915114.0768671127</v>
      </c>
      <c r="G47" s="296">
        <f t="shared" si="79"/>
        <v>383603.42</v>
      </c>
      <c r="H47" s="296">
        <f t="shared" si="79"/>
        <v>0</v>
      </c>
      <c r="I47" s="296">
        <f t="shared" si="79"/>
        <v>0</v>
      </c>
      <c r="J47" s="296">
        <f t="shared" si="79"/>
        <v>0</v>
      </c>
      <c r="K47" s="296">
        <f t="shared" si="79"/>
        <v>723366.95</v>
      </c>
      <c r="L47" s="296">
        <f t="shared" si="79"/>
        <v>0</v>
      </c>
      <c r="M47" s="296">
        <f t="shared" si="79"/>
        <v>0</v>
      </c>
      <c r="N47" s="296">
        <f t="shared" si="79"/>
        <v>0</v>
      </c>
      <c r="O47" s="296">
        <f t="shared" si="79"/>
        <v>345218.57</v>
      </c>
      <c r="P47" s="296">
        <f t="shared" si="79"/>
        <v>0</v>
      </c>
      <c r="Q47" s="296">
        <f t="shared" si="79"/>
        <v>0</v>
      </c>
      <c r="R47" s="296">
        <f t="shared" si="79"/>
        <v>0</v>
      </c>
      <c r="S47" s="296">
        <f t="shared" si="79"/>
        <v>343113</v>
      </c>
      <c r="T47" s="296">
        <f t="shared" si="79"/>
        <v>0</v>
      </c>
      <c r="U47" s="296">
        <f t="shared" si="79"/>
        <v>0</v>
      </c>
      <c r="V47" s="296">
        <f t="shared" si="79"/>
        <v>0</v>
      </c>
      <c r="W47" s="296">
        <f t="shared" si="79"/>
        <v>288347.67</v>
      </c>
      <c r="X47" s="296">
        <f t="shared" si="79"/>
        <v>0</v>
      </c>
      <c r="Y47" s="296">
        <f t="shared" si="79"/>
        <v>0</v>
      </c>
      <c r="Z47" s="296">
        <f t="shared" si="79"/>
        <v>0</v>
      </c>
      <c r="AA47" s="296">
        <f t="shared" si="79"/>
        <v>301261.25000000006</v>
      </c>
      <c r="AB47" s="296">
        <f t="shared" si="79"/>
        <v>0</v>
      </c>
      <c r="AC47" s="296">
        <f t="shared" si="79"/>
        <v>0</v>
      </c>
      <c r="AD47" s="296">
        <f t="shared" si="79"/>
        <v>0</v>
      </c>
      <c r="AE47" s="296">
        <f t="shared" si="79"/>
        <v>418664.33</v>
      </c>
      <c r="AF47" s="296">
        <f t="shared" si="79"/>
        <v>0</v>
      </c>
      <c r="AG47" s="296">
        <f t="shared" si="79"/>
        <v>0</v>
      </c>
      <c r="AH47" s="296">
        <f t="shared" si="79"/>
        <v>0</v>
      </c>
      <c r="AI47" s="296">
        <f t="shared" si="79"/>
        <v>191547.63</v>
      </c>
      <c r="AJ47" s="296">
        <f t="shared" si="79"/>
        <v>0</v>
      </c>
      <c r="AK47" s="296">
        <f t="shared" si="79"/>
        <v>0</v>
      </c>
      <c r="AL47" s="296">
        <f t="shared" si="79"/>
        <v>0</v>
      </c>
      <c r="AM47" s="296">
        <f t="shared" si="79"/>
        <v>284788.3</v>
      </c>
      <c r="AN47" s="296">
        <f t="shared" si="79"/>
        <v>0</v>
      </c>
      <c r="AO47" s="296">
        <f t="shared" si="79"/>
        <v>0</v>
      </c>
      <c r="AP47" s="296">
        <f t="shared" si="79"/>
        <v>0</v>
      </c>
      <c r="AQ47" s="296">
        <f t="shared" si="79"/>
        <v>417455.78889137268</v>
      </c>
      <c r="AR47" s="296">
        <f t="shared" si="79"/>
        <v>0</v>
      </c>
      <c r="AS47" s="296">
        <f t="shared" si="79"/>
        <v>0</v>
      </c>
      <c r="AT47" s="296">
        <f t="shared" si="79"/>
        <v>0</v>
      </c>
      <c r="AU47" s="296">
        <f t="shared" si="79"/>
        <v>846640.63000000012</v>
      </c>
      <c r="AV47" s="296">
        <f t="shared" si="79"/>
        <v>0</v>
      </c>
      <c r="AW47" s="296">
        <f t="shared" si="79"/>
        <v>0</v>
      </c>
      <c r="AX47" s="296">
        <f t="shared" si="79"/>
        <v>0</v>
      </c>
      <c r="AY47" s="296">
        <f t="shared" si="79"/>
        <v>696982</v>
      </c>
      <c r="AZ47" s="296">
        <f t="shared" si="79"/>
        <v>0</v>
      </c>
      <c r="BA47" s="296">
        <f t="shared" si="79"/>
        <v>0</v>
      </c>
      <c r="BB47" s="296">
        <f t="shared" si="79"/>
        <v>0</v>
      </c>
      <c r="BC47" s="296">
        <f t="shared" si="79"/>
        <v>611593.03</v>
      </c>
      <c r="BD47" s="296">
        <f t="shared" si="79"/>
        <v>0</v>
      </c>
      <c r="BE47" s="296">
        <f t="shared" si="79"/>
        <v>0</v>
      </c>
      <c r="BF47" s="296">
        <f t="shared" si="79"/>
        <v>0</v>
      </c>
      <c r="BG47" s="296">
        <f t="shared" si="79"/>
        <v>0</v>
      </c>
      <c r="BH47" s="296">
        <f t="shared" si="79"/>
        <v>0</v>
      </c>
      <c r="BI47" s="296">
        <f t="shared" si="79"/>
        <v>0</v>
      </c>
      <c r="BJ47" s="296">
        <f t="shared" si="79"/>
        <v>717101.01</v>
      </c>
      <c r="BK47" s="296">
        <f t="shared" si="79"/>
        <v>0</v>
      </c>
      <c r="BL47" s="296">
        <f t="shared" si="79"/>
        <v>0</v>
      </c>
      <c r="BM47" s="296">
        <f t="shared" si="79"/>
        <v>0</v>
      </c>
      <c r="BN47" s="296">
        <f t="shared" si="79"/>
        <v>778834.53</v>
      </c>
      <c r="BO47" s="296">
        <f t="shared" si="79"/>
        <v>0</v>
      </c>
      <c r="BP47" s="296">
        <f t="shared" si="79"/>
        <v>0</v>
      </c>
      <c r="BQ47" s="296">
        <f t="shared" ref="BQ47:CC47" si="80">+BQ46</f>
        <v>0</v>
      </c>
      <c r="BR47" s="296">
        <f t="shared" si="80"/>
        <v>1066066.3500000001</v>
      </c>
      <c r="BS47" s="296">
        <f t="shared" si="80"/>
        <v>0</v>
      </c>
      <c r="BT47" s="296">
        <f t="shared" si="80"/>
        <v>0</v>
      </c>
      <c r="BU47" s="296">
        <f t="shared" si="80"/>
        <v>0</v>
      </c>
      <c r="BV47" s="296">
        <f t="shared" si="80"/>
        <v>715400.34000000008</v>
      </c>
      <c r="BW47" s="296">
        <f t="shared" si="80"/>
        <v>0</v>
      </c>
      <c r="BX47" s="296">
        <f t="shared" si="80"/>
        <v>0</v>
      </c>
      <c r="BY47" s="296">
        <f t="shared" si="80"/>
        <v>0</v>
      </c>
      <c r="BZ47" s="296">
        <f t="shared" si="80"/>
        <v>305500.91000000003</v>
      </c>
      <c r="CA47" s="296">
        <f t="shared" si="80"/>
        <v>0</v>
      </c>
      <c r="CB47" s="296">
        <f t="shared" si="80"/>
        <v>0</v>
      </c>
      <c r="CC47" s="296">
        <f t="shared" si="80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7"/>
      <c r="CI47" s="297"/>
      <c r="CJ47" s="297"/>
      <c r="CK47" s="297"/>
      <c r="CL47" s="297"/>
      <c r="CM47" s="297"/>
      <c r="CN47" s="297"/>
      <c r="CO47" s="297"/>
      <c r="CP47" s="297"/>
      <c r="CQ47" s="297"/>
      <c r="CR47" s="297"/>
      <c r="CS47" s="297"/>
      <c r="CT47" s="297"/>
      <c r="CU47" s="297"/>
      <c r="CV47" s="297"/>
      <c r="CW47" s="297"/>
      <c r="CX47" s="297"/>
      <c r="CY47" s="297"/>
      <c r="CZ47" s="297"/>
      <c r="DA47" s="297"/>
      <c r="DB47" s="297"/>
      <c r="DC47" s="297"/>
      <c r="DD47" s="298">
        <f>DD46</f>
        <v>12116919.004222054</v>
      </c>
      <c r="DE47" s="298">
        <f>DE46</f>
        <v>2957226.5007306808</v>
      </c>
      <c r="DF47" s="298">
        <f>DF46</f>
        <v>5715092.2071539946</v>
      </c>
      <c r="DH47" s="220">
        <f t="shared" si="25"/>
        <v>9159692.5034913737</v>
      </c>
      <c r="DI47" s="299">
        <f t="shared" si="26"/>
        <v>0</v>
      </c>
    </row>
    <row r="48" spans="1:113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321">
        <f t="shared" ref="CH48:CH57" si="81">IF(D48=0,0,2001-(D48-F48)*C48/D48)</f>
        <v>0</v>
      </c>
      <c r="CI48" s="385">
        <f t="shared" ref="CI48:CI57" si="82">IF((1-($DD$2-$CH48)/$C48)&gt;0,(1-($DD$2-$CH48)/$C48),0)</f>
        <v>0</v>
      </c>
      <c r="CJ48" s="333">
        <f t="shared" ref="CJ48:CJ57" si="83">IF((1-($DD$2-G$2)/$C48)&gt;0,(1-($DD$2-G$2)/$C48),0)</f>
        <v>0</v>
      </c>
      <c r="CK48" s="333">
        <f t="shared" ref="CK48:CK57" si="84">IF((1-($DD$2-K$2)/$C48)&gt;0,(1-($DD$2-K$2)/$C48),0)</f>
        <v>0</v>
      </c>
      <c r="CL48" s="333">
        <f t="shared" ref="CL48:CL57" si="85">IF((1-($DD$2-O$2)/$C48)&gt;0,(1-($DD$2-O$2)/$C48),0)</f>
        <v>0</v>
      </c>
      <c r="CM48" s="333">
        <f t="shared" ref="CM48:CM57" si="86">IF((1-($DD$2-S$2)/$C48)&gt;0,(1-($DD$2-S$2)/$C48),0)</f>
        <v>0</v>
      </c>
      <c r="CN48" s="333">
        <f t="shared" ref="CN48:CN57" si="87">IF((1-($DD$2-W$2)/$C48)&gt;0,(1-($DD$2-W$2)/$C48),0)</f>
        <v>0</v>
      </c>
      <c r="CO48" s="333">
        <f t="shared" ref="CO48:CO57" si="88">IF((1-($DD$2-AA$2)/$C48)&gt;0,(1-($DD$2-AA$2)/$C48),0)</f>
        <v>0</v>
      </c>
      <c r="CP48" s="333">
        <f t="shared" ref="CP48:CP57" si="89">IF((1-($DD$2-AE$2)/$C48)&gt;0,(1-($DD$2-AE$2)/$C48),0)</f>
        <v>0</v>
      </c>
      <c r="CQ48" s="333">
        <f t="shared" ref="CQ48:CQ57" si="90">IF((1-($DD$2-AI$2)/$C48)&gt;0,(1-($DD$2-AI$2)/$C48),0)</f>
        <v>0</v>
      </c>
      <c r="CR48" s="333">
        <f t="shared" ref="CR48:CR57" si="91">IF((1-($DD$2-AM$2)/$C48)&gt;0,(1-($DD$2-AM$2)/$C48),0)</f>
        <v>0</v>
      </c>
      <c r="CS48" s="333">
        <f t="shared" ref="CS48:CS57" si="92">IF((1-($DD$2-AQ$2)/$C48)&gt;0,(1-($DD$2-AQ$2)/$C48),0)</f>
        <v>0</v>
      </c>
      <c r="CT48" s="333">
        <f t="shared" ref="CT48:CT57" si="93">IF((1-($DD$2-AU$2)/$C48)&gt;0,(1-($DD$2-AU$2)/$C48),0)</f>
        <v>0</v>
      </c>
      <c r="CU48" s="333">
        <f t="shared" ref="CU48:CU57" si="94">IF((1-($DD$2-AY$2)/$C48)&gt;0,(1-($DD$2-AY$2)/$C48),0)</f>
        <v>0</v>
      </c>
      <c r="CV48" s="333">
        <f t="shared" ref="CV48:CV57" si="95">IF((1-($DD$2-BC$2)/$C48)&gt;0,(1-($DD$2-BC$2)/$C48),0)</f>
        <v>0</v>
      </c>
      <c r="CW48" s="333">
        <f t="shared" ref="CW48:CW57" si="96">IF(BG48=0,0,1-($DD$2-(2014.5-(BG48-BI48)*C48/BG48))/C48)</f>
        <v>0</v>
      </c>
      <c r="CX48" s="333">
        <f t="shared" ref="CX48:CX57" si="97">IF((1-($DD$2-BJ$2)/$C48)&gt;0,(1-($DD$2-BJ$2)/$C48),0)</f>
        <v>0</v>
      </c>
      <c r="CY48" s="333">
        <f t="shared" ref="CY48:CY57" si="98">IF((1-($DD$2-BN$2)/$C48)&gt;0,(1-($DD$2-BN$2)/$C48),0)</f>
        <v>0</v>
      </c>
      <c r="CZ48" s="333">
        <f t="shared" ref="CZ48:CZ57" si="99">IF((1-($DD$2-BR$2)/$C48)&gt;0,(1-($DD$2-BR$2)/$C48),0)</f>
        <v>0.25</v>
      </c>
      <c r="DA48" s="333">
        <f t="shared" ref="DA48:DA57" si="100">IF((1-($DD$2-BV$2)/$C48)&gt;0,(1-($DD$2-BV$2)/$C48),0)</f>
        <v>0.5</v>
      </c>
      <c r="DB48" s="333">
        <f t="shared" ref="DB48:DB57" si="101">IF((1-($DD$2-BZ$2)/$C48)&gt;0,(1-($DD$2-BZ$2)/$C48),0)</f>
        <v>0.75</v>
      </c>
      <c r="DC48" s="333">
        <f t="shared" ref="DC48:DC57" si="102">IF((1-($DD$2-CD$2)/$C48)&gt;0,(1-($DD$2-CD$2)/$C48),0)</f>
        <v>1</v>
      </c>
      <c r="DD48" s="334">
        <f t="shared" ref="DD48:DD57" si="103"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+(CD48-CE48-CF48)*$CD$63</f>
        <v>0</v>
      </c>
      <c r="DE48" s="334">
        <f t="shared" ref="DE48:DE57" si="104">IF(CI48=0,D48-E48,0)+IF(CJ48=0,(G48-H48-I48)*G$63,0)+IF(CK48=0,(K48-L48-M48)*K$63,0)+IF(CL48=0,(O48-P48-Q48)*O$63,0)+IF(CM48=0,(S48-T48-U48)*S$63,0)+IF(CN48=0,(W48-X48-Y48)*W$63,0)+IF(CO48=0,(AA48-AB48-AC48)*AA$63,0)+IF(CP48=0,(AE48-AF48-AG48)*AE$63,0)+IF(CQ48=0,(AI48-AJ48-AK48)*AI$63,0)+IF(CR48=0,(AM48-AN48-AO48)*AM$63,0)+IF(CS48=0,(AQ48-AR48-AS48)*$AQ$63,0)+IF(CT48=0,(AU48-AV48-AW48)*$AU$63,0)+IF(CU48=0,(AY48-AZ48-BA48)*$AY$63,0)++IF(CV48=0,(BC48-BD48-BE48)*$BC$63,0)+IF(CX48=0,(BJ48-BK48-BL48)*$BJ$63,0)+IF(CW48=0,BG48,0)+IF(CY48=0,(BN48-BO48-BP48)*$BN$63,0)+IF(CZ48=0,(BR48-BS48-BT48)*$BR$63,0)+IF(DA48=0,(BV48-BW48-BX48)*$BV$63,0)+IF(DB48=0,(BZ48-CA48-CB48)*$BZ$63,0)+IF(DC48=0,(CD48-CE48-CF48)*$CD$63,0)</f>
        <v>0</v>
      </c>
      <c r="DF48" s="334">
        <f>(D48-E48)*CI48+((G48-H48-(I48-J48))*G$63)*CJ48+((K48-L48-(M48-N48))*K$63)*CK48+((O48-P48-(Q48-R48))*O$63)*CL48+((S48-T48-(U48-V48))*S$63)*CM48+((W48-X48-(Y48-Z48))*W$63)*CN48+((AA48-AB48-(AC48-AD48))*AA$63)*CO48+((AE48-AF48-(AG48-AH48))*AE$63)*CP48+((AI48-AJ48-(AK48-AL48))*AI$63)*CQ48+((AM48-AN48-(AO48-AP48))*$AM$63)*CR48+((AQ48-AR48-(AS48-AT48))*$AQ$63)*CS48+((AU48-AV48-(AW48-AX48))*$AU$63)*CT48+((AY48-AZ48-(BA48-BB48))*$AY$63)*CU48+((BC48-BD48-(BE48-BF48))*$BC$63)*CV48+((BJ48-BK48-(BL48-BM48))*$BJ$63)*CX48+(BG48-BH48)*CW48+((BN48-BO48-(BP48-BQ48))*$BN$63)*CY48+((BR48-BS48-(BT48-BU48))*$BR$63)*CZ48+((BV48-BW48-(BX48-BY48))*$BV$63)*DA48+((BZ48-CA48-(CB48-CC48))*$BZ$63)*DB48+((CD48-CE48-(CF48-CG48))*$CD$63)*DC48</f>
        <v>0</v>
      </c>
      <c r="DH48" s="220">
        <f t="shared" si="25"/>
        <v>0</v>
      </c>
      <c r="DI48" s="299">
        <f t="shared" si="26"/>
        <v>0</v>
      </c>
    </row>
    <row r="49" spans="1:113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321">
        <f t="shared" si="81"/>
        <v>0</v>
      </c>
      <c r="CI49" s="385">
        <f t="shared" si="82"/>
        <v>0</v>
      </c>
      <c r="CJ49" s="333">
        <f t="shared" si="83"/>
        <v>0.98199999999999998</v>
      </c>
      <c r="CK49" s="333">
        <f t="shared" si="84"/>
        <v>0.98299999999999998</v>
      </c>
      <c r="CL49" s="333">
        <f t="shared" si="85"/>
        <v>0.98399999999999999</v>
      </c>
      <c r="CM49" s="333">
        <f t="shared" si="86"/>
        <v>0.98499999999999999</v>
      </c>
      <c r="CN49" s="333">
        <f t="shared" si="87"/>
        <v>0.98599999999999999</v>
      </c>
      <c r="CO49" s="333">
        <f t="shared" si="88"/>
        <v>0.98699999999999999</v>
      </c>
      <c r="CP49" s="333">
        <f t="shared" si="89"/>
        <v>0.98799999999999999</v>
      </c>
      <c r="CQ49" s="333">
        <f t="shared" si="90"/>
        <v>0.98899999999999999</v>
      </c>
      <c r="CR49" s="333">
        <f t="shared" si="91"/>
        <v>0.99</v>
      </c>
      <c r="CS49" s="333">
        <f t="shared" si="92"/>
        <v>0.99099999999999999</v>
      </c>
      <c r="CT49" s="333">
        <f t="shared" si="93"/>
        <v>0.99199999999999999</v>
      </c>
      <c r="CU49" s="333">
        <f t="shared" si="94"/>
        <v>0.99299999999999999</v>
      </c>
      <c r="CV49" s="333">
        <f t="shared" si="95"/>
        <v>0.99399999999999999</v>
      </c>
      <c r="CW49" s="333">
        <f t="shared" si="96"/>
        <v>0</v>
      </c>
      <c r="CX49" s="333">
        <f t="shared" si="97"/>
        <v>0.995</v>
      </c>
      <c r="CY49" s="333">
        <f t="shared" si="98"/>
        <v>0.996</v>
      </c>
      <c r="CZ49" s="333">
        <f t="shared" si="99"/>
        <v>0.997</v>
      </c>
      <c r="DA49" s="333">
        <f t="shared" si="100"/>
        <v>0.998</v>
      </c>
      <c r="DB49" s="333">
        <f t="shared" si="101"/>
        <v>0.999</v>
      </c>
      <c r="DC49" s="333">
        <f t="shared" si="102"/>
        <v>1</v>
      </c>
      <c r="DD49" s="334">
        <f t="shared" si="103"/>
        <v>0</v>
      </c>
      <c r="DE49" s="334">
        <f t="shared" si="104"/>
        <v>0</v>
      </c>
      <c r="DF49" s="334">
        <f t="shared" ref="DF49:DF57" si="105">(D49-E49)*CI49+((G49-H49-(I49-J49))*G$63)*CJ49+((K49-L49-(M49-N49))*K$63)*CK49+((O49-P49-(Q49-R49))*O$63)*CL49+((S49-T49-(U49-V49))*S$63)*CM49+((W49-X49-(Y49-Z49))*W$63)*CN49+((AA49-AB49-(AC49-AD49))*AA$63)*CO49+((AE49-AF49-(AG49-AH49))*AE$63)*CP49+((AI49-AJ49-(AK49-AL49))*AI$63)*CQ49+((AM49-AN49-(AO49-AP49))*$AM$63)*CR49+((AQ49-AR49-(AS49-AT49))*$AQ$63)*CS49+((AU49-AV49-(AW49-AX49))*$AU$63)*CT49+((AY49-AZ49-(BA49-BB49))*$AY$63)*CU49+((BC49-BD49-(BE49-BF49))*$BC$63)*CV49+((BJ49-BK49-(BL49-BM49))*$BJ$63)*CX49+(BG49-BH49)*CW49+((BN49-BO49-(BP49-BQ49))*$BN$63)*CY49+((BR49-BS49-(BT49-BU49))*$BR$63)*CZ49+((BV49-BW49-(BX49-BY49))*$BV$63)*DA49+((BZ49-CA49-(CB49-CC49))*$BZ$63)*DB49+((CD49-CE49-(CF49-CG49))*$CD$63)*DC49</f>
        <v>0</v>
      </c>
      <c r="DH49" s="220">
        <f t="shared" si="25"/>
        <v>0</v>
      </c>
      <c r="DI49" s="299">
        <f t="shared" si="26"/>
        <v>0</v>
      </c>
    </row>
    <row r="50" spans="1:113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321">
        <f t="shared" si="81"/>
        <v>1991.8040336868928</v>
      </c>
      <c r="CI50" s="333">
        <f t="shared" si="82"/>
        <v>0.29510084217232024</v>
      </c>
      <c r="CJ50" s="333">
        <f t="shared" si="83"/>
        <v>0.55000000000000004</v>
      </c>
      <c r="CK50" s="333">
        <f t="shared" si="84"/>
        <v>0.57499999999999996</v>
      </c>
      <c r="CL50" s="333">
        <f t="shared" si="85"/>
        <v>0.6</v>
      </c>
      <c r="CM50" s="333">
        <f t="shared" si="86"/>
        <v>0.625</v>
      </c>
      <c r="CN50" s="333">
        <f t="shared" si="87"/>
        <v>0.65</v>
      </c>
      <c r="CO50" s="333">
        <f t="shared" si="88"/>
        <v>0.67500000000000004</v>
      </c>
      <c r="CP50" s="333">
        <f t="shared" si="89"/>
        <v>0.7</v>
      </c>
      <c r="CQ50" s="333">
        <f t="shared" si="90"/>
        <v>0.72499999999999998</v>
      </c>
      <c r="CR50" s="333">
        <f t="shared" si="91"/>
        <v>0.75</v>
      </c>
      <c r="CS50" s="333">
        <f t="shared" si="92"/>
        <v>0.77500000000000002</v>
      </c>
      <c r="CT50" s="333">
        <f t="shared" si="93"/>
        <v>0.8</v>
      </c>
      <c r="CU50" s="333">
        <f t="shared" si="94"/>
        <v>0.82499999999999996</v>
      </c>
      <c r="CV50" s="333">
        <f t="shared" si="95"/>
        <v>0.85</v>
      </c>
      <c r="CW50" s="333">
        <f t="shared" si="96"/>
        <v>0</v>
      </c>
      <c r="CX50" s="333">
        <f t="shared" si="97"/>
        <v>0.875</v>
      </c>
      <c r="CY50" s="333">
        <f t="shared" si="98"/>
        <v>0.9</v>
      </c>
      <c r="CZ50" s="333">
        <f t="shared" si="99"/>
        <v>0.92500000000000004</v>
      </c>
      <c r="DA50" s="333">
        <f t="shared" si="100"/>
        <v>0.95</v>
      </c>
      <c r="DB50" s="333">
        <f t="shared" si="101"/>
        <v>0.97499999999999998</v>
      </c>
      <c r="DC50" s="333">
        <f t="shared" si="102"/>
        <v>1</v>
      </c>
      <c r="DD50" s="334">
        <f t="shared" si="103"/>
        <v>1094161.605459783</v>
      </c>
      <c r="DE50" s="334">
        <f t="shared" si="104"/>
        <v>0</v>
      </c>
      <c r="DF50" s="334">
        <f t="shared" si="105"/>
        <v>330080.0344156645</v>
      </c>
      <c r="DH50" s="220">
        <f t="shared" si="25"/>
        <v>1094161.605459783</v>
      </c>
      <c r="DI50" s="299">
        <f t="shared" si="26"/>
        <v>0</v>
      </c>
    </row>
    <row r="51" spans="1:113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321">
        <f t="shared" si="81"/>
        <v>1994.6431227317414</v>
      </c>
      <c r="CI51" s="333">
        <f t="shared" si="82"/>
        <v>0</v>
      </c>
      <c r="CJ51" s="333">
        <f t="shared" si="83"/>
        <v>0.18181818181818177</v>
      </c>
      <c r="CK51" s="333">
        <f t="shared" si="84"/>
        <v>0.22727272727272729</v>
      </c>
      <c r="CL51" s="333">
        <f t="shared" si="85"/>
        <v>0.27272727272727271</v>
      </c>
      <c r="CM51" s="333">
        <f t="shared" si="86"/>
        <v>0.31818181818181823</v>
      </c>
      <c r="CN51" s="333">
        <f t="shared" si="87"/>
        <v>0.36363636363636365</v>
      </c>
      <c r="CO51" s="333">
        <f t="shared" si="88"/>
        <v>0.40909090909090906</v>
      </c>
      <c r="CP51" s="333">
        <f t="shared" si="89"/>
        <v>0.45454545454545459</v>
      </c>
      <c r="CQ51" s="333">
        <f t="shared" si="90"/>
        <v>0.5</v>
      </c>
      <c r="CR51" s="333">
        <f t="shared" si="91"/>
        <v>0.54545454545454541</v>
      </c>
      <c r="CS51" s="333">
        <f t="shared" si="92"/>
        <v>0.59090909090909083</v>
      </c>
      <c r="CT51" s="333">
        <f t="shared" si="93"/>
        <v>0.63636363636363635</v>
      </c>
      <c r="CU51" s="333">
        <f t="shared" si="94"/>
        <v>0.68181818181818188</v>
      </c>
      <c r="CV51" s="333">
        <f t="shared" si="95"/>
        <v>0.72727272727272729</v>
      </c>
      <c r="CW51" s="333">
        <f t="shared" si="96"/>
        <v>0.40277799325939545</v>
      </c>
      <c r="CX51" s="333">
        <f t="shared" si="97"/>
        <v>0.77272727272727271</v>
      </c>
      <c r="CY51" s="333">
        <f t="shared" si="98"/>
        <v>0.81818181818181812</v>
      </c>
      <c r="CZ51" s="333">
        <f t="shared" si="99"/>
        <v>0.86363636363636365</v>
      </c>
      <c r="DA51" s="333">
        <f t="shared" si="100"/>
        <v>0.90909090909090906</v>
      </c>
      <c r="DB51" s="333">
        <f t="shared" si="101"/>
        <v>0.95454545454545459</v>
      </c>
      <c r="DC51" s="333">
        <f t="shared" si="102"/>
        <v>1</v>
      </c>
      <c r="DD51" s="334">
        <f t="shared" si="103"/>
        <v>14545360.858811006</v>
      </c>
      <c r="DE51" s="334">
        <f t="shared" si="104"/>
        <v>4570414.9220673665</v>
      </c>
      <c r="DF51" s="334">
        <f t="shared" si="105"/>
        <v>6746798.4039052445</v>
      </c>
      <c r="DH51" s="220">
        <f t="shared" si="25"/>
        <v>9974945.9367436394</v>
      </c>
      <c r="DI51" s="299">
        <f t="shared" si="26"/>
        <v>0</v>
      </c>
    </row>
    <row r="52" spans="1:113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321">
        <f t="shared" si="81"/>
        <v>0</v>
      </c>
      <c r="CI52" s="333">
        <f t="shared" si="82"/>
        <v>0</v>
      </c>
      <c r="CJ52" s="333">
        <f t="shared" si="83"/>
        <v>0.18181818181818177</v>
      </c>
      <c r="CK52" s="333">
        <f t="shared" si="84"/>
        <v>0.22727272727272729</v>
      </c>
      <c r="CL52" s="333">
        <f t="shared" si="85"/>
        <v>0.27272727272727271</v>
      </c>
      <c r="CM52" s="333">
        <f t="shared" si="86"/>
        <v>0.31818181818181823</v>
      </c>
      <c r="CN52" s="333">
        <f t="shared" si="87"/>
        <v>0.36363636363636365</v>
      </c>
      <c r="CO52" s="333">
        <f t="shared" si="88"/>
        <v>0.40909090909090906</v>
      </c>
      <c r="CP52" s="333">
        <f t="shared" si="89"/>
        <v>0.45454545454545459</v>
      </c>
      <c r="CQ52" s="333">
        <f t="shared" si="90"/>
        <v>0.5</v>
      </c>
      <c r="CR52" s="333">
        <f t="shared" si="91"/>
        <v>0.54545454545454541</v>
      </c>
      <c r="CS52" s="333">
        <f t="shared" si="92"/>
        <v>0.59090909090909083</v>
      </c>
      <c r="CT52" s="333">
        <f t="shared" si="93"/>
        <v>0.63636363636363635</v>
      </c>
      <c r="CU52" s="333">
        <f t="shared" si="94"/>
        <v>0.68181818181818188</v>
      </c>
      <c r="CV52" s="333">
        <f t="shared" si="95"/>
        <v>0.72727272727272729</v>
      </c>
      <c r="CW52" s="333">
        <f t="shared" si="96"/>
        <v>0</v>
      </c>
      <c r="CX52" s="333">
        <f t="shared" si="97"/>
        <v>0.77272727272727271</v>
      </c>
      <c r="CY52" s="333">
        <f t="shared" si="98"/>
        <v>0.81818181818181812</v>
      </c>
      <c r="CZ52" s="333">
        <f t="shared" si="99"/>
        <v>0.86363636363636365</v>
      </c>
      <c r="DA52" s="333">
        <f t="shared" si="100"/>
        <v>0.90909090909090906</v>
      </c>
      <c r="DB52" s="333">
        <f t="shared" si="101"/>
        <v>0.95454545454545459</v>
      </c>
      <c r="DC52" s="333">
        <f t="shared" si="102"/>
        <v>1</v>
      </c>
      <c r="DD52" s="334">
        <f t="shared" si="103"/>
        <v>0</v>
      </c>
      <c r="DE52" s="334">
        <f t="shared" si="104"/>
        <v>0</v>
      </c>
      <c r="DF52" s="334">
        <f t="shared" si="105"/>
        <v>0</v>
      </c>
      <c r="DH52" s="220">
        <f t="shared" si="25"/>
        <v>0</v>
      </c>
      <c r="DI52" s="299">
        <f t="shared" si="26"/>
        <v>0</v>
      </c>
    </row>
    <row r="53" spans="1:113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321">
        <f t="shared" si="81"/>
        <v>2000.9353796694659</v>
      </c>
      <c r="CI53" s="333">
        <f t="shared" si="82"/>
        <v>0</v>
      </c>
      <c r="CJ53" s="333">
        <f t="shared" si="83"/>
        <v>0</v>
      </c>
      <c r="CK53" s="333">
        <f t="shared" si="84"/>
        <v>0</v>
      </c>
      <c r="CL53" s="333">
        <f t="shared" si="85"/>
        <v>0</v>
      </c>
      <c r="CM53" s="333">
        <f t="shared" si="86"/>
        <v>0</v>
      </c>
      <c r="CN53" s="333">
        <f t="shared" si="87"/>
        <v>0</v>
      </c>
      <c r="CO53" s="333">
        <f t="shared" si="88"/>
        <v>0</v>
      </c>
      <c r="CP53" s="333">
        <f t="shared" si="89"/>
        <v>0</v>
      </c>
      <c r="CQ53" s="333">
        <f t="shared" si="90"/>
        <v>0</v>
      </c>
      <c r="CR53" s="333">
        <f t="shared" si="91"/>
        <v>0</v>
      </c>
      <c r="CS53" s="333">
        <f t="shared" si="92"/>
        <v>0</v>
      </c>
      <c r="CT53" s="333">
        <f t="shared" si="93"/>
        <v>0</v>
      </c>
      <c r="CU53" s="333">
        <f t="shared" si="94"/>
        <v>0</v>
      </c>
      <c r="CV53" s="333">
        <f t="shared" si="95"/>
        <v>0.1428571428571429</v>
      </c>
      <c r="CW53" s="333">
        <f t="shared" si="96"/>
        <v>0</v>
      </c>
      <c r="CX53" s="333">
        <f t="shared" si="97"/>
        <v>0.2857142857142857</v>
      </c>
      <c r="CY53" s="333">
        <f t="shared" si="98"/>
        <v>0.4285714285714286</v>
      </c>
      <c r="CZ53" s="333">
        <f t="shared" si="99"/>
        <v>0.5714285714285714</v>
      </c>
      <c r="DA53" s="333">
        <f t="shared" si="100"/>
        <v>0.7142857142857143</v>
      </c>
      <c r="DB53" s="333">
        <f t="shared" si="101"/>
        <v>0.85714285714285721</v>
      </c>
      <c r="DC53" s="333">
        <f t="shared" si="102"/>
        <v>1</v>
      </c>
      <c r="DD53" s="334">
        <f t="shared" si="103"/>
        <v>14383.151123919413</v>
      </c>
      <c r="DE53" s="334">
        <f t="shared" si="104"/>
        <v>14383.151123919413</v>
      </c>
      <c r="DF53" s="334">
        <f t="shared" si="105"/>
        <v>0</v>
      </c>
      <c r="DH53" s="220">
        <f t="shared" si="25"/>
        <v>0</v>
      </c>
      <c r="DI53" s="299">
        <f t="shared" si="26"/>
        <v>0</v>
      </c>
    </row>
    <row r="54" spans="1:113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321">
        <f t="shared" si="81"/>
        <v>0</v>
      </c>
      <c r="CI54" s="333">
        <f t="shared" si="82"/>
        <v>0</v>
      </c>
      <c r="CJ54" s="333">
        <f t="shared" si="83"/>
        <v>0</v>
      </c>
      <c r="CK54" s="333">
        <f t="shared" si="84"/>
        <v>0</v>
      </c>
      <c r="CL54" s="333">
        <f t="shared" si="85"/>
        <v>0</v>
      </c>
      <c r="CM54" s="333">
        <f t="shared" si="86"/>
        <v>0</v>
      </c>
      <c r="CN54" s="333">
        <f t="shared" si="87"/>
        <v>0</v>
      </c>
      <c r="CO54" s="333">
        <f t="shared" si="88"/>
        <v>0</v>
      </c>
      <c r="CP54" s="333">
        <f t="shared" si="89"/>
        <v>0</v>
      </c>
      <c r="CQ54" s="333">
        <f t="shared" si="90"/>
        <v>0</v>
      </c>
      <c r="CR54" s="333">
        <f t="shared" si="91"/>
        <v>0</v>
      </c>
      <c r="CS54" s="333">
        <f t="shared" si="92"/>
        <v>0</v>
      </c>
      <c r="CT54" s="333">
        <f t="shared" si="93"/>
        <v>0</v>
      </c>
      <c r="CU54" s="333">
        <f t="shared" si="94"/>
        <v>0</v>
      </c>
      <c r="CV54" s="333">
        <f t="shared" si="95"/>
        <v>0</v>
      </c>
      <c r="CW54" s="333">
        <f t="shared" si="96"/>
        <v>0</v>
      </c>
      <c r="CX54" s="333">
        <f t="shared" si="97"/>
        <v>0</v>
      </c>
      <c r="CY54" s="333">
        <f t="shared" si="98"/>
        <v>0</v>
      </c>
      <c r="CZ54" s="333">
        <f t="shared" si="99"/>
        <v>0.25</v>
      </c>
      <c r="DA54" s="333">
        <f t="shared" si="100"/>
        <v>0.5</v>
      </c>
      <c r="DB54" s="333">
        <f t="shared" si="101"/>
        <v>0.75</v>
      </c>
      <c r="DC54" s="333">
        <f t="shared" si="102"/>
        <v>1</v>
      </c>
      <c r="DD54" s="334">
        <f t="shared" si="103"/>
        <v>0</v>
      </c>
      <c r="DE54" s="334">
        <f t="shared" si="104"/>
        <v>0</v>
      </c>
      <c r="DF54" s="334">
        <f t="shared" si="105"/>
        <v>0</v>
      </c>
      <c r="DH54" s="220">
        <f t="shared" si="25"/>
        <v>0</v>
      </c>
      <c r="DI54" s="299">
        <f t="shared" si="26"/>
        <v>0</v>
      </c>
    </row>
    <row r="55" spans="1:113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321">
        <f t="shared" si="81"/>
        <v>0</v>
      </c>
      <c r="CI55" s="333">
        <f t="shared" si="82"/>
        <v>0</v>
      </c>
      <c r="CJ55" s="333">
        <f t="shared" si="83"/>
        <v>0</v>
      </c>
      <c r="CK55" s="333">
        <f t="shared" si="84"/>
        <v>0</v>
      </c>
      <c r="CL55" s="333">
        <f t="shared" si="85"/>
        <v>0</v>
      </c>
      <c r="CM55" s="333">
        <f t="shared" si="86"/>
        <v>0</v>
      </c>
      <c r="CN55" s="333">
        <f t="shared" si="87"/>
        <v>0</v>
      </c>
      <c r="CO55" s="333">
        <f t="shared" si="88"/>
        <v>0</v>
      </c>
      <c r="CP55" s="333">
        <f t="shared" si="89"/>
        <v>0</v>
      </c>
      <c r="CQ55" s="333">
        <f t="shared" si="90"/>
        <v>0</v>
      </c>
      <c r="CR55" s="333">
        <f t="shared" si="91"/>
        <v>0</v>
      </c>
      <c r="CS55" s="333">
        <f t="shared" si="92"/>
        <v>0</v>
      </c>
      <c r="CT55" s="333">
        <f t="shared" si="93"/>
        <v>0</v>
      </c>
      <c r="CU55" s="333">
        <f t="shared" si="94"/>
        <v>0</v>
      </c>
      <c r="CV55" s="333">
        <f t="shared" si="95"/>
        <v>0</v>
      </c>
      <c r="CW55" s="333">
        <f t="shared" si="96"/>
        <v>0</v>
      </c>
      <c r="CX55" s="333">
        <f t="shared" si="97"/>
        <v>0</v>
      </c>
      <c r="CY55" s="333">
        <f t="shared" si="98"/>
        <v>0.19999999999999996</v>
      </c>
      <c r="CZ55" s="333">
        <f t="shared" si="99"/>
        <v>0.4</v>
      </c>
      <c r="DA55" s="333">
        <f t="shared" si="100"/>
        <v>0.6</v>
      </c>
      <c r="DB55" s="333">
        <f t="shared" si="101"/>
        <v>0.8</v>
      </c>
      <c r="DC55" s="333">
        <f t="shared" si="102"/>
        <v>1</v>
      </c>
      <c r="DD55" s="334">
        <f t="shared" si="103"/>
        <v>0</v>
      </c>
      <c r="DE55" s="334">
        <f t="shared" si="104"/>
        <v>0</v>
      </c>
      <c r="DF55" s="334">
        <f t="shared" si="105"/>
        <v>0</v>
      </c>
      <c r="DH55" s="220">
        <f t="shared" si="25"/>
        <v>0</v>
      </c>
      <c r="DI55" s="299">
        <f t="shared" si="26"/>
        <v>0</v>
      </c>
    </row>
    <row r="56" spans="1:113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321">
        <f t="shared" si="81"/>
        <v>0</v>
      </c>
      <c r="CI56" s="333">
        <f t="shared" si="82"/>
        <v>0</v>
      </c>
      <c r="CJ56" s="333">
        <f t="shared" si="83"/>
        <v>0</v>
      </c>
      <c r="CK56" s="333">
        <f t="shared" si="84"/>
        <v>0</v>
      </c>
      <c r="CL56" s="333">
        <f t="shared" si="85"/>
        <v>0</v>
      </c>
      <c r="CM56" s="333">
        <f t="shared" si="86"/>
        <v>0</v>
      </c>
      <c r="CN56" s="333">
        <f t="shared" si="87"/>
        <v>0</v>
      </c>
      <c r="CO56" s="333">
        <f t="shared" si="88"/>
        <v>0</v>
      </c>
      <c r="CP56" s="333">
        <f t="shared" si="89"/>
        <v>0</v>
      </c>
      <c r="CQ56" s="333">
        <f t="shared" si="90"/>
        <v>0</v>
      </c>
      <c r="CR56" s="333">
        <f t="shared" si="91"/>
        <v>0</v>
      </c>
      <c r="CS56" s="333">
        <f t="shared" si="92"/>
        <v>0</v>
      </c>
      <c r="CT56" s="333">
        <f t="shared" si="93"/>
        <v>0</v>
      </c>
      <c r="CU56" s="333">
        <f t="shared" si="94"/>
        <v>0.125</v>
      </c>
      <c r="CV56" s="333">
        <f t="shared" si="95"/>
        <v>0.25</v>
      </c>
      <c r="CW56" s="333">
        <f t="shared" si="96"/>
        <v>0</v>
      </c>
      <c r="CX56" s="333">
        <f t="shared" si="97"/>
        <v>0.375</v>
      </c>
      <c r="CY56" s="333">
        <f t="shared" si="98"/>
        <v>0.5</v>
      </c>
      <c r="CZ56" s="333">
        <f t="shared" si="99"/>
        <v>0.625</v>
      </c>
      <c r="DA56" s="333">
        <f t="shared" si="100"/>
        <v>0.75</v>
      </c>
      <c r="DB56" s="333">
        <f t="shared" si="101"/>
        <v>0.875</v>
      </c>
      <c r="DC56" s="333">
        <f t="shared" si="102"/>
        <v>1</v>
      </c>
      <c r="DD56" s="334">
        <f t="shared" si="103"/>
        <v>0</v>
      </c>
      <c r="DE56" s="334">
        <f t="shared" si="104"/>
        <v>0</v>
      </c>
      <c r="DF56" s="334">
        <f t="shared" si="105"/>
        <v>0</v>
      </c>
      <c r="DH56" s="220">
        <f t="shared" si="25"/>
        <v>0</v>
      </c>
      <c r="DI56" s="299">
        <f t="shared" si="26"/>
        <v>0</v>
      </c>
    </row>
    <row r="57" spans="1:113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321">
        <f t="shared" si="81"/>
        <v>0</v>
      </c>
      <c r="CI57" s="348">
        <f t="shared" si="82"/>
        <v>0</v>
      </c>
      <c r="CJ57" s="333">
        <f t="shared" si="83"/>
        <v>0</v>
      </c>
      <c r="CK57" s="333">
        <f t="shared" si="84"/>
        <v>0</v>
      </c>
      <c r="CL57" s="333">
        <f t="shared" si="85"/>
        <v>5.8823529411764719E-2</v>
      </c>
      <c r="CM57" s="333">
        <f t="shared" si="86"/>
        <v>0.11764705882352944</v>
      </c>
      <c r="CN57" s="333">
        <f t="shared" si="87"/>
        <v>0.17647058823529416</v>
      </c>
      <c r="CO57" s="333">
        <f t="shared" si="88"/>
        <v>0.23529411764705888</v>
      </c>
      <c r="CP57" s="333">
        <f t="shared" si="89"/>
        <v>0.29411764705882348</v>
      </c>
      <c r="CQ57" s="333">
        <f t="shared" si="90"/>
        <v>0.3529411764705882</v>
      </c>
      <c r="CR57" s="333">
        <f t="shared" si="91"/>
        <v>0.41176470588235292</v>
      </c>
      <c r="CS57" s="333">
        <f t="shared" si="92"/>
        <v>0.47058823529411764</v>
      </c>
      <c r="CT57" s="333">
        <f t="shared" si="93"/>
        <v>0.52941176470588236</v>
      </c>
      <c r="CU57" s="333">
        <f t="shared" si="94"/>
        <v>0.58823529411764708</v>
      </c>
      <c r="CV57" s="333">
        <f t="shared" si="95"/>
        <v>0.64705882352941169</v>
      </c>
      <c r="CW57" s="333">
        <f t="shared" si="96"/>
        <v>0</v>
      </c>
      <c r="CX57" s="333">
        <f t="shared" si="97"/>
        <v>0.70588235294117641</v>
      </c>
      <c r="CY57" s="333">
        <f t="shared" si="98"/>
        <v>0.76470588235294112</v>
      </c>
      <c r="CZ57" s="333">
        <f t="shared" si="99"/>
        <v>0.82352941176470584</v>
      </c>
      <c r="DA57" s="333">
        <f t="shared" si="100"/>
        <v>0.88235294117647056</v>
      </c>
      <c r="DB57" s="333">
        <f t="shared" si="101"/>
        <v>0.94117647058823528</v>
      </c>
      <c r="DC57" s="333">
        <f t="shared" si="102"/>
        <v>1</v>
      </c>
      <c r="DD57" s="334">
        <f t="shared" si="103"/>
        <v>0</v>
      </c>
      <c r="DE57" s="334">
        <f t="shared" si="104"/>
        <v>0</v>
      </c>
      <c r="DF57" s="334">
        <f t="shared" si="105"/>
        <v>0</v>
      </c>
      <c r="DH57" s="220">
        <f t="shared" si="25"/>
        <v>0</v>
      </c>
      <c r="DI57" s="299">
        <f t="shared" si="26"/>
        <v>0</v>
      </c>
    </row>
    <row r="58" spans="1:113" s="1" customFormat="1" ht="12.75" customHeight="1" thickBot="1" x14ac:dyDescent="0.35">
      <c r="A58" s="576"/>
      <c r="B58" s="304" t="s">
        <v>42</v>
      </c>
      <c r="C58" s="302"/>
      <c r="D58" s="305">
        <f t="shared" ref="D58:BO58" si="106">SUM(D48:D57)</f>
        <v>5660028.2779788757</v>
      </c>
      <c r="E58" s="305">
        <f t="shared" si="106"/>
        <v>0</v>
      </c>
      <c r="F58" s="305">
        <f t="shared" si="106"/>
        <v>4092084.3124159449</v>
      </c>
      <c r="G58" s="305">
        <f t="shared" si="106"/>
        <v>385845.48</v>
      </c>
      <c r="H58" s="305">
        <f t="shared" si="106"/>
        <v>0</v>
      </c>
      <c r="I58" s="305">
        <f t="shared" si="106"/>
        <v>0</v>
      </c>
      <c r="J58" s="305">
        <f t="shared" si="106"/>
        <v>0</v>
      </c>
      <c r="K58" s="305">
        <f t="shared" si="106"/>
        <v>452747.86</v>
      </c>
      <c r="L58" s="305">
        <f t="shared" si="106"/>
        <v>0</v>
      </c>
      <c r="M58" s="305">
        <f t="shared" si="106"/>
        <v>0</v>
      </c>
      <c r="N58" s="305">
        <f t="shared" si="106"/>
        <v>0</v>
      </c>
      <c r="O58" s="305">
        <f t="shared" si="106"/>
        <v>370817.32</v>
      </c>
      <c r="P58" s="305">
        <f t="shared" si="106"/>
        <v>0</v>
      </c>
      <c r="Q58" s="305">
        <f t="shared" si="106"/>
        <v>0</v>
      </c>
      <c r="R58" s="305">
        <f t="shared" si="106"/>
        <v>0</v>
      </c>
      <c r="S58" s="305">
        <f t="shared" si="106"/>
        <v>396757.73</v>
      </c>
      <c r="T58" s="305">
        <f t="shared" si="106"/>
        <v>0</v>
      </c>
      <c r="U58" s="305">
        <f t="shared" si="106"/>
        <v>0</v>
      </c>
      <c r="V58" s="305">
        <f t="shared" si="106"/>
        <v>0</v>
      </c>
      <c r="W58" s="305">
        <f t="shared" si="106"/>
        <v>291785.66999999993</v>
      </c>
      <c r="X58" s="305">
        <f t="shared" si="106"/>
        <v>0</v>
      </c>
      <c r="Y58" s="305">
        <f t="shared" si="106"/>
        <v>0</v>
      </c>
      <c r="Z58" s="305">
        <f t="shared" si="106"/>
        <v>0</v>
      </c>
      <c r="AA58" s="305">
        <f t="shared" si="106"/>
        <v>471133.24000000005</v>
      </c>
      <c r="AB58" s="305">
        <f t="shared" si="106"/>
        <v>0</v>
      </c>
      <c r="AC58" s="305">
        <f t="shared" si="106"/>
        <v>0</v>
      </c>
      <c r="AD58" s="305">
        <f t="shared" si="106"/>
        <v>0</v>
      </c>
      <c r="AE58" s="305">
        <f t="shared" si="106"/>
        <v>641039</v>
      </c>
      <c r="AF58" s="305">
        <f t="shared" si="106"/>
        <v>0</v>
      </c>
      <c r="AG58" s="305">
        <f t="shared" si="106"/>
        <v>0</v>
      </c>
      <c r="AH58" s="305">
        <f t="shared" si="106"/>
        <v>0</v>
      </c>
      <c r="AI58" s="305">
        <f t="shared" si="106"/>
        <v>528906.63000000012</v>
      </c>
      <c r="AJ58" s="305">
        <f t="shared" si="106"/>
        <v>0</v>
      </c>
      <c r="AK58" s="305">
        <f t="shared" si="106"/>
        <v>0</v>
      </c>
      <c r="AL58" s="305">
        <f t="shared" si="106"/>
        <v>0</v>
      </c>
      <c r="AM58" s="305">
        <f t="shared" si="106"/>
        <v>421950.02999999991</v>
      </c>
      <c r="AN58" s="305">
        <f t="shared" si="106"/>
        <v>0</v>
      </c>
      <c r="AO58" s="305">
        <f t="shared" si="106"/>
        <v>0</v>
      </c>
      <c r="AP58" s="305">
        <f t="shared" si="106"/>
        <v>0</v>
      </c>
      <c r="AQ58" s="305">
        <f t="shared" si="106"/>
        <v>401723.83</v>
      </c>
      <c r="AR58" s="305">
        <f t="shared" si="106"/>
        <v>0</v>
      </c>
      <c r="AS58" s="305">
        <f t="shared" si="106"/>
        <v>0</v>
      </c>
      <c r="AT58" s="305">
        <f t="shared" si="106"/>
        <v>0</v>
      </c>
      <c r="AU58" s="305">
        <f t="shared" si="106"/>
        <v>401731.13</v>
      </c>
      <c r="AV58" s="305">
        <f t="shared" si="106"/>
        <v>0</v>
      </c>
      <c r="AW58" s="305">
        <f t="shared" si="106"/>
        <v>0</v>
      </c>
      <c r="AX58" s="305">
        <f t="shared" si="106"/>
        <v>0</v>
      </c>
      <c r="AY58" s="305">
        <f t="shared" si="106"/>
        <v>555885.05319699994</v>
      </c>
      <c r="AZ58" s="305">
        <f t="shared" si="106"/>
        <v>0</v>
      </c>
      <c r="BA58" s="305">
        <f t="shared" si="106"/>
        <v>0</v>
      </c>
      <c r="BB58" s="305">
        <f t="shared" si="106"/>
        <v>0</v>
      </c>
      <c r="BC58" s="305">
        <f t="shared" si="106"/>
        <v>660890.24999999988</v>
      </c>
      <c r="BD58" s="305">
        <f t="shared" si="106"/>
        <v>0</v>
      </c>
      <c r="BE58" s="305">
        <f t="shared" si="106"/>
        <v>0</v>
      </c>
      <c r="BF58" s="305">
        <f t="shared" si="106"/>
        <v>0</v>
      </c>
      <c r="BG58" s="305">
        <f t="shared" si="106"/>
        <v>265555</v>
      </c>
      <c r="BH58" s="305">
        <f t="shared" si="106"/>
        <v>265555</v>
      </c>
      <c r="BI58" s="305">
        <f t="shared" si="106"/>
        <v>173348.46</v>
      </c>
      <c r="BJ58" s="305">
        <f t="shared" si="106"/>
        <v>682413</v>
      </c>
      <c r="BK58" s="305">
        <f t="shared" si="106"/>
        <v>0</v>
      </c>
      <c r="BL58" s="305">
        <f t="shared" si="106"/>
        <v>0</v>
      </c>
      <c r="BM58" s="305">
        <f t="shared" si="106"/>
        <v>0</v>
      </c>
      <c r="BN58" s="305">
        <f t="shared" si="106"/>
        <v>805417.89999999991</v>
      </c>
      <c r="BO58" s="305">
        <f t="shared" si="106"/>
        <v>0</v>
      </c>
      <c r="BP58" s="305">
        <f t="shared" ref="BP58:CC58" si="107">SUM(BP48:BP57)</f>
        <v>0</v>
      </c>
      <c r="BQ58" s="305">
        <f t="shared" si="107"/>
        <v>0</v>
      </c>
      <c r="BR58" s="305">
        <f t="shared" si="107"/>
        <v>811234.00000000012</v>
      </c>
      <c r="BS58" s="305">
        <f t="shared" si="107"/>
        <v>0</v>
      </c>
      <c r="BT58" s="305">
        <f t="shared" si="107"/>
        <v>0</v>
      </c>
      <c r="BU58" s="305">
        <f t="shared" si="107"/>
        <v>0</v>
      </c>
      <c r="BV58" s="305">
        <f t="shared" si="107"/>
        <v>994683.03999999969</v>
      </c>
      <c r="BW58" s="305">
        <f t="shared" si="107"/>
        <v>0</v>
      </c>
      <c r="BX58" s="305">
        <f t="shared" si="107"/>
        <v>0</v>
      </c>
      <c r="BY58" s="305">
        <f t="shared" si="107"/>
        <v>0</v>
      </c>
      <c r="BZ58" s="305">
        <f t="shared" si="107"/>
        <v>1009193.6200000001</v>
      </c>
      <c r="CA58" s="305">
        <f t="shared" si="107"/>
        <v>0</v>
      </c>
      <c r="CB58" s="305">
        <f t="shared" si="107"/>
        <v>0</v>
      </c>
      <c r="CC58" s="305">
        <f t="shared" si="107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6"/>
      <c r="CI58" s="307"/>
      <c r="CJ58" s="307"/>
      <c r="CK58" s="307"/>
      <c r="CL58" s="307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8">
        <f>SUM(DD48:DD57)</f>
        <v>15653905.615394708</v>
      </c>
      <c r="DE58" s="308">
        <f>SUM(DE48:DE57)</f>
        <v>4584798.0731912861</v>
      </c>
      <c r="DF58" s="308">
        <f>SUM(DF48:DF57)</f>
        <v>7076878.4383209087</v>
      </c>
      <c r="DH58" s="220">
        <f t="shared" si="25"/>
        <v>11069107.542203423</v>
      </c>
      <c r="DI58" s="299">
        <f t="shared" si="26"/>
        <v>0</v>
      </c>
    </row>
    <row r="59" spans="1:113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08">E58+E47+E13+E45</f>
        <v>0</v>
      </c>
      <c r="F59" s="311">
        <f t="shared" si="108"/>
        <v>45909466.481640995</v>
      </c>
      <c r="G59" s="311">
        <f t="shared" si="108"/>
        <v>2297920.7887920002</v>
      </c>
      <c r="H59" s="311">
        <f t="shared" si="108"/>
        <v>0</v>
      </c>
      <c r="I59" s="311">
        <f t="shared" si="108"/>
        <v>0</v>
      </c>
      <c r="J59" s="311">
        <f t="shared" si="108"/>
        <v>0</v>
      </c>
      <c r="K59" s="311">
        <f t="shared" si="108"/>
        <v>3705380.7350740554</v>
      </c>
      <c r="L59" s="311">
        <f t="shared" si="108"/>
        <v>315949</v>
      </c>
      <c r="M59" s="311">
        <f t="shared" si="108"/>
        <v>0</v>
      </c>
      <c r="N59" s="311">
        <f t="shared" si="108"/>
        <v>0</v>
      </c>
      <c r="O59" s="311">
        <f t="shared" si="108"/>
        <v>3354159.6110610003</v>
      </c>
      <c r="P59" s="311">
        <f t="shared" si="108"/>
        <v>0</v>
      </c>
      <c r="Q59" s="311">
        <f t="shared" si="108"/>
        <v>0</v>
      </c>
      <c r="R59" s="311">
        <f t="shared" si="108"/>
        <v>0</v>
      </c>
      <c r="S59" s="311">
        <f t="shared" si="108"/>
        <v>3518386.36</v>
      </c>
      <c r="T59" s="311">
        <f t="shared" si="108"/>
        <v>0</v>
      </c>
      <c r="U59" s="311">
        <f t="shared" si="108"/>
        <v>0</v>
      </c>
      <c r="V59" s="311">
        <f t="shared" si="108"/>
        <v>0</v>
      </c>
      <c r="W59" s="311">
        <f t="shared" si="108"/>
        <v>3815993.5700000003</v>
      </c>
      <c r="X59" s="311">
        <f t="shared" si="108"/>
        <v>0</v>
      </c>
      <c r="Y59" s="311">
        <f t="shared" si="108"/>
        <v>0</v>
      </c>
      <c r="Z59" s="311">
        <f t="shared" si="108"/>
        <v>0</v>
      </c>
      <c r="AA59" s="311">
        <f t="shared" si="108"/>
        <v>5590315.4300000006</v>
      </c>
      <c r="AB59" s="311">
        <f t="shared" si="108"/>
        <v>556386.07000000007</v>
      </c>
      <c r="AC59" s="311">
        <f t="shared" si="108"/>
        <v>0</v>
      </c>
      <c r="AD59" s="311">
        <f t="shared" si="108"/>
        <v>0</v>
      </c>
      <c r="AE59" s="311">
        <f t="shared" si="108"/>
        <v>6630069.3099999996</v>
      </c>
      <c r="AF59" s="311">
        <f t="shared" si="108"/>
        <v>0</v>
      </c>
      <c r="AG59" s="311">
        <f t="shared" si="108"/>
        <v>0</v>
      </c>
      <c r="AH59" s="311">
        <f t="shared" si="108"/>
        <v>0</v>
      </c>
      <c r="AI59" s="311">
        <f t="shared" si="108"/>
        <v>8798937.4638769962</v>
      </c>
      <c r="AJ59" s="311">
        <f t="shared" si="108"/>
        <v>0</v>
      </c>
      <c r="AK59" s="311">
        <f t="shared" si="108"/>
        <v>0</v>
      </c>
      <c r="AL59" s="311">
        <f t="shared" si="108"/>
        <v>0</v>
      </c>
      <c r="AM59" s="311">
        <f t="shared" si="108"/>
        <v>6243081.9319999982</v>
      </c>
      <c r="AN59" s="311">
        <f t="shared" si="108"/>
        <v>0</v>
      </c>
      <c r="AO59" s="311">
        <f t="shared" si="108"/>
        <v>0</v>
      </c>
      <c r="AP59" s="311">
        <f t="shared" si="108"/>
        <v>0</v>
      </c>
      <c r="AQ59" s="311">
        <f t="shared" si="108"/>
        <v>7546107.3088913755</v>
      </c>
      <c r="AR59" s="311">
        <f t="shared" si="108"/>
        <v>0</v>
      </c>
      <c r="AS59" s="311">
        <f t="shared" si="108"/>
        <v>0</v>
      </c>
      <c r="AT59" s="311">
        <f t="shared" si="108"/>
        <v>0</v>
      </c>
      <c r="AU59" s="311">
        <f t="shared" si="108"/>
        <v>5992535.4899999965</v>
      </c>
      <c r="AV59" s="311">
        <f t="shared" si="108"/>
        <v>0</v>
      </c>
      <c r="AW59" s="311">
        <f t="shared" si="108"/>
        <v>0</v>
      </c>
      <c r="AX59" s="311">
        <f t="shared" si="108"/>
        <v>0</v>
      </c>
      <c r="AY59" s="311">
        <f t="shared" si="108"/>
        <v>9964863.5911969952</v>
      </c>
      <c r="AZ59" s="311">
        <f t="shared" si="108"/>
        <v>0</v>
      </c>
      <c r="BA59" s="311">
        <f t="shared" si="108"/>
        <v>0</v>
      </c>
      <c r="BB59" s="311">
        <f t="shared" si="108"/>
        <v>0</v>
      </c>
      <c r="BC59" s="311">
        <f t="shared" si="108"/>
        <v>11143773.309999999</v>
      </c>
      <c r="BD59" s="311">
        <f t="shared" si="108"/>
        <v>0</v>
      </c>
      <c r="BE59" s="311">
        <f t="shared" si="108"/>
        <v>0</v>
      </c>
      <c r="BF59" s="311">
        <f t="shared" si="108"/>
        <v>0</v>
      </c>
      <c r="BG59" s="311">
        <f t="shared" si="108"/>
        <v>8136602.2479580687</v>
      </c>
      <c r="BH59" s="311">
        <f t="shared" si="108"/>
        <v>6029079.5579580693</v>
      </c>
      <c r="BI59" s="311">
        <f t="shared" si="108"/>
        <v>6021259.6799999988</v>
      </c>
      <c r="BJ59" s="311">
        <f t="shared" si="108"/>
        <v>12605720.150000002</v>
      </c>
      <c r="BK59" s="311">
        <f t="shared" si="108"/>
        <v>0</v>
      </c>
      <c r="BL59" s="311">
        <f t="shared" si="108"/>
        <v>0</v>
      </c>
      <c r="BM59" s="311">
        <f t="shared" si="108"/>
        <v>0</v>
      </c>
      <c r="BN59" s="311">
        <f t="shared" si="108"/>
        <v>25963295.499999996</v>
      </c>
      <c r="BO59" s="311">
        <f t="shared" si="108"/>
        <v>0</v>
      </c>
      <c r="BP59" s="311">
        <f t="shared" si="108"/>
        <v>0</v>
      </c>
      <c r="BQ59" s="311">
        <f t="shared" ref="BQ59:CC59" si="109">BQ58+BQ47+BQ13+BQ45</f>
        <v>0</v>
      </c>
      <c r="BR59" s="311">
        <f t="shared" si="109"/>
        <v>19553374.009999998</v>
      </c>
      <c r="BS59" s="311">
        <f t="shared" si="109"/>
        <v>65610.73</v>
      </c>
      <c r="BT59" s="311">
        <f t="shared" si="109"/>
        <v>0</v>
      </c>
      <c r="BU59" s="311">
        <f t="shared" si="109"/>
        <v>0</v>
      </c>
      <c r="BV59" s="311">
        <f t="shared" si="109"/>
        <v>20404493.799999997</v>
      </c>
      <c r="BW59" s="311">
        <f t="shared" si="109"/>
        <v>2126529.2643995676</v>
      </c>
      <c r="BX59" s="311">
        <f t="shared" si="109"/>
        <v>0</v>
      </c>
      <c r="BY59" s="311">
        <f t="shared" si="109"/>
        <v>0</v>
      </c>
      <c r="BZ59" s="311">
        <f t="shared" si="109"/>
        <v>22105252.660000004</v>
      </c>
      <c r="CA59" s="311">
        <f t="shared" si="109"/>
        <v>2659763.210547294</v>
      </c>
      <c r="CB59" s="311">
        <f t="shared" si="109"/>
        <v>0</v>
      </c>
      <c r="CC59" s="311">
        <f t="shared" si="109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2"/>
      <c r="CI59" s="312"/>
      <c r="CJ59" s="312"/>
      <c r="CK59" s="312"/>
      <c r="CL59" s="312"/>
      <c r="CM59" s="312"/>
      <c r="CN59" s="312"/>
      <c r="CO59" s="312"/>
      <c r="CP59" s="312"/>
      <c r="CQ59" s="312"/>
      <c r="CR59" s="312"/>
      <c r="CS59" s="312"/>
      <c r="CT59" s="312"/>
      <c r="CU59" s="312"/>
      <c r="CV59" s="312"/>
      <c r="CW59" s="312"/>
      <c r="CX59" s="312"/>
      <c r="CY59" s="312"/>
      <c r="CZ59" s="312"/>
      <c r="DA59" s="312"/>
      <c r="DB59" s="312"/>
      <c r="DC59" s="312"/>
      <c r="DD59" s="313">
        <f>DD13+DD45+DD47+DD58</f>
        <v>250424031.88123304</v>
      </c>
      <c r="DE59" s="313">
        <f>DE13+DE45+DE47+DE58</f>
        <v>64554133.109497882</v>
      </c>
      <c r="DF59" s="314">
        <f>DF13+DF45+DF47+DF58</f>
        <v>126623600.66200207</v>
      </c>
      <c r="DH59" s="220">
        <f t="shared" si="25"/>
        <v>185869898.77173516</v>
      </c>
      <c r="DI59" s="299">
        <f t="shared" si="26"/>
        <v>0</v>
      </c>
    </row>
    <row r="60" spans="1:113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</row>
    <row r="61" spans="1:113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</row>
    <row r="62" spans="1:113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</row>
    <row r="63" spans="1:113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</row>
    <row r="64" spans="1:113" ht="12.75" customHeight="1" x14ac:dyDescent="0.25"/>
    <row r="65" spans="4:83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</row>
    <row r="66" spans="4:83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</row>
    <row r="68" spans="4:83" ht="13.25" customHeight="1" x14ac:dyDescent="0.25"/>
    <row r="70" spans="4:83" ht="13.25" customHeight="1" x14ac:dyDescent="0.25"/>
    <row r="74" spans="4:83" x14ac:dyDescent="0.25">
      <c r="AU74" s="220"/>
      <c r="AV74" s="220"/>
      <c r="AW74" s="221"/>
      <c r="AX74" s="221"/>
      <c r="AY74" s="221"/>
      <c r="AZ74" s="221"/>
      <c r="BA74" s="221"/>
      <c r="BB74" s="221"/>
    </row>
    <row r="75" spans="4:83" x14ac:dyDescent="0.25">
      <c r="AU75" s="221"/>
      <c r="AV75" s="221"/>
      <c r="AW75" s="221"/>
      <c r="AX75" s="221"/>
      <c r="AY75" s="221"/>
      <c r="AZ75" s="221"/>
      <c r="BA75" s="221"/>
      <c r="BB75" s="221"/>
    </row>
    <row r="81" customFormat="1" ht="13.25" customHeigh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18">
    <mergeCell ref="BZ62:CC62"/>
    <mergeCell ref="CD62:CG62"/>
    <mergeCell ref="B63:C63"/>
    <mergeCell ref="D63:F63"/>
    <mergeCell ref="G63:J63"/>
    <mergeCell ref="K63:N63"/>
    <mergeCell ref="O63:R63"/>
    <mergeCell ref="S63:V63"/>
    <mergeCell ref="AU62:AX62"/>
    <mergeCell ref="W63:Z63"/>
    <mergeCell ref="AA63:AD63"/>
    <mergeCell ref="AE63:AH63"/>
    <mergeCell ref="AI63:AL63"/>
    <mergeCell ref="AM63:AP63"/>
    <mergeCell ref="AQ63:AT63"/>
    <mergeCell ref="BV63:BY63"/>
    <mergeCell ref="BZ63:CC63"/>
    <mergeCell ref="CD63:CG63"/>
    <mergeCell ref="AU63:AX63"/>
    <mergeCell ref="AY63:BB63"/>
    <mergeCell ref="BC63:BF63"/>
    <mergeCell ref="BJ63:BM63"/>
    <mergeCell ref="BN63:BQ63"/>
    <mergeCell ref="BR63:BU63"/>
    <mergeCell ref="BJ61:BM61"/>
    <mergeCell ref="BN61:BQ61"/>
    <mergeCell ref="BR61:BU61"/>
    <mergeCell ref="AQ62:AT62"/>
    <mergeCell ref="BV61:BY61"/>
    <mergeCell ref="BZ61:CC61"/>
    <mergeCell ref="CD61:CG61"/>
    <mergeCell ref="B62:C62"/>
    <mergeCell ref="D62:F62"/>
    <mergeCell ref="G62:J62"/>
    <mergeCell ref="K62:N62"/>
    <mergeCell ref="O62:R62"/>
    <mergeCell ref="S62:V62"/>
    <mergeCell ref="AY62:BB62"/>
    <mergeCell ref="BC62:BF62"/>
    <mergeCell ref="BJ62:BM62"/>
    <mergeCell ref="BN62:BQ62"/>
    <mergeCell ref="BR62:BU62"/>
    <mergeCell ref="W62:Z62"/>
    <mergeCell ref="AA62:AD62"/>
    <mergeCell ref="AE62:AH62"/>
    <mergeCell ref="AI62:AL62"/>
    <mergeCell ref="AM62:AP62"/>
    <mergeCell ref="BV62:BY62"/>
    <mergeCell ref="AU60:AX60"/>
    <mergeCell ref="AY60:BB60"/>
    <mergeCell ref="BC60:BF60"/>
    <mergeCell ref="B61:C61"/>
    <mergeCell ref="D61:F61"/>
    <mergeCell ref="G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DE3:DE4"/>
    <mergeCell ref="DF3:DF4"/>
    <mergeCell ref="A5:A13"/>
    <mergeCell ref="A46:A47"/>
    <mergeCell ref="A48:A58"/>
    <mergeCell ref="A60:A63"/>
    <mergeCell ref="B60:C60"/>
    <mergeCell ref="D60:F60"/>
    <mergeCell ref="G60:J60"/>
    <mergeCell ref="K60:N60"/>
    <mergeCell ref="BJ60:BM60"/>
    <mergeCell ref="O60:R60"/>
    <mergeCell ref="S60:V60"/>
    <mergeCell ref="W60:Z60"/>
    <mergeCell ref="AA60:AD60"/>
    <mergeCell ref="AE60:AH60"/>
    <mergeCell ref="AI60:AL60"/>
    <mergeCell ref="BN60:BQ60"/>
    <mergeCell ref="BR60:BU60"/>
    <mergeCell ref="BV60:BY60"/>
    <mergeCell ref="BZ60:CC60"/>
    <mergeCell ref="CD60:CG60"/>
    <mergeCell ref="AM60:AP60"/>
    <mergeCell ref="AQ60:AT60"/>
    <mergeCell ref="CZ3:CZ4"/>
    <mergeCell ref="DA3:DA4"/>
    <mergeCell ref="DB3:DB4"/>
    <mergeCell ref="DC3:DC4"/>
    <mergeCell ref="DD3:DD4"/>
    <mergeCell ref="CT3:CT4"/>
    <mergeCell ref="CU3:CU4"/>
    <mergeCell ref="CV3:CV4"/>
    <mergeCell ref="CW3:CW4"/>
    <mergeCell ref="CX3:CX4"/>
    <mergeCell ref="CH3:CH4"/>
    <mergeCell ref="CI3:CI4"/>
    <mergeCell ref="CJ3:CJ4"/>
    <mergeCell ref="CK3:CK4"/>
    <mergeCell ref="CL3:CL4"/>
    <mergeCell ref="CM3:CM4"/>
    <mergeCell ref="CY3:CY4"/>
    <mergeCell ref="CN3:CN4"/>
    <mergeCell ref="CO3:CO4"/>
    <mergeCell ref="CP3:CP4"/>
    <mergeCell ref="CQ3:CQ4"/>
    <mergeCell ref="CR3:CR4"/>
    <mergeCell ref="CS3:CS4"/>
    <mergeCell ref="BV3:BV4"/>
    <mergeCell ref="BW3:BW4"/>
    <mergeCell ref="BX3:BX4"/>
    <mergeCell ref="BY3:BY4"/>
    <mergeCell ref="CF3:CF4"/>
    <mergeCell ref="CG3:CG4"/>
    <mergeCell ref="BZ3:BZ4"/>
    <mergeCell ref="CA3:CA4"/>
    <mergeCell ref="CB3:CB4"/>
    <mergeCell ref="CC3:CC4"/>
    <mergeCell ref="CD3:CD4"/>
    <mergeCell ref="CE3:CE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A3:BA4"/>
    <mergeCell ref="BB3:BB4"/>
    <mergeCell ref="BC3:BC4"/>
    <mergeCell ref="BG3:BG4"/>
    <mergeCell ref="BH3:BH4"/>
    <mergeCell ref="BI3:BI4"/>
    <mergeCell ref="BJ3:BJ4"/>
    <mergeCell ref="BK3:BK4"/>
    <mergeCell ref="BL3:BL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DD2:DF2"/>
    <mergeCell ref="D3:D4"/>
    <mergeCell ref="E3:E4"/>
    <mergeCell ref="F3:F4"/>
    <mergeCell ref="G3:G4"/>
    <mergeCell ref="H3:H4"/>
    <mergeCell ref="AY2:BB2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W2:Z2"/>
    <mergeCell ref="AU2:AX2"/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BC2:BF2"/>
    <mergeCell ref="BG2:BI2"/>
    <mergeCell ref="BJ2:BM2"/>
    <mergeCell ref="BN2:BQ2"/>
    <mergeCell ref="BR2:BU2"/>
    <mergeCell ref="AA2:AD2"/>
    <mergeCell ref="AE2:AH2"/>
    <mergeCell ref="AI2:AL2"/>
    <mergeCell ref="AM2:AP2"/>
    <mergeCell ref="AQ2:AT2"/>
    <mergeCell ref="BV2:BY2"/>
    <mergeCell ref="BZ2:CC2"/>
    <mergeCell ref="CD2:C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0E1FB-42DB-44CC-B4C2-B86C09D5F018}">
  <sheetPr>
    <tabColor rgb="FFFFFF00"/>
  </sheetPr>
  <dimension ref="A1:DK426"/>
  <sheetViews>
    <sheetView topLeftCell="CX30" workbookViewId="0">
      <selection activeCell="DI48" sqref="DI48:DJ57"/>
    </sheetView>
  </sheetViews>
  <sheetFormatPr baseColWidth="10" defaultColWidth="11.54296875" defaultRowHeight="12.5" x14ac:dyDescent="0.25"/>
  <cols>
    <col min="1" max="1" width="17.54296875" customWidth="1"/>
    <col min="2" max="2" width="34.54296875" customWidth="1"/>
    <col min="3" max="3" width="13.1796875" bestFit="1" customWidth="1"/>
    <col min="4" max="4" width="14.453125" bestFit="1" customWidth="1"/>
    <col min="5" max="5" width="8.81640625" bestFit="1" customWidth="1"/>
    <col min="6" max="6" width="14.453125" bestFit="1" customWidth="1"/>
    <col min="7" max="7" width="13.453125" bestFit="1" customWidth="1"/>
    <col min="8" max="8" width="8" bestFit="1" customWidth="1"/>
    <col min="9" max="9" width="8.81640625" bestFit="1" customWidth="1"/>
    <col min="10" max="10" width="8" bestFit="1" customWidth="1"/>
    <col min="11" max="11" width="13.453125" bestFit="1" customWidth="1"/>
    <col min="12" max="12" width="11.90625" bestFit="1" customWidth="1"/>
    <col min="13" max="13" width="8.81640625" bestFit="1" customWidth="1"/>
    <col min="14" max="14" width="8" bestFit="1" customWidth="1"/>
    <col min="15" max="15" width="13.453125" bestFit="1" customWidth="1"/>
    <col min="16" max="16" width="8" bestFit="1" customWidth="1"/>
    <col min="17" max="17" width="8.81640625" bestFit="1" customWidth="1"/>
    <col min="18" max="18" width="8" bestFit="1" customWidth="1"/>
    <col min="19" max="19" width="13.453125" bestFit="1" customWidth="1"/>
    <col min="20" max="20" width="8" bestFit="1" customWidth="1"/>
    <col min="21" max="21" width="8.81640625" bestFit="1" customWidth="1"/>
    <col min="22" max="22" width="8" bestFit="1" customWidth="1"/>
    <col min="23" max="23" width="13.453125" bestFit="1" customWidth="1"/>
    <col min="24" max="24" width="8" bestFit="1" customWidth="1"/>
    <col min="25" max="25" width="8.81640625" bestFit="1" customWidth="1"/>
    <col min="26" max="26" width="8" bestFit="1" customWidth="1"/>
    <col min="27" max="27" width="13.453125" bestFit="1" customWidth="1"/>
    <col min="28" max="28" width="11.90625" bestFit="1" customWidth="1"/>
    <col min="29" max="29" width="8.81640625" bestFit="1" customWidth="1"/>
    <col min="30" max="30" width="8" bestFit="1" customWidth="1"/>
    <col min="31" max="31" width="13.453125" bestFit="1" customWidth="1"/>
    <col min="32" max="32" width="8" bestFit="1" customWidth="1"/>
    <col min="33" max="33" width="8.81640625" bestFit="1" customWidth="1"/>
    <col min="34" max="34" width="8" bestFit="1" customWidth="1"/>
    <col min="35" max="35" width="13.453125" bestFit="1" customWidth="1"/>
    <col min="36" max="36" width="8" bestFit="1" customWidth="1"/>
    <col min="37" max="37" width="8.81640625" bestFit="1" customWidth="1"/>
    <col min="38" max="38" width="8" bestFit="1" customWidth="1"/>
    <col min="39" max="39" width="13.453125" bestFit="1" customWidth="1"/>
    <col min="40" max="40" width="8" bestFit="1" customWidth="1"/>
    <col min="41" max="41" width="8.81640625" style="57" bestFit="1" customWidth="1"/>
    <col min="42" max="42" width="8.81640625" bestFit="1" customWidth="1"/>
    <col min="43" max="43" width="13.453125" bestFit="1" customWidth="1"/>
    <col min="44" max="44" width="8" bestFit="1" customWidth="1"/>
    <col min="45" max="45" width="17.08984375" style="57" bestFit="1" customWidth="1"/>
    <col min="46" max="46" width="21.81640625" bestFit="1" customWidth="1"/>
    <col min="47" max="47" width="13.453125" bestFit="1" customWidth="1"/>
    <col min="48" max="48" width="8" bestFit="1" customWidth="1"/>
    <col min="49" max="49" width="17.08984375" bestFit="1" customWidth="1"/>
    <col min="50" max="50" width="21.81640625" bestFit="1" customWidth="1"/>
    <col min="51" max="51" width="13.453125" bestFit="1" customWidth="1"/>
    <col min="52" max="52" width="8" bestFit="1" customWidth="1"/>
    <col min="53" max="53" width="17.08984375" bestFit="1" customWidth="1"/>
    <col min="54" max="54" width="21.81640625" bestFit="1" customWidth="1"/>
    <col min="55" max="55" width="14.453125" bestFit="1" customWidth="1"/>
    <col min="56" max="56" width="8" bestFit="1" customWidth="1"/>
    <col min="57" max="58" width="8.81640625" bestFit="1" customWidth="1"/>
    <col min="59" max="61" width="13.453125" bestFit="1" customWidth="1"/>
    <col min="62" max="62" width="14.453125" bestFit="1" customWidth="1"/>
    <col min="63" max="63" width="8" bestFit="1" customWidth="1"/>
    <col min="64" max="65" width="8.81640625" bestFit="1" customWidth="1"/>
    <col min="66" max="66" width="14.453125" bestFit="1" customWidth="1"/>
    <col min="67" max="67" width="8" bestFit="1" customWidth="1"/>
    <col min="68" max="69" width="8.81640625" bestFit="1" customWidth="1"/>
    <col min="70" max="70" width="14.453125" bestFit="1" customWidth="1"/>
    <col min="71" max="71" width="10.90625" bestFit="1" customWidth="1"/>
    <col min="72" max="73" width="8.81640625" bestFit="1" customWidth="1"/>
    <col min="74" max="74" width="15.36328125" customWidth="1"/>
    <col min="75" max="75" width="12.08984375" bestFit="1" customWidth="1"/>
    <col min="76" max="77" width="8.81640625" bestFit="1" customWidth="1"/>
    <col min="78" max="78" width="14.6328125" bestFit="1" customWidth="1"/>
    <col min="79" max="79" width="13.6328125" bestFit="1" customWidth="1"/>
    <col min="80" max="81" width="8.81640625" bestFit="1" customWidth="1"/>
    <col min="82" max="82" width="14.6328125" bestFit="1" customWidth="1"/>
    <col min="83" max="83" width="12.08984375" bestFit="1" customWidth="1"/>
    <col min="84" max="85" width="8.81640625" bestFit="1" customWidth="1"/>
    <col min="86" max="86" width="14.6328125" bestFit="1" customWidth="1"/>
    <col min="87" max="87" width="12.08984375" bestFit="1" customWidth="1"/>
    <col min="88" max="89" width="8.81640625" bestFit="1" customWidth="1"/>
    <col min="90" max="97" width="11.1796875" customWidth="1"/>
    <col min="98" max="98" width="11.1796875" bestFit="1" customWidth="1"/>
    <col min="99" max="99" width="13" customWidth="1"/>
    <col min="100" max="100" width="15.453125" customWidth="1"/>
    <col min="103" max="103" width="10.1796875" customWidth="1"/>
  </cols>
  <sheetData>
    <row r="1" spans="1:115" x14ac:dyDescent="0.25">
      <c r="A1" s="593" t="s">
        <v>55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</row>
    <row r="2" spans="1:115" ht="12.75" customHeight="1" x14ac:dyDescent="0.25">
      <c r="A2" s="595" t="s">
        <v>0</v>
      </c>
      <c r="B2" s="595" t="s">
        <v>1</v>
      </c>
      <c r="C2" s="596" t="s">
        <v>2</v>
      </c>
      <c r="D2" s="587" t="s">
        <v>68</v>
      </c>
      <c r="E2" s="588"/>
      <c r="F2" s="589"/>
      <c r="G2" s="587">
        <v>2002</v>
      </c>
      <c r="H2" s="588"/>
      <c r="I2" s="588"/>
      <c r="J2" s="589"/>
      <c r="K2" s="587">
        <v>2003</v>
      </c>
      <c r="L2" s="588"/>
      <c r="M2" s="588"/>
      <c r="N2" s="589"/>
      <c r="O2" s="587">
        <v>2004</v>
      </c>
      <c r="P2" s="588"/>
      <c r="Q2" s="588"/>
      <c r="R2" s="589"/>
      <c r="S2" s="587">
        <v>2005</v>
      </c>
      <c r="T2" s="588"/>
      <c r="U2" s="588"/>
      <c r="V2" s="589"/>
      <c r="W2" s="587">
        <v>2006</v>
      </c>
      <c r="X2" s="588"/>
      <c r="Y2" s="588"/>
      <c r="Z2" s="589"/>
      <c r="AA2" s="587">
        <v>2007</v>
      </c>
      <c r="AB2" s="588"/>
      <c r="AC2" s="588"/>
      <c r="AD2" s="589"/>
      <c r="AE2" s="587">
        <v>2008</v>
      </c>
      <c r="AF2" s="588"/>
      <c r="AG2" s="588"/>
      <c r="AH2" s="589"/>
      <c r="AI2" s="587">
        <v>2009</v>
      </c>
      <c r="AJ2" s="588"/>
      <c r="AK2" s="588"/>
      <c r="AL2" s="589"/>
      <c r="AM2" s="587">
        <v>2010</v>
      </c>
      <c r="AN2" s="588"/>
      <c r="AO2" s="588"/>
      <c r="AP2" s="589"/>
      <c r="AQ2" s="587">
        <v>2011</v>
      </c>
      <c r="AR2" s="588"/>
      <c r="AS2" s="588"/>
      <c r="AT2" s="589"/>
      <c r="AU2" s="590">
        <v>2012</v>
      </c>
      <c r="AV2" s="591"/>
      <c r="AW2" s="591"/>
      <c r="AX2" s="592"/>
      <c r="AY2" s="587">
        <v>2013</v>
      </c>
      <c r="AZ2" s="588"/>
      <c r="BA2" s="588"/>
      <c r="BB2" s="589"/>
      <c r="BC2" s="587">
        <v>2014</v>
      </c>
      <c r="BD2" s="588"/>
      <c r="BE2" s="588"/>
      <c r="BF2" s="589"/>
      <c r="BG2" s="587">
        <v>2014.5</v>
      </c>
      <c r="BH2" s="588"/>
      <c r="BI2" s="589"/>
      <c r="BJ2" s="587">
        <v>2015</v>
      </c>
      <c r="BK2" s="588"/>
      <c r="BL2" s="588"/>
      <c r="BM2" s="589"/>
      <c r="BN2" s="587">
        <v>2016</v>
      </c>
      <c r="BO2" s="588"/>
      <c r="BP2" s="588"/>
      <c r="BQ2" s="588"/>
      <c r="BR2" s="587">
        <v>2017</v>
      </c>
      <c r="BS2" s="588"/>
      <c r="BT2" s="588"/>
      <c r="BU2" s="588"/>
      <c r="BV2" s="587">
        <v>2018</v>
      </c>
      <c r="BW2" s="588"/>
      <c r="BX2" s="588"/>
      <c r="BY2" s="588"/>
      <c r="BZ2" s="587">
        <v>2019</v>
      </c>
      <c r="CA2" s="588"/>
      <c r="CB2" s="588"/>
      <c r="CC2" s="588"/>
      <c r="CD2" s="587">
        <v>2020</v>
      </c>
      <c r="CE2" s="588"/>
      <c r="CF2" s="588"/>
      <c r="CG2" s="588"/>
      <c r="CH2" s="587">
        <v>2021</v>
      </c>
      <c r="CI2" s="588"/>
      <c r="CJ2" s="588"/>
      <c r="CK2" s="588"/>
      <c r="CL2" s="392"/>
      <c r="CM2" s="392"/>
      <c r="CN2" s="392"/>
      <c r="CO2" s="392"/>
      <c r="CP2" s="392"/>
      <c r="CQ2" s="392"/>
      <c r="CR2" s="392"/>
      <c r="CS2" s="392"/>
      <c r="CT2" s="392"/>
      <c r="CU2" s="392"/>
      <c r="CV2" s="392"/>
      <c r="CW2" s="392"/>
      <c r="CX2" s="392"/>
      <c r="CY2" s="392"/>
      <c r="CZ2" s="392"/>
      <c r="DA2" s="392"/>
      <c r="DB2" s="392"/>
      <c r="DC2" s="392"/>
      <c r="DD2" s="392"/>
      <c r="DE2" s="392"/>
      <c r="DF2" s="392"/>
      <c r="DG2" s="392"/>
      <c r="DH2" s="392"/>
      <c r="DI2" s="584">
        <v>2021</v>
      </c>
      <c r="DJ2" s="585"/>
      <c r="DK2" s="586"/>
    </row>
    <row r="3" spans="1:115" s="1" customFormat="1" ht="12.75" customHeight="1" x14ac:dyDescent="0.3">
      <c r="A3" s="595"/>
      <c r="B3" s="595"/>
      <c r="C3" s="596"/>
      <c r="D3" s="490" t="s">
        <v>69</v>
      </c>
      <c r="E3" s="490" t="s">
        <v>3</v>
      </c>
      <c r="F3" s="490" t="s">
        <v>70</v>
      </c>
      <c r="G3" s="490" t="s">
        <v>5</v>
      </c>
      <c r="H3" s="490" t="s">
        <v>4</v>
      </c>
      <c r="I3" s="490" t="s">
        <v>3</v>
      </c>
      <c r="J3" s="490" t="s">
        <v>45</v>
      </c>
      <c r="K3" s="490" t="s">
        <v>5</v>
      </c>
      <c r="L3" s="490" t="s">
        <v>4</v>
      </c>
      <c r="M3" s="490" t="s">
        <v>3</v>
      </c>
      <c r="N3" s="490" t="s">
        <v>45</v>
      </c>
      <c r="O3" s="490" t="s">
        <v>5</v>
      </c>
      <c r="P3" s="490" t="s">
        <v>4</v>
      </c>
      <c r="Q3" s="490" t="s">
        <v>3</v>
      </c>
      <c r="R3" s="490" t="s">
        <v>45</v>
      </c>
      <c r="S3" s="490" t="s">
        <v>5</v>
      </c>
      <c r="T3" s="490" t="s">
        <v>4</v>
      </c>
      <c r="U3" s="490" t="s">
        <v>3</v>
      </c>
      <c r="V3" s="490" t="s">
        <v>45</v>
      </c>
      <c r="W3" s="490" t="s">
        <v>5</v>
      </c>
      <c r="X3" s="490" t="s">
        <v>4</v>
      </c>
      <c r="Y3" s="490" t="s">
        <v>3</v>
      </c>
      <c r="Z3" s="490" t="s">
        <v>45</v>
      </c>
      <c r="AA3" s="490" t="s">
        <v>5</v>
      </c>
      <c r="AB3" s="490" t="s">
        <v>4</v>
      </c>
      <c r="AC3" s="490" t="s">
        <v>3</v>
      </c>
      <c r="AD3" s="490" t="s">
        <v>45</v>
      </c>
      <c r="AE3" s="490" t="s">
        <v>5</v>
      </c>
      <c r="AF3" s="490" t="s">
        <v>4</v>
      </c>
      <c r="AG3" s="490" t="s">
        <v>3</v>
      </c>
      <c r="AH3" s="490" t="s">
        <v>45</v>
      </c>
      <c r="AI3" s="490" t="s">
        <v>5</v>
      </c>
      <c r="AJ3" s="490" t="s">
        <v>4</v>
      </c>
      <c r="AK3" s="490" t="s">
        <v>3</v>
      </c>
      <c r="AL3" s="490" t="s">
        <v>45</v>
      </c>
      <c r="AM3" s="490" t="s">
        <v>5</v>
      </c>
      <c r="AN3" s="490" t="s">
        <v>4</v>
      </c>
      <c r="AO3" s="490" t="s">
        <v>3</v>
      </c>
      <c r="AP3" s="490" t="s">
        <v>93</v>
      </c>
      <c r="AQ3" s="582" t="s">
        <v>5</v>
      </c>
      <c r="AR3" s="490" t="s">
        <v>4</v>
      </c>
      <c r="AS3" s="490" t="s">
        <v>3</v>
      </c>
      <c r="AT3" s="490" t="s">
        <v>93</v>
      </c>
      <c r="AU3" s="580" t="s">
        <v>5</v>
      </c>
      <c r="AV3" s="580" t="s">
        <v>4</v>
      </c>
      <c r="AW3" s="580" t="s">
        <v>3</v>
      </c>
      <c r="AX3" s="580" t="s">
        <v>93</v>
      </c>
      <c r="AY3" s="582" t="s">
        <v>5</v>
      </c>
      <c r="AZ3" s="490" t="s">
        <v>4</v>
      </c>
      <c r="BA3" s="490" t="s">
        <v>3</v>
      </c>
      <c r="BB3" s="490" t="s">
        <v>93</v>
      </c>
      <c r="BC3" s="578" t="s">
        <v>5</v>
      </c>
      <c r="BD3" s="393" t="s">
        <v>4</v>
      </c>
      <c r="BE3" s="393" t="s">
        <v>3</v>
      </c>
      <c r="BF3" s="393" t="s">
        <v>93</v>
      </c>
      <c r="BG3" s="490" t="s">
        <v>105</v>
      </c>
      <c r="BH3" s="490" t="s">
        <v>107</v>
      </c>
      <c r="BI3" s="490" t="s">
        <v>106</v>
      </c>
      <c r="BJ3" s="490" t="s">
        <v>5</v>
      </c>
      <c r="BK3" s="490" t="s">
        <v>4</v>
      </c>
      <c r="BL3" s="490" t="s">
        <v>3</v>
      </c>
      <c r="BM3" s="490" t="s">
        <v>93</v>
      </c>
      <c r="BN3" s="490" t="s">
        <v>5</v>
      </c>
      <c r="BO3" s="490" t="s">
        <v>4</v>
      </c>
      <c r="BP3" s="490" t="s">
        <v>3</v>
      </c>
      <c r="BQ3" s="490" t="s">
        <v>93</v>
      </c>
      <c r="BR3" s="490" t="s">
        <v>5</v>
      </c>
      <c r="BS3" s="490" t="s">
        <v>4</v>
      </c>
      <c r="BT3" s="490" t="s">
        <v>3</v>
      </c>
      <c r="BU3" s="490" t="s">
        <v>93</v>
      </c>
      <c r="BV3" s="490" t="s">
        <v>5</v>
      </c>
      <c r="BW3" s="490" t="s">
        <v>124</v>
      </c>
      <c r="BX3" s="490" t="s">
        <v>3</v>
      </c>
      <c r="BY3" s="490" t="s">
        <v>93</v>
      </c>
      <c r="BZ3" s="490" t="s">
        <v>5</v>
      </c>
      <c r="CA3" s="490" t="s">
        <v>124</v>
      </c>
      <c r="CB3" s="490" t="s">
        <v>3</v>
      </c>
      <c r="CC3" s="490" t="s">
        <v>93</v>
      </c>
      <c r="CD3" s="490" t="s">
        <v>5</v>
      </c>
      <c r="CE3" s="490" t="s">
        <v>124</v>
      </c>
      <c r="CF3" s="490" t="s">
        <v>3</v>
      </c>
      <c r="CG3" s="490" t="s">
        <v>93</v>
      </c>
      <c r="CH3" s="490" t="s">
        <v>5</v>
      </c>
      <c r="CI3" s="490" t="s">
        <v>124</v>
      </c>
      <c r="CJ3" s="490" t="s">
        <v>3</v>
      </c>
      <c r="CK3" s="490" t="s">
        <v>93</v>
      </c>
      <c r="CL3" s="571" t="s">
        <v>63</v>
      </c>
      <c r="CM3" s="571" t="s">
        <v>71</v>
      </c>
      <c r="CN3" s="571" t="s">
        <v>72</v>
      </c>
      <c r="CO3" s="571" t="s">
        <v>73</v>
      </c>
      <c r="CP3" s="571" t="s">
        <v>74</v>
      </c>
      <c r="CQ3" s="571" t="s">
        <v>75</v>
      </c>
      <c r="CR3" s="571" t="s">
        <v>62</v>
      </c>
      <c r="CS3" s="571" t="s">
        <v>64</v>
      </c>
      <c r="CT3" s="571" t="s">
        <v>65</v>
      </c>
      <c r="CU3" s="571" t="s">
        <v>66</v>
      </c>
      <c r="CV3" s="571" t="s">
        <v>67</v>
      </c>
      <c r="CW3" s="571" t="s">
        <v>76</v>
      </c>
      <c r="CX3" s="571" t="s">
        <v>77</v>
      </c>
      <c r="CY3" s="571" t="s">
        <v>78</v>
      </c>
      <c r="CZ3" s="571" t="s">
        <v>79</v>
      </c>
      <c r="DA3" s="571" t="s">
        <v>108</v>
      </c>
      <c r="DB3" s="571" t="s">
        <v>98</v>
      </c>
      <c r="DC3" s="571" t="s">
        <v>99</v>
      </c>
      <c r="DD3" s="571" t="s">
        <v>100</v>
      </c>
      <c r="DE3" s="571" t="s">
        <v>101</v>
      </c>
      <c r="DF3" s="571" t="s">
        <v>117</v>
      </c>
      <c r="DG3" s="571" t="s">
        <v>118</v>
      </c>
      <c r="DH3" s="571" t="s">
        <v>119</v>
      </c>
      <c r="DI3" s="490" t="s">
        <v>56</v>
      </c>
      <c r="DJ3" s="490" t="s">
        <v>57</v>
      </c>
      <c r="DK3" s="490" t="s">
        <v>58</v>
      </c>
    </row>
    <row r="4" spans="1:115" ht="26.25" customHeight="1" x14ac:dyDescent="0.25">
      <c r="A4" s="595"/>
      <c r="B4" s="595"/>
      <c r="C4" s="596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/>
      <c r="AH4" s="491"/>
      <c r="AI4" s="491"/>
      <c r="AJ4" s="491"/>
      <c r="AK4" s="491"/>
      <c r="AL4" s="491"/>
      <c r="AM4" s="491"/>
      <c r="AN4" s="491"/>
      <c r="AO4" s="491"/>
      <c r="AP4" s="491"/>
      <c r="AQ4" s="583"/>
      <c r="AR4" s="491"/>
      <c r="AS4" s="491"/>
      <c r="AT4" s="491"/>
      <c r="AU4" s="581"/>
      <c r="AV4" s="581"/>
      <c r="AW4" s="581"/>
      <c r="AX4" s="581"/>
      <c r="AY4" s="583"/>
      <c r="AZ4" s="491"/>
      <c r="BA4" s="491"/>
      <c r="BB4" s="491"/>
      <c r="BC4" s="579"/>
      <c r="BD4" s="394"/>
      <c r="BE4" s="394"/>
      <c r="BF4" s="394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491"/>
      <c r="BU4" s="491"/>
      <c r="BV4" s="491"/>
      <c r="BW4" s="491"/>
      <c r="BX4" s="491"/>
      <c r="BY4" s="491"/>
      <c r="BZ4" s="491"/>
      <c r="CA4" s="491"/>
      <c r="CB4" s="491"/>
      <c r="CC4" s="491"/>
      <c r="CD4" s="491"/>
      <c r="CE4" s="491"/>
      <c r="CF4" s="491"/>
      <c r="CG4" s="491"/>
      <c r="CH4" s="491"/>
      <c r="CI4" s="491"/>
      <c r="CJ4" s="491"/>
      <c r="CK4" s="491"/>
      <c r="CL4" s="572"/>
      <c r="CM4" s="572"/>
      <c r="CN4" s="572"/>
      <c r="CO4" s="572"/>
      <c r="CP4" s="572"/>
      <c r="CQ4" s="572"/>
      <c r="CR4" s="572"/>
      <c r="CS4" s="572"/>
      <c r="CT4" s="572"/>
      <c r="CU4" s="572"/>
      <c r="CV4" s="572"/>
      <c r="CW4" s="572"/>
      <c r="CX4" s="572"/>
      <c r="CY4" s="572"/>
      <c r="CZ4" s="572"/>
      <c r="DA4" s="572"/>
      <c r="DB4" s="572"/>
      <c r="DC4" s="572"/>
      <c r="DD4" s="572"/>
      <c r="DE4" s="572"/>
      <c r="DF4" s="572"/>
      <c r="DG4" s="572"/>
      <c r="DH4" s="572"/>
      <c r="DI4" s="491"/>
      <c r="DJ4" s="491"/>
      <c r="DK4" s="491"/>
    </row>
    <row r="5" spans="1:115" ht="12.75" customHeight="1" x14ac:dyDescent="0.25">
      <c r="A5" s="573" t="s">
        <v>6</v>
      </c>
      <c r="B5" s="315" t="s">
        <v>7</v>
      </c>
      <c r="C5" s="316">
        <v>4</v>
      </c>
      <c r="D5" s="317">
        <v>2192460.6575303557</v>
      </c>
      <c r="E5" s="318"/>
      <c r="F5" s="319">
        <v>1449825.5495615059</v>
      </c>
      <c r="G5" s="320">
        <v>167256.03900000002</v>
      </c>
      <c r="H5" s="321"/>
      <c r="I5" s="322"/>
      <c r="J5" s="321"/>
      <c r="K5" s="320">
        <v>48031.15</v>
      </c>
      <c r="L5" s="323"/>
      <c r="M5" s="318"/>
      <c r="N5" s="321"/>
      <c r="O5" s="324">
        <v>65709.412000000011</v>
      </c>
      <c r="P5" s="321"/>
      <c r="Q5" s="322"/>
      <c r="R5" s="321"/>
      <c r="S5" s="319">
        <v>62165.65</v>
      </c>
      <c r="T5" s="323"/>
      <c r="U5" s="319"/>
      <c r="V5" s="325"/>
      <c r="W5" s="326">
        <v>90684.24</v>
      </c>
      <c r="X5" s="326">
        <v>0</v>
      </c>
      <c r="Y5" s="326"/>
      <c r="Z5" s="327"/>
      <c r="AA5" s="328">
        <v>32408.87</v>
      </c>
      <c r="AB5" s="329">
        <v>0</v>
      </c>
      <c r="AC5" s="319"/>
      <c r="AD5" s="327"/>
      <c r="AE5" s="326">
        <v>97632.98</v>
      </c>
      <c r="AF5" s="326">
        <v>0</v>
      </c>
      <c r="AG5" s="330"/>
      <c r="AH5" s="327"/>
      <c r="AI5" s="319">
        <v>249294.06387699995</v>
      </c>
      <c r="AJ5" s="319">
        <v>0</v>
      </c>
      <c r="AK5" s="319"/>
      <c r="AL5" s="325"/>
      <c r="AM5" s="326">
        <v>61005.71</v>
      </c>
      <c r="AN5" s="326">
        <v>0</v>
      </c>
      <c r="AO5" s="326"/>
      <c r="AP5" s="327"/>
      <c r="AQ5" s="326">
        <v>121471.92000000001</v>
      </c>
      <c r="AR5" s="331">
        <v>0</v>
      </c>
      <c r="AS5" s="331"/>
      <c r="AT5" s="331"/>
      <c r="AU5" s="331">
        <v>0</v>
      </c>
      <c r="AV5" s="331">
        <v>0</v>
      </c>
      <c r="AW5" s="331"/>
      <c r="AX5" s="331"/>
      <c r="AY5" s="331">
        <v>12228.079999999998</v>
      </c>
      <c r="AZ5" s="331">
        <v>0</v>
      </c>
      <c r="BA5" s="331"/>
      <c r="BB5" s="331"/>
      <c r="BC5" s="332">
        <v>78776.69</v>
      </c>
      <c r="BD5" s="331"/>
      <c r="BE5" s="331"/>
      <c r="BF5" s="331"/>
      <c r="BG5" s="331"/>
      <c r="BH5" s="331"/>
      <c r="BI5" s="331"/>
      <c r="BJ5" s="331">
        <v>602994.75999999989</v>
      </c>
      <c r="BK5" s="331"/>
      <c r="BL5" s="331"/>
      <c r="BM5" s="331"/>
      <c r="BN5" s="290">
        <v>934571.95000000007</v>
      </c>
      <c r="BO5" s="290"/>
      <c r="BP5" s="290"/>
      <c r="BQ5" s="290"/>
      <c r="BR5" s="290">
        <v>677544.21999999974</v>
      </c>
      <c r="BS5" s="290"/>
      <c r="BT5" s="290"/>
      <c r="BU5" s="290"/>
      <c r="BV5" s="290">
        <v>952951.57000000041</v>
      </c>
      <c r="BW5" s="290">
        <v>0</v>
      </c>
      <c r="BX5" s="290"/>
      <c r="BY5" s="290"/>
      <c r="BZ5" s="290">
        <v>3343099.2500000009</v>
      </c>
      <c r="CA5" s="290">
        <v>0</v>
      </c>
      <c r="CB5" s="290"/>
      <c r="CC5" s="290"/>
      <c r="CD5" s="290">
        <v>448163.8</v>
      </c>
      <c r="CE5" s="290">
        <v>0</v>
      </c>
      <c r="CF5" s="290"/>
      <c r="CG5" s="290"/>
      <c r="CH5" s="290">
        <v>461340.9599999999</v>
      </c>
      <c r="CI5" s="290">
        <v>0</v>
      </c>
      <c r="CJ5" s="290"/>
      <c r="CK5" s="290"/>
      <c r="CL5" s="321">
        <f t="shared" ref="CL5:CL12" si="0">IF(D5=0,0,2001-(D5-F5)*C5/D5)</f>
        <v>1999.6451111805941</v>
      </c>
      <c r="CM5" s="333">
        <f t="shared" ref="CM5:CM12" si="1">IF((1-($DI$2-$CL5)/$C5)&gt;0,(1-($DI$2-$CL5)/$C5),0)</f>
        <v>0</v>
      </c>
      <c r="CN5" s="333">
        <f t="shared" ref="CN5:CN12" si="2">IF((1-($DI$2-G$2)/$C5)&gt;0,(1-($DI$2-G$2)/$C5),0)</f>
        <v>0</v>
      </c>
      <c r="CO5" s="333">
        <f t="shared" ref="CO5:CO12" si="3">IF((1-($DI$2-K$2)/$C5)&gt;0,(1-($DI$2-K$2)/$C5),0)</f>
        <v>0</v>
      </c>
      <c r="CP5" s="333">
        <f t="shared" ref="CP5:CP12" si="4">IF((1-($DI$2-O$2)/$C5)&gt;0,(1-($DI$2-O$2)/$C5),0)</f>
        <v>0</v>
      </c>
      <c r="CQ5" s="333">
        <f t="shared" ref="CQ5:CQ12" si="5">IF((1-($DI$2-S$2)/$C5)&gt;0,(1-($DI$2-S$2)/$C5),0)</f>
        <v>0</v>
      </c>
      <c r="CR5" s="333">
        <f t="shared" ref="CR5:CR12" si="6">IF((1-($DI$2-W$2)/$C5)&gt;0,(1-($DI$2-W$2)/$C5),0)</f>
        <v>0</v>
      </c>
      <c r="CS5" s="333">
        <f t="shared" ref="CS5:CS12" si="7">IF((1-($DI$2-AA$2)/$C5)&gt;0,(1-($DI$2-AA$2)/$C5),0)</f>
        <v>0</v>
      </c>
      <c r="CT5" s="333">
        <f t="shared" ref="CT5:CT12" si="8">IF((1-($DI$2-AE$2)/$C5)&gt;0,(1-($DI$2-AE$2)/$C5),0)</f>
        <v>0</v>
      </c>
      <c r="CU5" s="333">
        <f t="shared" ref="CU5:CU12" si="9">IF((1-($DI$2-AI$2)/$C5)&gt;0,(1-($DI$2-AI$2)/$C5),0)</f>
        <v>0</v>
      </c>
      <c r="CV5" s="333">
        <f t="shared" ref="CV5:CV12" si="10">IF((1-($DI$2-AM$2)/$C5)&gt;0,(1-($DI$2-AM$2)/$C5),0)</f>
        <v>0</v>
      </c>
      <c r="CW5" s="333">
        <f t="shared" ref="CW5:CW12" si="11">IF((1-($DI$2-AQ$2)/$C5)&gt;0,(1-($DI$2-AQ$2)/$C5),0)</f>
        <v>0</v>
      </c>
      <c r="CX5" s="333">
        <f t="shared" ref="CX5:CX12" si="12">IF((1-($DI$2-AU$2)/$C5)&gt;0,(1-($DI$2-AU$2)/$C5),0)</f>
        <v>0</v>
      </c>
      <c r="CY5" s="333">
        <f t="shared" ref="CY5:CY12" si="13">IF((1-($DI$2-AY$2)/$C5)&gt;0,(1-($DI$2-AY$2)/$C5),0)</f>
        <v>0</v>
      </c>
      <c r="CZ5" s="333">
        <f t="shared" ref="CZ5:CZ12" si="14">IF((1-($DI$2-BC$2)/$C5)&gt;0,(1-($DI$2-BC$2)/$C5),0)</f>
        <v>0</v>
      </c>
      <c r="DA5" s="333">
        <f t="shared" ref="DA5:DA12" si="15">IF(BG5=0,0,1-($DI$2-(2014.5-(BG5-BI5)*C5/BG5))/C5)</f>
        <v>0</v>
      </c>
      <c r="DB5" s="333">
        <f t="shared" ref="DB5:DB12" si="16">IF((1-($DI$2-BJ$2)/$C5)&gt;0,(1-($DI$2-BJ$2)/$C5),0)</f>
        <v>0</v>
      </c>
      <c r="DC5" s="333">
        <f t="shared" ref="DC5:DC12" si="17">IF((1-($DI$2-BN$2)/$C5)&gt;0,(1-($DI$2-BN$2)/$C5),0)</f>
        <v>0</v>
      </c>
      <c r="DD5" s="333">
        <f t="shared" ref="DD5:DD12" si="18">IF((1-($DI$2-BR$2)/$C5)&gt;0,(1-($DI$2-BR$2)/$C5),0)</f>
        <v>0</v>
      </c>
      <c r="DE5" s="333">
        <f t="shared" ref="DE5:DE12" si="19">IF((1-($DI$2-BV$2)/$C5)&gt;0,(1-($DI$2-BV$2)/$C5),0)</f>
        <v>0.25</v>
      </c>
      <c r="DF5" s="333">
        <f>IF((1-($DI$2-BZ$2)/$C5)&gt;0,(1-($DI$2-BZ$2)/$C5),0)</f>
        <v>0.5</v>
      </c>
      <c r="DG5" s="333">
        <f>IF((1-($DI$2-CD$2)/$C5)&gt;0,(1-($DI$2-CD$2)/$C5),0)</f>
        <v>0.75</v>
      </c>
      <c r="DH5" s="333">
        <f>IF((1-($DI$2-CH$2)/$C5)&gt;0,(1-($DI$2-CH$2)/$C5),0)</f>
        <v>1</v>
      </c>
      <c r="DI5" s="334">
        <f>D5-E5+(G5-H5-I5)*G$60+(K5-L5-M5)*K$60+(O5-P5-Q5)*O$60+(S5-T5-U5)*S$60+(W5-X5-Y5)*W$60+(AA5-AB5-AC5)*AA$60+(AE5-AF5-AG5)*AE$60+(AI5-AJ5-AK5)*AI$60+(AM5-AN5-AO5)*AM$60+(AQ5-AR5-AS5)*$AQ$60+(AU5-AV5-AW5)*$AU$60+(AY5-AZ5-BA5)*$AY$60+(BC5-BD5-BE5)*$BC$60+BG5+(BJ5-BK5-BL5)*$BJ$60+(BN5-BO5-BP5)*$BN$60+(BR5-BS5-BT5)*$BR$60+(BV5-BW5-BX5)*$BV$60+(BZ5-CA5-CB5)*$BZ$60+(CD5-CE5-CF5)*$CD$60+(CH5-CI5-CJ5)*$CH$60</f>
        <v>9750824.0605410896</v>
      </c>
      <c r="DJ5" s="334">
        <f>IF(CM5=0,D5-E5,0)+IF(CN5=0,(G5-H5-I5)*G$60,0)+IF(CO5=0,(K5-L5-M5)*K$60,0)+IF(CP5=0,(O5-P5-Q5)*O$60,0)+IF(CQ5=0,(S5-T5-U5)*S$60,0)+IF(CR5=0,(W5-X5-Y5)*W$60,0)+IF(CS5=0,(AA5-AB5-AC5)*AA$60,0)+IF(CT5=0,(AE5-AF5-AG5)*AE$60,0)+IF(CU5=0,(AI5-AJ5-AK5)*AI$60,0)+IF(CV5=0,(AM5-AN5-AO5)*AM$60,0)+IF(CW5=0,(AQ5-AR5-AS5)*$AQ$60,0)+IF(CX5=0,(AU5-AV5-AW5)*$AU$60,0)+IF(CY5=0,(AY5-AZ5-BA5)*$AY$60,0)+IF(CZ5=0,(BC5-BD5-BE5)*$BC$60,0)+IF(DB5=0,(BJ5-BK5-BL5)*$BJ$60,0)+IF(DA5=0,BG5,0)+IF(DC5=0,(BN5-BO5-BP5)*$BN$60,0)+IF(DD5=0,(BR5-BS5-BT5)*$BR$60,0)+IF(DE5=0,(BV5-BW5-BX5)*$BV$60,0)+IF(DF5=0,(BZ5-CA5-CB5)*$BZ$60,0)+IF(DG5=0,(CD5-CE5-CF5)*$CD$60,0)+IF(DH5=0,(CH5-CI5-CJ5)*$CH$60,0)</f>
        <v>5069975.6737265401</v>
      </c>
      <c r="DK5" s="334">
        <f>(D5-E5)*CM5+((G5-H5-(I5-J5))*G$60)*CN5+((K5-L5-(M5-N5))*K$60)*CO5+((O5-P5-(Q5-R5))*O$60)*CP5+((S5-T5-(U5-V5))*S$60)*CQ5+((W5-X5-(Y5-Z5))*W$60)*CR5+((AA5-AB5-(AC5-AD5))*AA$60)*CS5+((AE5-AF5-(AG5-AH5))*AE$60)*CT5+((AI5-AJ5-(AK5-AL5))*AI$60)*CU5+((AM5-AN5-(AO5-AP5))*$AM$60)*CV5+((AQ5-AR5-(AS5-AT5))*$AQ$60)*CW5+((AU5-AV5-(AW5-AX5))*$AU$60)*CX5+((AY5-AZ5-(BA5-BB5))*$AY$60)*CY5+((BC5-BD5-(BE5-BF5))*$BC$60)*CZ5+((BJ5-BK5-(BL5-BM5))*$BJ$60)*DB5+(BG5-BH5)*DA5+((BN5-BO5-(BP5-BQ5))*$BN$60)*DC5+((BR5-BS5-(BT5-BU5))*$BR$60)*DD5+((BV5-BW5-(BX5-BY5))*$BV$60)*DE5+((BZ5-CA5-(CB5-CC5))*$BZ$60)*DF5+((CD5-CE5-(CF5-CG5))*$CD$60)*DG5+((CH5-CI5-(CJ5-CK5))*$CH$60*DH5)</f>
        <v>2432374.5595645485</v>
      </c>
    </row>
    <row r="6" spans="1:115" ht="12.75" customHeight="1" x14ac:dyDescent="0.25">
      <c r="A6" s="574"/>
      <c r="B6" s="315" t="s">
        <v>8</v>
      </c>
      <c r="C6" s="316">
        <v>1000</v>
      </c>
      <c r="D6" s="317">
        <v>103551.78496860871</v>
      </c>
      <c r="E6" s="318"/>
      <c r="F6" s="319">
        <v>103551.78496860871</v>
      </c>
      <c r="G6" s="320">
        <v>3081.72</v>
      </c>
      <c r="H6" s="321"/>
      <c r="I6" s="322"/>
      <c r="J6" s="321"/>
      <c r="K6" s="320">
        <v>0</v>
      </c>
      <c r="L6" s="323"/>
      <c r="M6" s="318"/>
      <c r="N6" s="321"/>
      <c r="O6" s="320">
        <v>0</v>
      </c>
      <c r="P6" s="321"/>
      <c r="Q6" s="322"/>
      <c r="R6" s="321"/>
      <c r="S6" s="319">
        <v>0</v>
      </c>
      <c r="T6" s="323"/>
      <c r="U6" s="319"/>
      <c r="V6" s="325"/>
      <c r="W6" s="326">
        <v>0</v>
      </c>
      <c r="X6" s="326">
        <v>0</v>
      </c>
      <c r="Y6" s="326"/>
      <c r="Z6" s="327"/>
      <c r="AA6" s="326">
        <v>0</v>
      </c>
      <c r="AB6" s="329">
        <v>0</v>
      </c>
      <c r="AC6" s="319"/>
      <c r="AD6" s="327"/>
      <c r="AE6" s="326">
        <v>0</v>
      </c>
      <c r="AF6" s="326">
        <v>0</v>
      </c>
      <c r="AG6" s="330"/>
      <c r="AH6" s="327"/>
      <c r="AI6" s="319">
        <v>0</v>
      </c>
      <c r="AJ6" s="319">
        <v>0</v>
      </c>
      <c r="AK6" s="319"/>
      <c r="AL6" s="325"/>
      <c r="AM6" s="326">
        <v>0</v>
      </c>
      <c r="AN6" s="326">
        <v>0</v>
      </c>
      <c r="AO6" s="326"/>
      <c r="AP6" s="327"/>
      <c r="AQ6" s="326">
        <v>0</v>
      </c>
      <c r="AR6" s="331">
        <v>0</v>
      </c>
      <c r="AS6" s="331"/>
      <c r="AT6" s="331"/>
      <c r="AU6" s="331">
        <v>0</v>
      </c>
      <c r="AV6" s="331">
        <v>0</v>
      </c>
      <c r="AW6" s="331"/>
      <c r="AX6" s="331"/>
      <c r="AY6" s="331">
        <v>0</v>
      </c>
      <c r="AZ6" s="331">
        <v>0</v>
      </c>
      <c r="BA6" s="331"/>
      <c r="BB6" s="331"/>
      <c r="BC6" s="332">
        <v>215517.81</v>
      </c>
      <c r="BD6" s="331"/>
      <c r="BE6" s="331"/>
      <c r="BF6" s="331"/>
      <c r="BG6" s="331">
        <v>690000</v>
      </c>
      <c r="BH6" s="331"/>
      <c r="BI6" s="331">
        <v>690000</v>
      </c>
      <c r="BJ6" s="331">
        <v>0</v>
      </c>
      <c r="BK6" s="331"/>
      <c r="BL6" s="331"/>
      <c r="BM6" s="331"/>
      <c r="BN6" s="290">
        <v>0</v>
      </c>
      <c r="BO6" s="290"/>
      <c r="BP6" s="290"/>
      <c r="BQ6" s="290"/>
      <c r="BR6" s="290">
        <v>348000</v>
      </c>
      <c r="BS6" s="290"/>
      <c r="BT6" s="290"/>
      <c r="BU6" s="290"/>
      <c r="BV6" s="290">
        <v>0</v>
      </c>
      <c r="BW6" s="290">
        <v>0</v>
      </c>
      <c r="BX6" s="290"/>
      <c r="BY6" s="290"/>
      <c r="BZ6" s="290">
        <v>0</v>
      </c>
      <c r="CA6" s="290">
        <v>0</v>
      </c>
      <c r="CB6" s="290"/>
      <c r="CC6" s="290"/>
      <c r="CD6" s="290">
        <v>0</v>
      </c>
      <c r="CE6" s="290">
        <v>0</v>
      </c>
      <c r="CF6" s="290"/>
      <c r="CG6" s="290"/>
      <c r="CH6" s="290">
        <v>0</v>
      </c>
      <c r="CI6" s="290">
        <v>0</v>
      </c>
      <c r="CJ6" s="290"/>
      <c r="CK6" s="290"/>
      <c r="CL6" s="321">
        <f t="shared" si="0"/>
        <v>2001</v>
      </c>
      <c r="CM6" s="333">
        <f t="shared" si="1"/>
        <v>0.98</v>
      </c>
      <c r="CN6" s="333">
        <f t="shared" si="2"/>
        <v>0.98099999999999998</v>
      </c>
      <c r="CO6" s="333">
        <f t="shared" si="3"/>
        <v>0.98199999999999998</v>
      </c>
      <c r="CP6" s="333">
        <f t="shared" si="4"/>
        <v>0.98299999999999998</v>
      </c>
      <c r="CQ6" s="333">
        <f t="shared" si="5"/>
        <v>0.98399999999999999</v>
      </c>
      <c r="CR6" s="333">
        <f t="shared" si="6"/>
        <v>0.98499999999999999</v>
      </c>
      <c r="CS6" s="333">
        <f t="shared" si="7"/>
        <v>0.98599999999999999</v>
      </c>
      <c r="CT6" s="333">
        <f t="shared" si="8"/>
        <v>0.98699999999999999</v>
      </c>
      <c r="CU6" s="333">
        <f t="shared" si="9"/>
        <v>0.98799999999999999</v>
      </c>
      <c r="CV6" s="333">
        <f t="shared" si="10"/>
        <v>0.98899999999999999</v>
      </c>
      <c r="CW6" s="333">
        <f t="shared" si="11"/>
        <v>0.99</v>
      </c>
      <c r="CX6" s="333">
        <f t="shared" si="12"/>
        <v>0.99099999999999999</v>
      </c>
      <c r="CY6" s="333">
        <f t="shared" si="13"/>
        <v>0.99199999999999999</v>
      </c>
      <c r="CZ6" s="333">
        <f t="shared" si="14"/>
        <v>0.99299999999999999</v>
      </c>
      <c r="DA6" s="333">
        <f t="shared" si="15"/>
        <v>0.99350000000000005</v>
      </c>
      <c r="DB6" s="333">
        <f t="shared" si="16"/>
        <v>0.99399999999999999</v>
      </c>
      <c r="DC6" s="333">
        <f t="shared" si="17"/>
        <v>0.995</v>
      </c>
      <c r="DD6" s="333">
        <f t="shared" si="18"/>
        <v>0.996</v>
      </c>
      <c r="DE6" s="333">
        <f t="shared" si="19"/>
        <v>0.997</v>
      </c>
      <c r="DF6" s="333">
        <f t="shared" ref="DF6:DF12" si="20">IF((1-($DI$2-BZ$2)/$C6)&gt;0,(1-($DI$2-BZ$2)/$C6),0)</f>
        <v>0.998</v>
      </c>
      <c r="DG6" s="333">
        <f t="shared" ref="DG6:DG12" si="21">IF((1-($DI$2-CD$2)/$C6)&gt;0,(1-($DI$2-CD$2)/$C6),0)</f>
        <v>0.999</v>
      </c>
      <c r="DH6" s="333">
        <f t="shared" ref="DH6:DH12" si="22">IF((1-($DI$2-CH$2)/$C6)&gt;0,(1-($DI$2-CH$2)/$C6),0)</f>
        <v>1</v>
      </c>
      <c r="DI6" s="334">
        <f t="shared" ref="DI6:DI12" si="23">D6-E6+(G6-H6-I6)*G$60+(K6-L6-M6)*K$60+(O6-P6-Q6)*O$60+(S6-T6-U6)*S$60+(W6-X6-Y6)*W$60+(AA6-AB6-AC6)*AA$60+(AE6-AF6-AG6)*AE$60+(AI6-AJ6-AK6)*AI$60+(AM6-AN6-AO6)*AM$60+(AQ6-AR6-AS6)*$AQ$60+(AU6-AV6-AW6)*$AU$60+(AY6-AZ6-BA6)*$AY$60+(BC6-BD6-BE6)*$BC$60+BG6+(BJ6-BK6-BL6)*$BJ$60+(BN6-BO6-BP6)*$BN$60+(BR6-BS6-BT6)*$BR$60+(BV6-BW6-BX6)*$BV$60+(BZ6-CA6-CB6)*$BZ$60+(CD6-CE6-CF6)*$CD$60+(CH6-CI6-CJ6)*$CH$60</f>
        <v>1314125.0854951243</v>
      </c>
      <c r="DJ6" s="334">
        <f t="shared" ref="DJ6:DJ12" si="24">IF(CM6=0,D6-E6,0)+IF(CN6=0,(G6-H6-I6)*G$60,0)+IF(CO6=0,(K6-L6-M6)*K$60,0)+IF(CP6=0,(O6-P6-Q6)*O$60,0)+IF(CQ6=0,(S6-T6-U6)*S$60,0)+IF(CR6=0,(W6-X6-Y6)*W$60,0)+IF(CS6=0,(AA6-AB6-AC6)*AA$60,0)+IF(CT6=0,(AE6-AF6-AG6)*AE$60,0)+IF(CU6=0,(AI6-AJ6-AK6)*AI$60,0)+IF(CV6=0,(AM6-AN6-AO6)*AM$60,0)+IF(CW6=0,(AQ6-AR6-AS6)*$AQ$60,0)+IF(CX6=0,(AU6-AV6-AW6)*$AU$60,0)+IF(CY6=0,(AY6-AZ6-BA6)*$AY$60,0)+IF(CZ6=0,(BC6-BD6-BE6)*$BC$60,0)+IF(DB6=0,(BJ6-BK6-BL6)*$BJ$60,0)+IF(DA6=0,BG6,0)+IF(DC6=0,(BN6-BO6-BP6)*$BN$60,0)+IF(DD6=0,(BR6-BS6-BT6)*$BR$60,0)+IF(DE6=0,(BV6-BW6-BX6)*$BV$60,0)+IF(DF6=0,(BZ6-CA6-CB6)*$BZ$60,0)+IF(DG6=0,(CD6-CE6-CF6)*$CD$60,0)+IF(DH6=0,(CH6-CI6-CJ6)*$CH$60,0)</f>
        <v>0</v>
      </c>
      <c r="DK6" s="334">
        <f>(D6-E6)*CM6+((G6-H6-(I6-J6))*G$60)*CN6+((K6-L6-(M6-N6))*K$60)*CO6+((O6-P6-(Q6-R6))*O$60)*CP6+((S6-T6-(U6-V6))*S$60)*CQ6+((W6-X6-(Y6-Z6))*W$60)*CR6+((AA6-AB6-(AC6-AD6))*AA$60)*CS6+((AE6-AF6-(AG6-AH6))*AE$60)*CT6+((AI6-AJ6-(AK6-AL6))*AI$60)*CU6+((AM6-AN6-(AO6-AP6))*$AM$60)*CV6+((AQ6-AR6-(AS6-AT6))*$AQ$60)*CW6+((AU6-AV6-(AW6-AX6))*$AU$60)*CX6+((AY6-AZ6-(BA6-BB6))*$AY$60)*CY6+((BC6-BD6-(BE6-BF6))*$BC$60)*CZ6+((BJ6-BK6-(BL6-BM6))*$BJ$60)*DB6+(BG6-BH6)*DA6+((BN6-BO6-(BP6-BQ6))*$BN$60)*DC6+((BR6-BS6-(BT6-BU6))*$BR$60)*DD6+((BV6-BW6-(BX6-BY6))*$BV$60)*DE6+((BZ6-CA6-(CB6-CC6))*$BZ$60)*DF6+((CD6-CE6-(CF6-CG6))*$CD$60)*DG6+((CH6-CI6-(CJ6-CK6))*$CH$60*DH6)</f>
        <v>1304870.4380995778</v>
      </c>
    </row>
    <row r="7" spans="1:115" ht="12.75" customHeight="1" x14ac:dyDescent="0.25">
      <c r="A7" s="574"/>
      <c r="B7" s="315" t="s">
        <v>9</v>
      </c>
      <c r="C7" s="316">
        <v>40</v>
      </c>
      <c r="D7" s="317">
        <v>1140916.4856518731</v>
      </c>
      <c r="E7" s="318"/>
      <c r="F7" s="319">
        <v>709242.31697422103</v>
      </c>
      <c r="G7" s="320">
        <v>4550.21</v>
      </c>
      <c r="H7" s="321"/>
      <c r="I7" s="322"/>
      <c r="J7" s="321"/>
      <c r="K7" s="320">
        <v>8402.57</v>
      </c>
      <c r="L7" s="323"/>
      <c r="M7" s="318"/>
      <c r="N7" s="321"/>
      <c r="O7" s="320">
        <v>0</v>
      </c>
      <c r="P7" s="321"/>
      <c r="Q7" s="322"/>
      <c r="R7" s="321"/>
      <c r="S7" s="319">
        <v>38527</v>
      </c>
      <c r="T7" s="323"/>
      <c r="U7" s="319"/>
      <c r="V7" s="325"/>
      <c r="W7" s="326">
        <v>34301.56</v>
      </c>
      <c r="X7" s="326">
        <v>0</v>
      </c>
      <c r="Y7" s="326"/>
      <c r="Z7" s="327"/>
      <c r="AA7" s="336">
        <v>58280.87</v>
      </c>
      <c r="AB7" s="329">
        <v>0</v>
      </c>
      <c r="AC7" s="319"/>
      <c r="AD7" s="327"/>
      <c r="AE7" s="326">
        <v>2487.96</v>
      </c>
      <c r="AF7" s="326">
        <v>0</v>
      </c>
      <c r="AG7" s="330"/>
      <c r="AH7" s="327"/>
      <c r="AI7" s="319">
        <v>0</v>
      </c>
      <c r="AJ7" s="319">
        <v>0</v>
      </c>
      <c r="AK7" s="319"/>
      <c r="AL7" s="325"/>
      <c r="AM7" s="326">
        <v>0</v>
      </c>
      <c r="AN7" s="326">
        <v>0</v>
      </c>
      <c r="AO7" s="326"/>
      <c r="AP7" s="327"/>
      <c r="AQ7" s="326">
        <v>7039.45</v>
      </c>
      <c r="AR7" s="331">
        <v>0</v>
      </c>
      <c r="AS7" s="331"/>
      <c r="AT7" s="331"/>
      <c r="AU7" s="331">
        <v>0</v>
      </c>
      <c r="AV7" s="331">
        <v>0</v>
      </c>
      <c r="AW7" s="331"/>
      <c r="AX7" s="331"/>
      <c r="AY7" s="331">
        <v>0</v>
      </c>
      <c r="AZ7" s="331">
        <v>0</v>
      </c>
      <c r="BA7" s="331"/>
      <c r="BB7" s="331"/>
      <c r="BC7" s="332">
        <v>8855.2000000000007</v>
      </c>
      <c r="BD7" s="331"/>
      <c r="BE7" s="331"/>
      <c r="BF7" s="331"/>
      <c r="BG7" s="331">
        <v>250000</v>
      </c>
      <c r="BH7" s="331"/>
      <c r="BI7" s="331">
        <v>250000</v>
      </c>
      <c r="BJ7" s="331">
        <v>132639.19</v>
      </c>
      <c r="BK7" s="331"/>
      <c r="BL7" s="331"/>
      <c r="BM7" s="331"/>
      <c r="BN7" s="290">
        <v>0</v>
      </c>
      <c r="BO7" s="290"/>
      <c r="BP7" s="290"/>
      <c r="BQ7" s="290"/>
      <c r="BR7" s="290">
        <v>0</v>
      </c>
      <c r="BS7" s="290"/>
      <c r="BT7" s="290"/>
      <c r="BU7" s="290"/>
      <c r="BV7" s="290">
        <v>0</v>
      </c>
      <c r="BW7" s="290">
        <v>0</v>
      </c>
      <c r="BX7" s="290"/>
      <c r="BY7" s="290"/>
      <c r="BZ7" s="290">
        <v>35998.43</v>
      </c>
      <c r="CA7" s="290">
        <v>0</v>
      </c>
      <c r="CB7" s="290"/>
      <c r="CC7" s="290"/>
      <c r="CD7" s="290">
        <v>0</v>
      </c>
      <c r="CE7" s="290">
        <v>0</v>
      </c>
      <c r="CF7" s="290"/>
      <c r="CG7" s="290"/>
      <c r="CH7" s="290">
        <v>224894.88999999998</v>
      </c>
      <c r="CI7" s="290">
        <v>0</v>
      </c>
      <c r="CJ7" s="290"/>
      <c r="CK7" s="290"/>
      <c r="CL7" s="321">
        <f t="shared" si="0"/>
        <v>1985.8657049273502</v>
      </c>
      <c r="CM7" s="333">
        <f t="shared" si="1"/>
        <v>0.12164262318375452</v>
      </c>
      <c r="CN7" s="333">
        <f t="shared" si="2"/>
        <v>0.52500000000000002</v>
      </c>
      <c r="CO7" s="333">
        <f t="shared" si="3"/>
        <v>0.55000000000000004</v>
      </c>
      <c r="CP7" s="333">
        <f t="shared" si="4"/>
        <v>0.57499999999999996</v>
      </c>
      <c r="CQ7" s="333">
        <f t="shared" si="5"/>
        <v>0.6</v>
      </c>
      <c r="CR7" s="333">
        <f t="shared" si="6"/>
        <v>0.625</v>
      </c>
      <c r="CS7" s="333">
        <f t="shared" si="7"/>
        <v>0.65</v>
      </c>
      <c r="CT7" s="333">
        <f t="shared" si="8"/>
        <v>0.67500000000000004</v>
      </c>
      <c r="CU7" s="333">
        <f t="shared" si="9"/>
        <v>0.7</v>
      </c>
      <c r="CV7" s="333">
        <f t="shared" si="10"/>
        <v>0.72499999999999998</v>
      </c>
      <c r="CW7" s="333">
        <f t="shared" si="11"/>
        <v>0.75</v>
      </c>
      <c r="CX7" s="333">
        <f t="shared" si="12"/>
        <v>0.77500000000000002</v>
      </c>
      <c r="CY7" s="333">
        <f t="shared" si="13"/>
        <v>0.8</v>
      </c>
      <c r="CZ7" s="333">
        <f t="shared" si="14"/>
        <v>0.82499999999999996</v>
      </c>
      <c r="DA7" s="333">
        <f t="shared" si="15"/>
        <v>0.83750000000000002</v>
      </c>
      <c r="DB7" s="333">
        <f t="shared" si="16"/>
        <v>0.85</v>
      </c>
      <c r="DC7" s="333">
        <f t="shared" si="17"/>
        <v>0.875</v>
      </c>
      <c r="DD7" s="333">
        <f t="shared" si="18"/>
        <v>0.9</v>
      </c>
      <c r="DE7" s="333">
        <f t="shared" si="19"/>
        <v>0.92500000000000004</v>
      </c>
      <c r="DF7" s="333">
        <f t="shared" si="20"/>
        <v>0.95</v>
      </c>
      <c r="DG7" s="333">
        <f t="shared" si="21"/>
        <v>0.97499999999999998</v>
      </c>
      <c r="DH7" s="333">
        <f t="shared" si="22"/>
        <v>1</v>
      </c>
      <c r="DI7" s="334">
        <f t="shared" si="23"/>
        <v>1861266.4999245096</v>
      </c>
      <c r="DJ7" s="334">
        <f t="shared" si="24"/>
        <v>0</v>
      </c>
      <c r="DK7" s="334">
        <f t="shared" ref="DK7:DK12" si="25">(D7-E7)*CM7+((G7-H7-(I7-J7))*G$60)*CN7+((K7-L7-(M7-N7))*K$60)*CO7+((O7-P7-(Q7-R7))*O$60)*CP7+((S7-T7-(U7-V7))*S$60)*CQ7+((W7-X7-(Y7-Z7))*W$60)*CR7+((AA7-AB7-(AC7-AD7))*AA$60)*CS7+((AE7-AF7-(AG7-AH7))*AE$60)*CT7+((AI7-AJ7-(AK7-AL7))*AI$60)*CU7+((AM7-AN7-(AO7-AP7))*$AM$60)*CV7+((AQ7-AR7-(AS7-AT7))*$AQ$60)*CW7+((AU7-AV7-(AW7-AX7))*$AU$60)*CX7+((AY7-AZ7-(BA7-BB7))*$AY$60)*CY7+((BC7-BD7-(BE7-BF7))*$BC$60)*CZ7+((BJ7-BK7-(BL7-BM7))*$BJ$60)*DB7+(BG7-BH7)*DA7+((BN7-BO7-(BP7-BQ7))*$BN$60)*DC7+((BR7-BS7-(BT7-BU7))*$BR$60)*DD7+((BV7-BW7-(BX7-BY7))*$BV$60)*DE7+((BZ7-CA7-(CB7-CC7))*$BZ$60)*DF7+((CD7-CE7-(CF7-CG7))*$CD$60)*DG7+((CH7-CI7-(CJ7-CK7))*$CH$60*DH7)</f>
        <v>754716.9856797033</v>
      </c>
    </row>
    <row r="8" spans="1:115" ht="12.75" customHeight="1" x14ac:dyDescent="0.25">
      <c r="A8" s="574"/>
      <c r="B8" s="315" t="s">
        <v>10</v>
      </c>
      <c r="C8" s="316">
        <v>7</v>
      </c>
      <c r="D8" s="317">
        <v>945208.52892382524</v>
      </c>
      <c r="E8" s="318"/>
      <c r="F8" s="319">
        <v>67667.069379360895</v>
      </c>
      <c r="G8" s="320">
        <v>7357.58</v>
      </c>
      <c r="H8" s="321"/>
      <c r="I8" s="322"/>
      <c r="J8" s="321"/>
      <c r="K8" s="320">
        <v>6582.56</v>
      </c>
      <c r="L8" s="323"/>
      <c r="M8" s="318"/>
      <c r="N8" s="321"/>
      <c r="O8" s="320">
        <v>282.37</v>
      </c>
      <c r="P8" s="321"/>
      <c r="Q8" s="322"/>
      <c r="R8" s="321"/>
      <c r="S8" s="319">
        <v>0</v>
      </c>
      <c r="T8" s="323"/>
      <c r="U8" s="319"/>
      <c r="V8" s="325"/>
      <c r="W8" s="326">
        <v>17809.370000000003</v>
      </c>
      <c r="X8" s="326">
        <v>0</v>
      </c>
      <c r="Y8" s="326"/>
      <c r="Z8" s="327"/>
      <c r="AA8" s="326">
        <v>5325</v>
      </c>
      <c r="AB8" s="329">
        <v>0</v>
      </c>
      <c r="AC8" s="319"/>
      <c r="AD8" s="327"/>
      <c r="AE8" s="326">
        <v>5151</v>
      </c>
      <c r="AF8" s="326">
        <v>0</v>
      </c>
      <c r="AG8" s="330"/>
      <c r="AH8" s="327"/>
      <c r="AI8" s="319">
        <v>7295</v>
      </c>
      <c r="AJ8" s="319">
        <v>0</v>
      </c>
      <c r="AK8" s="319"/>
      <c r="AL8" s="325"/>
      <c r="AM8" s="326">
        <v>0</v>
      </c>
      <c r="AN8" s="326">
        <v>0</v>
      </c>
      <c r="AO8" s="326"/>
      <c r="AP8" s="337"/>
      <c r="AQ8" s="326">
        <v>8381.86</v>
      </c>
      <c r="AR8" s="331">
        <v>0</v>
      </c>
      <c r="AS8" s="331"/>
      <c r="AT8" s="331"/>
      <c r="AU8" s="331">
        <v>0</v>
      </c>
      <c r="AV8" s="331">
        <v>0</v>
      </c>
      <c r="AW8" s="331"/>
      <c r="AX8" s="331"/>
      <c r="AY8" s="331">
        <v>22739</v>
      </c>
      <c r="AZ8" s="331">
        <v>0</v>
      </c>
      <c r="BA8" s="331"/>
      <c r="BB8" s="331"/>
      <c r="BC8" s="332">
        <v>0</v>
      </c>
      <c r="BD8" s="331"/>
      <c r="BE8" s="331"/>
      <c r="BF8" s="331"/>
      <c r="BG8" s="331"/>
      <c r="BH8" s="331"/>
      <c r="BI8" s="331"/>
      <c r="BJ8" s="331">
        <v>0</v>
      </c>
      <c r="BK8" s="331"/>
      <c r="BL8" s="331"/>
      <c r="BM8" s="331"/>
      <c r="BN8" s="290">
        <v>18775.16</v>
      </c>
      <c r="BO8" s="290"/>
      <c r="BP8" s="290"/>
      <c r="BQ8" s="290"/>
      <c r="BR8" s="290">
        <v>10893.75</v>
      </c>
      <c r="BS8" s="290"/>
      <c r="BT8" s="290"/>
      <c r="BU8" s="290"/>
      <c r="BV8" s="290">
        <v>0</v>
      </c>
      <c r="BW8" s="290">
        <v>0</v>
      </c>
      <c r="BX8" s="290"/>
      <c r="BY8" s="290"/>
      <c r="BZ8" s="290">
        <v>9185.51</v>
      </c>
      <c r="CA8" s="290">
        <v>0</v>
      </c>
      <c r="CB8" s="290"/>
      <c r="CC8" s="290"/>
      <c r="CD8" s="290">
        <v>0</v>
      </c>
      <c r="CE8" s="290">
        <v>0</v>
      </c>
      <c r="CF8" s="290"/>
      <c r="CG8" s="290"/>
      <c r="CH8" s="290">
        <v>3954.7</v>
      </c>
      <c r="CI8" s="290">
        <v>0</v>
      </c>
      <c r="CJ8" s="290"/>
      <c r="CK8" s="290"/>
      <c r="CL8" s="321">
        <f t="shared" si="0"/>
        <v>1994.501126969511</v>
      </c>
      <c r="CM8" s="333">
        <f t="shared" si="1"/>
        <v>0</v>
      </c>
      <c r="CN8" s="333">
        <f t="shared" si="2"/>
        <v>0</v>
      </c>
      <c r="CO8" s="333">
        <f t="shared" si="3"/>
        <v>0</v>
      </c>
      <c r="CP8" s="333">
        <f t="shared" si="4"/>
        <v>0</v>
      </c>
      <c r="CQ8" s="333">
        <f t="shared" si="5"/>
        <v>0</v>
      </c>
      <c r="CR8" s="333">
        <f t="shared" si="6"/>
        <v>0</v>
      </c>
      <c r="CS8" s="333">
        <f t="shared" si="7"/>
        <v>0</v>
      </c>
      <c r="CT8" s="333">
        <f t="shared" si="8"/>
        <v>0</v>
      </c>
      <c r="CU8" s="333">
        <f t="shared" si="9"/>
        <v>0</v>
      </c>
      <c r="CV8" s="333">
        <f t="shared" si="10"/>
        <v>0</v>
      </c>
      <c r="CW8" s="333">
        <f t="shared" si="11"/>
        <v>0</v>
      </c>
      <c r="CX8" s="333">
        <f t="shared" si="12"/>
        <v>0</v>
      </c>
      <c r="CY8" s="333">
        <f t="shared" si="13"/>
        <v>0</v>
      </c>
      <c r="CZ8" s="333">
        <f t="shared" si="14"/>
        <v>0</v>
      </c>
      <c r="DA8" s="333">
        <f t="shared" si="15"/>
        <v>0</v>
      </c>
      <c r="DB8" s="333">
        <f t="shared" si="16"/>
        <v>0.1428571428571429</v>
      </c>
      <c r="DC8" s="333">
        <f t="shared" si="17"/>
        <v>0.2857142857142857</v>
      </c>
      <c r="DD8" s="333">
        <f t="shared" si="18"/>
        <v>0.4285714285714286</v>
      </c>
      <c r="DE8" s="333">
        <f t="shared" si="19"/>
        <v>0.5714285714285714</v>
      </c>
      <c r="DF8" s="333">
        <f t="shared" si="20"/>
        <v>0.7142857142857143</v>
      </c>
      <c r="DG8" s="333">
        <f t="shared" si="21"/>
        <v>0.85714285714285721</v>
      </c>
      <c r="DH8" s="333">
        <f t="shared" si="22"/>
        <v>1</v>
      </c>
      <c r="DI8" s="334">
        <f t="shared" si="23"/>
        <v>1056082.4702948339</v>
      </c>
      <c r="DJ8" s="334">
        <f t="shared" si="24"/>
        <v>1017335.5550798584</v>
      </c>
      <c r="DK8" s="334">
        <f t="shared" si="25"/>
        <v>18580.165773609155</v>
      </c>
    </row>
    <row r="9" spans="1:115" ht="12.75" customHeight="1" x14ac:dyDescent="0.25">
      <c r="A9" s="574"/>
      <c r="B9" s="315" t="s">
        <v>11</v>
      </c>
      <c r="C9" s="316">
        <v>4</v>
      </c>
      <c r="D9" s="317">
        <v>626223.15650914935</v>
      </c>
      <c r="E9" s="318"/>
      <c r="F9" s="319">
        <v>147123.07508079166</v>
      </c>
      <c r="G9" s="320">
        <v>22741.82</v>
      </c>
      <c r="H9" s="321"/>
      <c r="I9" s="322"/>
      <c r="J9" s="321"/>
      <c r="K9" s="320">
        <v>15401.33</v>
      </c>
      <c r="L9" s="323"/>
      <c r="M9" s="318"/>
      <c r="N9" s="321"/>
      <c r="O9" s="320">
        <v>44549.32</v>
      </c>
      <c r="P9" s="321"/>
      <c r="Q9" s="322"/>
      <c r="R9" s="321"/>
      <c r="S9" s="319">
        <v>11154.82</v>
      </c>
      <c r="T9" s="323"/>
      <c r="U9" s="319"/>
      <c r="V9" s="325"/>
      <c r="W9" s="326">
        <v>87253.48000000001</v>
      </c>
      <c r="X9" s="326">
        <v>0</v>
      </c>
      <c r="Y9" s="326"/>
      <c r="Z9" s="327"/>
      <c r="AA9" s="326">
        <v>38353.979999999996</v>
      </c>
      <c r="AB9" s="329">
        <v>0</v>
      </c>
      <c r="AC9" s="319"/>
      <c r="AD9" s="327"/>
      <c r="AE9" s="326">
        <v>0</v>
      </c>
      <c r="AF9" s="326">
        <v>0</v>
      </c>
      <c r="AG9" s="330"/>
      <c r="AH9" s="327"/>
      <c r="AI9" s="319">
        <v>51587.420000000006</v>
      </c>
      <c r="AJ9" s="319">
        <v>0</v>
      </c>
      <c r="AK9" s="319"/>
      <c r="AL9" s="325"/>
      <c r="AM9" s="326">
        <v>20997.82</v>
      </c>
      <c r="AN9" s="326">
        <v>0</v>
      </c>
      <c r="AO9" s="326"/>
      <c r="AP9" s="327"/>
      <c r="AQ9" s="326">
        <v>2369.5</v>
      </c>
      <c r="AR9" s="331">
        <v>0</v>
      </c>
      <c r="AS9" s="331"/>
      <c r="AT9" s="331"/>
      <c r="AU9" s="331">
        <v>0</v>
      </c>
      <c r="AV9" s="331">
        <v>0</v>
      </c>
      <c r="AW9" s="331"/>
      <c r="AX9" s="331"/>
      <c r="AY9" s="331">
        <v>4786.7</v>
      </c>
      <c r="AZ9" s="331">
        <v>0</v>
      </c>
      <c r="BA9" s="331"/>
      <c r="BB9" s="331"/>
      <c r="BC9" s="332">
        <v>931198.84</v>
      </c>
      <c r="BD9" s="331"/>
      <c r="BE9" s="331"/>
      <c r="BF9" s="331"/>
      <c r="BG9" s="331"/>
      <c r="BH9" s="331"/>
      <c r="BI9" s="331"/>
      <c r="BJ9" s="331">
        <v>0</v>
      </c>
      <c r="BK9" s="331"/>
      <c r="BL9" s="331"/>
      <c r="BM9" s="331"/>
      <c r="BN9" s="290">
        <v>2422.0500000000002</v>
      </c>
      <c r="BO9" s="290"/>
      <c r="BP9" s="290"/>
      <c r="BQ9" s="290"/>
      <c r="BR9" s="290">
        <v>66017.899999999994</v>
      </c>
      <c r="BS9" s="290"/>
      <c r="BT9" s="290"/>
      <c r="BU9" s="290"/>
      <c r="BV9" s="290">
        <v>167121.66</v>
      </c>
      <c r="BW9" s="290">
        <v>0</v>
      </c>
      <c r="BX9" s="290"/>
      <c r="BY9" s="290"/>
      <c r="BZ9" s="290">
        <v>151080.45000000001</v>
      </c>
      <c r="CA9" s="290">
        <v>0</v>
      </c>
      <c r="CB9" s="290"/>
      <c r="CC9" s="290"/>
      <c r="CD9" s="290">
        <v>132749.29999999999</v>
      </c>
      <c r="CE9" s="290">
        <v>0</v>
      </c>
      <c r="CF9" s="290"/>
      <c r="CG9" s="290"/>
      <c r="CH9" s="290">
        <v>150207.26999999999</v>
      </c>
      <c r="CI9" s="290">
        <v>0</v>
      </c>
      <c r="CJ9" s="290"/>
      <c r="CK9" s="290"/>
      <c r="CL9" s="321">
        <f t="shared" si="0"/>
        <v>1997.9397485452369</v>
      </c>
      <c r="CM9" s="333">
        <f t="shared" si="1"/>
        <v>0</v>
      </c>
      <c r="CN9" s="333">
        <f t="shared" si="2"/>
        <v>0</v>
      </c>
      <c r="CO9" s="333">
        <f t="shared" si="3"/>
        <v>0</v>
      </c>
      <c r="CP9" s="333">
        <f t="shared" si="4"/>
        <v>0</v>
      </c>
      <c r="CQ9" s="333">
        <f t="shared" si="5"/>
        <v>0</v>
      </c>
      <c r="CR9" s="333">
        <f t="shared" si="6"/>
        <v>0</v>
      </c>
      <c r="CS9" s="333">
        <f t="shared" si="7"/>
        <v>0</v>
      </c>
      <c r="CT9" s="333">
        <f t="shared" si="8"/>
        <v>0</v>
      </c>
      <c r="CU9" s="333">
        <f t="shared" si="9"/>
        <v>0</v>
      </c>
      <c r="CV9" s="333">
        <f t="shared" si="10"/>
        <v>0</v>
      </c>
      <c r="CW9" s="333">
        <f t="shared" si="11"/>
        <v>0</v>
      </c>
      <c r="CX9" s="333">
        <f t="shared" si="12"/>
        <v>0</v>
      </c>
      <c r="CY9" s="333">
        <f t="shared" si="13"/>
        <v>0</v>
      </c>
      <c r="CZ9" s="333">
        <f t="shared" si="14"/>
        <v>0</v>
      </c>
      <c r="DA9" s="333">
        <f t="shared" si="15"/>
        <v>0</v>
      </c>
      <c r="DB9" s="333">
        <f t="shared" si="16"/>
        <v>0</v>
      </c>
      <c r="DC9" s="333">
        <f t="shared" si="17"/>
        <v>0</v>
      </c>
      <c r="DD9" s="333">
        <f t="shared" si="18"/>
        <v>0</v>
      </c>
      <c r="DE9" s="333">
        <f t="shared" si="19"/>
        <v>0.25</v>
      </c>
      <c r="DF9" s="333">
        <f>IF((1-($DI$2-BZ$2)/$C9)&gt;0,(1-($DI$2-BZ$2)/$C9),0)</f>
        <v>0.5</v>
      </c>
      <c r="DG9" s="333">
        <f t="shared" si="21"/>
        <v>0.75</v>
      </c>
      <c r="DH9" s="333">
        <f t="shared" si="22"/>
        <v>1</v>
      </c>
      <c r="DI9" s="334">
        <f t="shared" si="23"/>
        <v>2320584.3433069661</v>
      </c>
      <c r="DJ9" s="334">
        <f t="shared" si="24"/>
        <v>1780893.2556091887</v>
      </c>
      <c r="DK9" s="334">
        <f t="shared" si="25"/>
        <v>329029.17219777749</v>
      </c>
    </row>
    <row r="10" spans="1:115" ht="12.75" customHeight="1" x14ac:dyDescent="0.25">
      <c r="A10" s="574"/>
      <c r="B10" s="315" t="s">
        <v>12</v>
      </c>
      <c r="C10" s="316">
        <v>5</v>
      </c>
      <c r="D10" s="317">
        <v>1564545.6307439422</v>
      </c>
      <c r="E10" s="318"/>
      <c r="F10" s="319">
        <v>275838.40370647283</v>
      </c>
      <c r="G10" s="320">
        <v>0</v>
      </c>
      <c r="H10" s="321"/>
      <c r="I10" s="322"/>
      <c r="J10" s="321"/>
      <c r="K10" s="320">
        <v>0</v>
      </c>
      <c r="L10" s="323"/>
      <c r="M10" s="318"/>
      <c r="N10" s="321"/>
      <c r="O10" s="320">
        <v>0</v>
      </c>
      <c r="P10" s="321"/>
      <c r="Q10" s="322"/>
      <c r="R10" s="321"/>
      <c r="S10" s="319">
        <v>0</v>
      </c>
      <c r="T10" s="323"/>
      <c r="U10" s="319"/>
      <c r="V10" s="325"/>
      <c r="W10" s="326">
        <v>74281.899999999994</v>
      </c>
      <c r="X10" s="326">
        <v>0</v>
      </c>
      <c r="Y10" s="326"/>
      <c r="Z10" s="327"/>
      <c r="AA10" s="326">
        <v>0</v>
      </c>
      <c r="AB10" s="329">
        <v>0</v>
      </c>
      <c r="AC10" s="319"/>
      <c r="AD10" s="327"/>
      <c r="AE10" s="326">
        <v>0</v>
      </c>
      <c r="AF10" s="326">
        <v>0</v>
      </c>
      <c r="AG10" s="330"/>
      <c r="AH10" s="327"/>
      <c r="AI10" s="319">
        <v>0</v>
      </c>
      <c r="AJ10" s="319">
        <v>0</v>
      </c>
      <c r="AK10" s="319"/>
      <c r="AL10" s="325"/>
      <c r="AM10" s="326">
        <v>0</v>
      </c>
      <c r="AN10" s="326">
        <v>0</v>
      </c>
      <c r="AO10" s="326"/>
      <c r="AP10" s="327"/>
      <c r="AQ10" s="326">
        <v>94920</v>
      </c>
      <c r="AR10" s="331">
        <v>0</v>
      </c>
      <c r="AS10" s="331"/>
      <c r="AT10" s="331"/>
      <c r="AU10" s="331">
        <v>0</v>
      </c>
      <c r="AV10" s="331">
        <v>0</v>
      </c>
      <c r="AW10" s="331"/>
      <c r="AX10" s="331"/>
      <c r="AY10" s="331">
        <v>16667</v>
      </c>
      <c r="AZ10" s="331">
        <v>0</v>
      </c>
      <c r="BA10" s="331"/>
      <c r="BB10" s="331"/>
      <c r="BC10" s="332">
        <v>0</v>
      </c>
      <c r="BD10" s="331"/>
      <c r="BE10" s="331"/>
      <c r="BF10" s="331"/>
      <c r="BG10" s="331"/>
      <c r="BH10" s="331"/>
      <c r="BI10" s="331"/>
      <c r="BJ10" s="331">
        <v>113500</v>
      </c>
      <c r="BK10" s="331"/>
      <c r="BL10" s="331"/>
      <c r="BM10" s="331"/>
      <c r="BN10" s="290">
        <v>149806.51</v>
      </c>
      <c r="BO10" s="290"/>
      <c r="BP10" s="290"/>
      <c r="BQ10" s="290"/>
      <c r="BR10" s="290">
        <v>0</v>
      </c>
      <c r="BS10" s="290"/>
      <c r="BT10" s="290"/>
      <c r="BU10" s="290"/>
      <c r="BV10" s="290">
        <v>0</v>
      </c>
      <c r="BW10" s="290">
        <v>0</v>
      </c>
      <c r="BX10" s="290"/>
      <c r="BY10" s="290"/>
      <c r="BZ10" s="290">
        <v>47200</v>
      </c>
      <c r="CA10" s="290">
        <v>0</v>
      </c>
      <c r="CB10" s="290"/>
      <c r="CC10" s="290"/>
      <c r="CD10" s="290">
        <v>108975</v>
      </c>
      <c r="CE10" s="290">
        <v>0</v>
      </c>
      <c r="CF10" s="290"/>
      <c r="CG10" s="290"/>
      <c r="CH10" s="290">
        <v>0</v>
      </c>
      <c r="CI10" s="290">
        <v>0</v>
      </c>
      <c r="CJ10" s="290"/>
      <c r="CK10" s="290"/>
      <c r="CL10" s="321">
        <f t="shared" si="0"/>
        <v>1996.8815287911268</v>
      </c>
      <c r="CM10" s="333">
        <f t="shared" si="1"/>
        <v>0</v>
      </c>
      <c r="CN10" s="333">
        <f t="shared" si="2"/>
        <v>0</v>
      </c>
      <c r="CO10" s="333">
        <f t="shared" si="3"/>
        <v>0</v>
      </c>
      <c r="CP10" s="333">
        <f t="shared" si="4"/>
        <v>0</v>
      </c>
      <c r="CQ10" s="333">
        <f t="shared" si="5"/>
        <v>0</v>
      </c>
      <c r="CR10" s="333">
        <f t="shared" si="6"/>
        <v>0</v>
      </c>
      <c r="CS10" s="333">
        <f t="shared" si="7"/>
        <v>0</v>
      </c>
      <c r="CT10" s="333">
        <f t="shared" si="8"/>
        <v>0</v>
      </c>
      <c r="CU10" s="333">
        <f t="shared" si="9"/>
        <v>0</v>
      </c>
      <c r="CV10" s="333">
        <f t="shared" si="10"/>
        <v>0</v>
      </c>
      <c r="CW10" s="333">
        <f t="shared" si="11"/>
        <v>0</v>
      </c>
      <c r="CX10" s="333">
        <f t="shared" si="12"/>
        <v>0</v>
      </c>
      <c r="CY10" s="333">
        <f t="shared" si="13"/>
        <v>0</v>
      </c>
      <c r="CZ10" s="333">
        <f t="shared" si="14"/>
        <v>0</v>
      </c>
      <c r="DA10" s="333">
        <f t="shared" si="15"/>
        <v>0</v>
      </c>
      <c r="DB10" s="333">
        <f t="shared" si="16"/>
        <v>0</v>
      </c>
      <c r="DC10" s="333">
        <f t="shared" si="17"/>
        <v>0</v>
      </c>
      <c r="DD10" s="333">
        <f t="shared" si="18"/>
        <v>0.19999999999999996</v>
      </c>
      <c r="DE10" s="333">
        <f t="shared" si="19"/>
        <v>0.4</v>
      </c>
      <c r="DF10" s="333">
        <f t="shared" si="20"/>
        <v>0.6</v>
      </c>
      <c r="DG10" s="333">
        <f t="shared" si="21"/>
        <v>0.8</v>
      </c>
      <c r="DH10" s="333">
        <f t="shared" si="22"/>
        <v>1</v>
      </c>
      <c r="DI10" s="334">
        <f t="shared" si="23"/>
        <v>2106488.1793448166</v>
      </c>
      <c r="DJ10" s="334">
        <f t="shared" si="24"/>
        <v>1965930.6793448166</v>
      </c>
      <c r="DK10" s="334">
        <f t="shared" si="25"/>
        <v>103950.00000000001</v>
      </c>
    </row>
    <row r="11" spans="1:115" ht="12.75" customHeight="1" x14ac:dyDescent="0.25">
      <c r="A11" s="574"/>
      <c r="B11" s="315" t="s">
        <v>13</v>
      </c>
      <c r="C11" s="316">
        <v>8</v>
      </c>
      <c r="D11" s="317">
        <v>0</v>
      </c>
      <c r="E11" s="318"/>
      <c r="F11" s="319">
        <v>0</v>
      </c>
      <c r="G11" s="320">
        <v>51708.179991999998</v>
      </c>
      <c r="H11" s="321"/>
      <c r="I11" s="322"/>
      <c r="J11" s="321"/>
      <c r="K11" s="320">
        <v>4151.08</v>
      </c>
      <c r="L11" s="323"/>
      <c r="M11" s="318"/>
      <c r="N11" s="321"/>
      <c r="O11" s="320">
        <v>30862.359060999996</v>
      </c>
      <c r="P11" s="321"/>
      <c r="Q11" s="322"/>
      <c r="R11" s="321"/>
      <c r="S11" s="319">
        <v>0</v>
      </c>
      <c r="T11" s="323"/>
      <c r="U11" s="319"/>
      <c r="V11" s="325"/>
      <c r="W11" s="326">
        <v>0</v>
      </c>
      <c r="X11" s="326">
        <v>0</v>
      </c>
      <c r="Y11" s="326"/>
      <c r="Z11" s="327"/>
      <c r="AA11" s="326">
        <v>0</v>
      </c>
      <c r="AB11" s="329">
        <v>0</v>
      </c>
      <c r="AC11" s="319"/>
      <c r="AD11" s="327"/>
      <c r="AE11" s="326">
        <v>0</v>
      </c>
      <c r="AF11" s="326">
        <v>0</v>
      </c>
      <c r="AG11" s="330"/>
      <c r="AH11" s="327"/>
      <c r="AI11" s="319">
        <v>14365.63</v>
      </c>
      <c r="AJ11" s="319">
        <v>0</v>
      </c>
      <c r="AK11" s="319"/>
      <c r="AL11" s="325"/>
      <c r="AM11" s="326">
        <v>9332.4</v>
      </c>
      <c r="AN11" s="326">
        <v>0</v>
      </c>
      <c r="AO11" s="326"/>
      <c r="AP11" s="327"/>
      <c r="AQ11" s="326">
        <v>9332</v>
      </c>
      <c r="AR11" s="331">
        <v>0</v>
      </c>
      <c r="AS11" s="331"/>
      <c r="AT11" s="331"/>
      <c r="AU11" s="331">
        <v>0</v>
      </c>
      <c r="AV11" s="331">
        <v>0</v>
      </c>
      <c r="AW11" s="331"/>
      <c r="AX11" s="331"/>
      <c r="AY11" s="331">
        <v>0</v>
      </c>
      <c r="AZ11" s="331">
        <v>0</v>
      </c>
      <c r="BA11" s="331"/>
      <c r="BB11" s="331"/>
      <c r="BC11" s="332">
        <v>41463</v>
      </c>
      <c r="BD11" s="331"/>
      <c r="BE11" s="331"/>
      <c r="BF11" s="331"/>
      <c r="BG11" s="331"/>
      <c r="BH11" s="331"/>
      <c r="BI11" s="331"/>
      <c r="BJ11" s="331">
        <v>31935.4</v>
      </c>
      <c r="BK11" s="331"/>
      <c r="BL11" s="331"/>
      <c r="BM11" s="331"/>
      <c r="BN11" s="290">
        <v>0</v>
      </c>
      <c r="BO11" s="290"/>
      <c r="BP11" s="290"/>
      <c r="BQ11" s="290"/>
      <c r="BR11" s="290">
        <v>0</v>
      </c>
      <c r="BS11" s="290"/>
      <c r="BT11" s="290"/>
      <c r="BU11" s="290"/>
      <c r="BV11" s="290">
        <v>0</v>
      </c>
      <c r="BW11" s="290">
        <v>0</v>
      </c>
      <c r="BX11" s="290"/>
      <c r="BY11" s="290"/>
      <c r="BZ11" s="290">
        <v>0</v>
      </c>
      <c r="CA11" s="290">
        <v>0</v>
      </c>
      <c r="CB11" s="290"/>
      <c r="CC11" s="290"/>
      <c r="CD11" s="290">
        <v>0</v>
      </c>
      <c r="CE11" s="290">
        <v>0</v>
      </c>
      <c r="CF11" s="290"/>
      <c r="CG11" s="290"/>
      <c r="CH11" s="290">
        <v>0</v>
      </c>
      <c r="CI11" s="290">
        <v>0</v>
      </c>
      <c r="CJ11" s="290"/>
      <c r="CK11" s="290"/>
      <c r="CL11" s="321">
        <f t="shared" si="0"/>
        <v>0</v>
      </c>
      <c r="CM11" s="333">
        <f t="shared" si="1"/>
        <v>0</v>
      </c>
      <c r="CN11" s="333">
        <f t="shared" si="2"/>
        <v>0</v>
      </c>
      <c r="CO11" s="333">
        <f t="shared" si="3"/>
        <v>0</v>
      </c>
      <c r="CP11" s="333">
        <f t="shared" si="4"/>
        <v>0</v>
      </c>
      <c r="CQ11" s="333">
        <f t="shared" si="5"/>
        <v>0</v>
      </c>
      <c r="CR11" s="333">
        <f t="shared" si="6"/>
        <v>0</v>
      </c>
      <c r="CS11" s="333">
        <f t="shared" si="7"/>
        <v>0</v>
      </c>
      <c r="CT11" s="333">
        <f t="shared" si="8"/>
        <v>0</v>
      </c>
      <c r="CU11" s="333">
        <f t="shared" si="9"/>
        <v>0</v>
      </c>
      <c r="CV11" s="333">
        <f t="shared" si="10"/>
        <v>0</v>
      </c>
      <c r="CW11" s="333">
        <f t="shared" si="11"/>
        <v>0</v>
      </c>
      <c r="CX11" s="333">
        <f t="shared" si="12"/>
        <v>0</v>
      </c>
      <c r="CY11" s="333">
        <f t="shared" si="13"/>
        <v>0</v>
      </c>
      <c r="CZ11" s="333">
        <f t="shared" si="14"/>
        <v>0.125</v>
      </c>
      <c r="DA11" s="333">
        <f t="shared" si="15"/>
        <v>0</v>
      </c>
      <c r="DB11" s="333">
        <f t="shared" si="16"/>
        <v>0.25</v>
      </c>
      <c r="DC11" s="333">
        <f t="shared" si="17"/>
        <v>0.375</v>
      </c>
      <c r="DD11" s="333">
        <f t="shared" si="18"/>
        <v>0.5</v>
      </c>
      <c r="DE11" s="333">
        <f t="shared" si="19"/>
        <v>0.625</v>
      </c>
      <c r="DF11" s="333">
        <f t="shared" si="20"/>
        <v>0.75</v>
      </c>
      <c r="DG11" s="333">
        <f t="shared" si="21"/>
        <v>0.875</v>
      </c>
      <c r="DH11" s="333">
        <f t="shared" si="22"/>
        <v>1</v>
      </c>
      <c r="DI11" s="334">
        <f t="shared" si="23"/>
        <v>160060.38764167234</v>
      </c>
      <c r="DJ11" s="334">
        <f t="shared" si="24"/>
        <v>96481.651983373231</v>
      </c>
      <c r="DK11" s="334">
        <f t="shared" si="25"/>
        <v>11226.25923274354</v>
      </c>
    </row>
    <row r="12" spans="1:115" ht="12.75" customHeight="1" thickBot="1" x14ac:dyDescent="0.3">
      <c r="A12" s="574"/>
      <c r="B12" s="338" t="s">
        <v>14</v>
      </c>
      <c r="C12" s="339">
        <v>17</v>
      </c>
      <c r="D12" s="340">
        <v>793536.7407842034</v>
      </c>
      <c r="E12" s="318"/>
      <c r="F12" s="341">
        <v>403574.94180041947</v>
      </c>
      <c r="G12" s="320">
        <v>9410.98</v>
      </c>
      <c r="H12" s="342"/>
      <c r="I12" s="322"/>
      <c r="J12" s="342"/>
      <c r="K12" s="320">
        <v>24691.65</v>
      </c>
      <c r="L12" s="343"/>
      <c r="M12" s="318"/>
      <c r="N12" s="342"/>
      <c r="O12" s="324">
        <v>28613.58</v>
      </c>
      <c r="P12" s="342"/>
      <c r="Q12" s="322"/>
      <c r="R12" s="342"/>
      <c r="S12" s="344">
        <v>29705.16</v>
      </c>
      <c r="T12" s="323"/>
      <c r="U12" s="319"/>
      <c r="V12" s="345"/>
      <c r="W12" s="326">
        <v>29915.59</v>
      </c>
      <c r="X12" s="326">
        <v>0</v>
      </c>
      <c r="Y12" s="326"/>
      <c r="Z12" s="346"/>
      <c r="AA12" s="336">
        <v>33499.410000000003</v>
      </c>
      <c r="AB12" s="329">
        <v>0</v>
      </c>
      <c r="AC12" s="319"/>
      <c r="AD12" s="346"/>
      <c r="AE12" s="326">
        <v>27239.34</v>
      </c>
      <c r="AF12" s="326">
        <v>0</v>
      </c>
      <c r="AG12" s="330"/>
      <c r="AH12" s="346"/>
      <c r="AI12" s="344">
        <v>771.99</v>
      </c>
      <c r="AJ12" s="319">
        <v>0</v>
      </c>
      <c r="AK12" s="319"/>
      <c r="AL12" s="345"/>
      <c r="AM12" s="326">
        <v>0</v>
      </c>
      <c r="AN12" s="326">
        <v>0</v>
      </c>
      <c r="AO12" s="326"/>
      <c r="AP12" s="346"/>
      <c r="AQ12" s="326">
        <v>0</v>
      </c>
      <c r="AR12" s="347">
        <v>0</v>
      </c>
      <c r="AS12" s="347"/>
      <c r="AT12" s="347"/>
      <c r="AU12" s="347">
        <v>0</v>
      </c>
      <c r="AV12" s="347">
        <v>0</v>
      </c>
      <c r="AW12" s="347"/>
      <c r="AX12" s="347"/>
      <c r="AY12" s="347">
        <v>0</v>
      </c>
      <c r="AZ12" s="347">
        <v>0</v>
      </c>
      <c r="BA12" s="347"/>
      <c r="BB12" s="347"/>
      <c r="BC12" s="332">
        <v>0</v>
      </c>
      <c r="BD12" s="332"/>
      <c r="BE12" s="347"/>
      <c r="BF12" s="347"/>
      <c r="BG12" s="347"/>
      <c r="BH12" s="347"/>
      <c r="BI12" s="347"/>
      <c r="BJ12" s="347">
        <v>36106.51</v>
      </c>
      <c r="BK12" s="347"/>
      <c r="BL12" s="347"/>
      <c r="BM12" s="347"/>
      <c r="BN12" s="291">
        <v>0</v>
      </c>
      <c r="BO12" s="291"/>
      <c r="BP12" s="291"/>
      <c r="BQ12" s="291"/>
      <c r="BR12" s="291">
        <v>0</v>
      </c>
      <c r="BS12" s="291"/>
      <c r="BT12" s="291"/>
      <c r="BU12" s="291"/>
      <c r="BV12" s="290">
        <v>0</v>
      </c>
      <c r="BW12" s="290">
        <v>0</v>
      </c>
      <c r="BX12" s="291"/>
      <c r="BY12" s="291"/>
      <c r="BZ12" s="290">
        <v>0</v>
      </c>
      <c r="CA12" s="290">
        <v>0</v>
      </c>
      <c r="CB12" s="291"/>
      <c r="CC12" s="291"/>
      <c r="CD12" s="290">
        <v>0</v>
      </c>
      <c r="CE12" s="290">
        <v>0</v>
      </c>
      <c r="CF12" s="291"/>
      <c r="CG12" s="291"/>
      <c r="CH12" s="291">
        <v>41291.910000000003</v>
      </c>
      <c r="CI12" s="290">
        <v>0</v>
      </c>
      <c r="CJ12" s="291"/>
      <c r="CK12" s="291"/>
      <c r="CL12" s="321">
        <f t="shared" si="0"/>
        <v>1992.645817714536</v>
      </c>
      <c r="CM12" s="333">
        <f t="shared" si="1"/>
        <v>0</v>
      </c>
      <c r="CN12" s="333">
        <f t="shared" si="2"/>
        <v>0</v>
      </c>
      <c r="CO12" s="333">
        <f t="shared" si="3"/>
        <v>0</v>
      </c>
      <c r="CP12" s="333">
        <f t="shared" si="4"/>
        <v>0</v>
      </c>
      <c r="CQ12" s="333">
        <f t="shared" si="5"/>
        <v>5.8823529411764719E-2</v>
      </c>
      <c r="CR12" s="348">
        <f t="shared" si="6"/>
        <v>0.11764705882352944</v>
      </c>
      <c r="CS12" s="333">
        <f t="shared" si="7"/>
        <v>0.17647058823529416</v>
      </c>
      <c r="CT12" s="333">
        <f t="shared" si="8"/>
        <v>0.23529411764705888</v>
      </c>
      <c r="CU12" s="333">
        <f t="shared" si="9"/>
        <v>0.29411764705882348</v>
      </c>
      <c r="CV12" s="333">
        <f t="shared" si="10"/>
        <v>0.3529411764705882</v>
      </c>
      <c r="CW12" s="333">
        <f t="shared" si="11"/>
        <v>0.41176470588235292</v>
      </c>
      <c r="CX12" s="333">
        <f t="shared" si="12"/>
        <v>0.47058823529411764</v>
      </c>
      <c r="CY12" s="333">
        <f t="shared" si="13"/>
        <v>0.52941176470588236</v>
      </c>
      <c r="CZ12" s="333">
        <f t="shared" si="14"/>
        <v>0.58823529411764708</v>
      </c>
      <c r="DA12" s="333">
        <f t="shared" si="15"/>
        <v>0</v>
      </c>
      <c r="DB12" s="333">
        <f t="shared" si="16"/>
        <v>0.64705882352941169</v>
      </c>
      <c r="DC12" s="333">
        <f t="shared" si="17"/>
        <v>0.70588235294117641</v>
      </c>
      <c r="DD12" s="333">
        <f t="shared" si="18"/>
        <v>0.76470588235294112</v>
      </c>
      <c r="DE12" s="333">
        <f t="shared" si="19"/>
        <v>0.82352941176470584</v>
      </c>
      <c r="DF12" s="333">
        <f t="shared" si="20"/>
        <v>0.88235294117647056</v>
      </c>
      <c r="DG12" s="333">
        <f t="shared" si="21"/>
        <v>0.94117647058823528</v>
      </c>
      <c r="DH12" s="333">
        <f t="shared" si="22"/>
        <v>1</v>
      </c>
      <c r="DI12" s="334">
        <f t="shared" si="23"/>
        <v>1004086.6877361333</v>
      </c>
      <c r="DJ12" s="334">
        <f t="shared" si="24"/>
        <v>841300.90799115016</v>
      </c>
      <c r="DK12" s="334">
        <f t="shared" si="25"/>
        <v>70773.52698410381</v>
      </c>
    </row>
    <row r="13" spans="1:115" ht="12.75" customHeight="1" thickBot="1" x14ac:dyDescent="0.35">
      <c r="A13" s="575"/>
      <c r="B13" s="294" t="s">
        <v>15</v>
      </c>
      <c r="C13" s="295"/>
      <c r="D13" s="296">
        <f>SUM(D5:D12)</f>
        <v>7366442.9851119583</v>
      </c>
      <c r="E13" s="296">
        <f t="shared" ref="E13:BP13" si="26">SUM(E5:E12)</f>
        <v>0</v>
      </c>
      <c r="F13" s="296">
        <f t="shared" si="26"/>
        <v>3156823.1414713804</v>
      </c>
      <c r="G13" s="296">
        <f t="shared" si="26"/>
        <v>266106.52899199998</v>
      </c>
      <c r="H13" s="296">
        <f t="shared" si="26"/>
        <v>0</v>
      </c>
      <c r="I13" s="296">
        <f t="shared" si="26"/>
        <v>0</v>
      </c>
      <c r="J13" s="296">
        <f t="shared" si="26"/>
        <v>0</v>
      </c>
      <c r="K13" s="296">
        <f t="shared" si="26"/>
        <v>107260.34</v>
      </c>
      <c r="L13" s="296">
        <f t="shared" si="26"/>
        <v>0</v>
      </c>
      <c r="M13" s="296">
        <f t="shared" si="26"/>
        <v>0</v>
      </c>
      <c r="N13" s="296">
        <f t="shared" si="26"/>
        <v>0</v>
      </c>
      <c r="O13" s="296">
        <f t="shared" si="26"/>
        <v>170017.04106100003</v>
      </c>
      <c r="P13" s="296">
        <f t="shared" si="26"/>
        <v>0</v>
      </c>
      <c r="Q13" s="296">
        <f t="shared" si="26"/>
        <v>0</v>
      </c>
      <c r="R13" s="296">
        <f t="shared" si="26"/>
        <v>0</v>
      </c>
      <c r="S13" s="296">
        <f t="shared" si="26"/>
        <v>141552.63</v>
      </c>
      <c r="T13" s="296">
        <f t="shared" si="26"/>
        <v>0</v>
      </c>
      <c r="U13" s="296">
        <f t="shared" si="26"/>
        <v>0</v>
      </c>
      <c r="V13" s="296">
        <f t="shared" si="26"/>
        <v>0</v>
      </c>
      <c r="W13" s="296">
        <f t="shared" si="26"/>
        <v>334246.14000000007</v>
      </c>
      <c r="X13" s="296">
        <f t="shared" si="26"/>
        <v>0</v>
      </c>
      <c r="Y13" s="296">
        <f t="shared" si="26"/>
        <v>0</v>
      </c>
      <c r="Z13" s="296">
        <f t="shared" si="26"/>
        <v>0</v>
      </c>
      <c r="AA13" s="296">
        <f t="shared" si="26"/>
        <v>167868.13</v>
      </c>
      <c r="AB13" s="296">
        <f t="shared" si="26"/>
        <v>0</v>
      </c>
      <c r="AC13" s="296">
        <f t="shared" si="26"/>
        <v>0</v>
      </c>
      <c r="AD13" s="296">
        <f t="shared" si="26"/>
        <v>0</v>
      </c>
      <c r="AE13" s="296">
        <f t="shared" si="26"/>
        <v>132511.28</v>
      </c>
      <c r="AF13" s="296">
        <f t="shared" si="26"/>
        <v>0</v>
      </c>
      <c r="AG13" s="296">
        <f t="shared" si="26"/>
        <v>0</v>
      </c>
      <c r="AH13" s="296">
        <f t="shared" si="26"/>
        <v>0</v>
      </c>
      <c r="AI13" s="296">
        <f t="shared" si="26"/>
        <v>323314.10387699993</v>
      </c>
      <c r="AJ13" s="296">
        <f t="shared" si="26"/>
        <v>0</v>
      </c>
      <c r="AK13" s="296">
        <f t="shared" si="26"/>
        <v>0</v>
      </c>
      <c r="AL13" s="296">
        <f t="shared" si="26"/>
        <v>0</v>
      </c>
      <c r="AM13" s="296">
        <f t="shared" si="26"/>
        <v>91335.93</v>
      </c>
      <c r="AN13" s="296">
        <f t="shared" si="26"/>
        <v>0</v>
      </c>
      <c r="AO13" s="296">
        <f t="shared" si="26"/>
        <v>0</v>
      </c>
      <c r="AP13" s="296">
        <f t="shared" si="26"/>
        <v>0</v>
      </c>
      <c r="AQ13" s="296">
        <f t="shared" si="26"/>
        <v>243514.73</v>
      </c>
      <c r="AR13" s="296">
        <f t="shared" si="26"/>
        <v>0</v>
      </c>
      <c r="AS13" s="296">
        <f t="shared" si="26"/>
        <v>0</v>
      </c>
      <c r="AT13" s="296">
        <f t="shared" si="26"/>
        <v>0</v>
      </c>
      <c r="AU13" s="296">
        <f t="shared" si="26"/>
        <v>0</v>
      </c>
      <c r="AV13" s="296">
        <f t="shared" si="26"/>
        <v>0</v>
      </c>
      <c r="AW13" s="296">
        <f t="shared" si="26"/>
        <v>0</v>
      </c>
      <c r="AX13" s="296">
        <f t="shared" si="26"/>
        <v>0</v>
      </c>
      <c r="AY13" s="296">
        <f t="shared" si="26"/>
        <v>56420.78</v>
      </c>
      <c r="AZ13" s="296">
        <f t="shared" si="26"/>
        <v>0</v>
      </c>
      <c r="BA13" s="296">
        <f t="shared" si="26"/>
        <v>0</v>
      </c>
      <c r="BB13" s="296">
        <f t="shared" si="26"/>
        <v>0</v>
      </c>
      <c r="BC13" s="296">
        <f t="shared" si="26"/>
        <v>1275811.54</v>
      </c>
      <c r="BD13" s="296">
        <f t="shared" si="26"/>
        <v>0</v>
      </c>
      <c r="BE13" s="296">
        <f t="shared" si="26"/>
        <v>0</v>
      </c>
      <c r="BF13" s="296">
        <f t="shared" si="26"/>
        <v>0</v>
      </c>
      <c r="BG13" s="296">
        <f t="shared" si="26"/>
        <v>940000</v>
      </c>
      <c r="BH13" s="296">
        <f t="shared" si="26"/>
        <v>0</v>
      </c>
      <c r="BI13" s="296">
        <f t="shared" si="26"/>
        <v>940000</v>
      </c>
      <c r="BJ13" s="296">
        <f t="shared" si="26"/>
        <v>917175.86</v>
      </c>
      <c r="BK13" s="296">
        <f t="shared" si="26"/>
        <v>0</v>
      </c>
      <c r="BL13" s="296">
        <f t="shared" si="26"/>
        <v>0</v>
      </c>
      <c r="BM13" s="296">
        <f t="shared" si="26"/>
        <v>0</v>
      </c>
      <c r="BN13" s="296">
        <f t="shared" si="26"/>
        <v>1105575.6700000002</v>
      </c>
      <c r="BO13" s="296">
        <f t="shared" si="26"/>
        <v>0</v>
      </c>
      <c r="BP13" s="296">
        <f t="shared" si="26"/>
        <v>0</v>
      </c>
      <c r="BQ13" s="296">
        <f t="shared" ref="BQ13:CK13" si="27">SUM(BQ5:BQ12)</f>
        <v>0</v>
      </c>
      <c r="BR13" s="296">
        <f t="shared" si="27"/>
        <v>1102455.8699999996</v>
      </c>
      <c r="BS13" s="296">
        <f t="shared" si="27"/>
        <v>0</v>
      </c>
      <c r="BT13" s="296">
        <f t="shared" si="27"/>
        <v>0</v>
      </c>
      <c r="BU13" s="296">
        <f t="shared" si="27"/>
        <v>0</v>
      </c>
      <c r="BV13" s="296">
        <f t="shared" si="27"/>
        <v>1120073.2300000004</v>
      </c>
      <c r="BW13" s="296">
        <f t="shared" si="27"/>
        <v>0</v>
      </c>
      <c r="BX13" s="296">
        <f t="shared" si="27"/>
        <v>0</v>
      </c>
      <c r="BY13" s="296">
        <f t="shared" si="27"/>
        <v>0</v>
      </c>
      <c r="BZ13" s="296">
        <f t="shared" si="27"/>
        <v>3586563.6400000011</v>
      </c>
      <c r="CA13" s="296">
        <f t="shared" si="27"/>
        <v>0</v>
      </c>
      <c r="CB13" s="296">
        <f t="shared" si="27"/>
        <v>0</v>
      </c>
      <c r="CC13" s="296">
        <f t="shared" si="27"/>
        <v>0</v>
      </c>
      <c r="CD13" s="296">
        <f>SUM(CD5:CD12)</f>
        <v>689888.1</v>
      </c>
      <c r="CE13" s="296">
        <f>SUM(CE5:CE12)</f>
        <v>0</v>
      </c>
      <c r="CF13" s="296">
        <f>SUM(CF5:CF12)</f>
        <v>0</v>
      </c>
      <c r="CG13" s="296">
        <f>SUM(CG5:CG12)</f>
        <v>0</v>
      </c>
      <c r="CH13" s="296">
        <f t="shared" si="27"/>
        <v>881689.72999999986</v>
      </c>
      <c r="CI13" s="296">
        <f t="shared" si="27"/>
        <v>0</v>
      </c>
      <c r="CJ13" s="296">
        <f t="shared" si="27"/>
        <v>0</v>
      </c>
      <c r="CK13" s="296">
        <f t="shared" si="27"/>
        <v>0</v>
      </c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8">
        <f>SUM(DI5:DI12)</f>
        <v>19573517.714285146</v>
      </c>
      <c r="DJ13" s="298">
        <f>SUM(DJ5:DJ12)</f>
        <v>10771917.723734926</v>
      </c>
      <c r="DK13" s="298">
        <f>SUM(DK5:DK12)</f>
        <v>5025521.1075320644</v>
      </c>
    </row>
    <row r="14" spans="1:115" ht="12.75" customHeight="1" x14ac:dyDescent="0.35">
      <c r="A14" s="335"/>
      <c r="B14" s="349" t="s">
        <v>18</v>
      </c>
      <c r="C14" s="350"/>
      <c r="D14" s="326">
        <v>0</v>
      </c>
      <c r="E14" s="351"/>
      <c r="F14" s="337">
        <v>0</v>
      </c>
      <c r="G14" s="321"/>
      <c r="H14" s="321"/>
      <c r="I14" s="321"/>
      <c r="J14" s="321"/>
      <c r="K14" s="321"/>
      <c r="L14" s="323">
        <v>0</v>
      </c>
      <c r="M14" s="323"/>
      <c r="N14" s="321"/>
      <c r="O14" s="321"/>
      <c r="P14" s="321"/>
      <c r="Q14" s="321"/>
      <c r="R14" s="321"/>
      <c r="S14" s="319"/>
      <c r="T14" s="319"/>
      <c r="U14" s="329"/>
      <c r="V14" s="325"/>
      <c r="W14" s="327"/>
      <c r="X14" s="327"/>
      <c r="Y14" s="326"/>
      <c r="Z14" s="327"/>
      <c r="AA14" s="327"/>
      <c r="AB14" s="327"/>
      <c r="AC14" s="325"/>
      <c r="AD14" s="327"/>
      <c r="AE14" s="327"/>
      <c r="AF14" s="327"/>
      <c r="AG14" s="337"/>
      <c r="AH14" s="327"/>
      <c r="AI14" s="329"/>
      <c r="AJ14" s="325"/>
      <c r="AK14" s="325"/>
      <c r="AL14" s="325"/>
      <c r="AM14" s="337">
        <v>0</v>
      </c>
      <c r="AN14" s="326">
        <v>0</v>
      </c>
      <c r="AO14" s="326"/>
      <c r="AP14" s="327"/>
      <c r="AQ14" s="352">
        <v>0</v>
      </c>
      <c r="AR14" s="331">
        <v>0</v>
      </c>
      <c r="AS14" s="331"/>
      <c r="AT14" s="331"/>
      <c r="AU14" s="353">
        <v>0</v>
      </c>
      <c r="AV14" s="354">
        <v>0</v>
      </c>
      <c r="AW14" s="354"/>
      <c r="AX14" s="355"/>
      <c r="AY14" s="331">
        <v>0</v>
      </c>
      <c r="AZ14" s="331">
        <v>0</v>
      </c>
      <c r="BA14" s="331"/>
      <c r="BB14" s="331"/>
      <c r="BC14" s="332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333"/>
      <c r="CM14" s="333"/>
      <c r="CN14" s="333"/>
      <c r="CO14" s="333"/>
      <c r="CP14" s="333"/>
      <c r="CQ14" s="333"/>
      <c r="CR14" s="333"/>
      <c r="CS14" s="333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4"/>
      <c r="DJ14" s="334"/>
      <c r="DK14" s="334"/>
    </row>
    <row r="15" spans="1:115" ht="12.75" customHeight="1" x14ac:dyDescent="0.25">
      <c r="A15" s="335"/>
      <c r="B15" s="315" t="s">
        <v>95</v>
      </c>
      <c r="C15" s="316">
        <v>30</v>
      </c>
      <c r="D15" s="317">
        <v>0</v>
      </c>
      <c r="E15" s="318"/>
      <c r="F15" s="319">
        <v>0</v>
      </c>
      <c r="G15" s="320">
        <v>0</v>
      </c>
      <c r="H15" s="321"/>
      <c r="I15" s="322"/>
      <c r="J15" s="321"/>
      <c r="K15" s="320">
        <v>0</v>
      </c>
      <c r="L15" s="323">
        <v>0</v>
      </c>
      <c r="M15" s="318"/>
      <c r="N15" s="321"/>
      <c r="O15" s="320">
        <v>0</v>
      </c>
      <c r="P15" s="321"/>
      <c r="Q15" s="322"/>
      <c r="R15" s="321"/>
      <c r="S15" s="319">
        <v>0</v>
      </c>
      <c r="T15" s="323"/>
      <c r="U15" s="319"/>
      <c r="V15" s="325"/>
      <c r="W15" s="326">
        <v>0</v>
      </c>
      <c r="X15" s="326">
        <v>0</v>
      </c>
      <c r="Y15" s="326"/>
      <c r="Z15" s="327"/>
      <c r="AA15" s="326">
        <v>0</v>
      </c>
      <c r="AB15" s="329">
        <v>0</v>
      </c>
      <c r="AC15" s="319"/>
      <c r="AD15" s="327"/>
      <c r="AE15" s="326">
        <v>0</v>
      </c>
      <c r="AF15" s="326">
        <v>0</v>
      </c>
      <c r="AG15" s="330"/>
      <c r="AH15" s="327"/>
      <c r="AI15" s="319">
        <v>0</v>
      </c>
      <c r="AJ15" s="319">
        <v>0</v>
      </c>
      <c r="AK15" s="319"/>
      <c r="AL15" s="325"/>
      <c r="AM15" s="326">
        <v>0</v>
      </c>
      <c r="AN15" s="326">
        <v>0</v>
      </c>
      <c r="AO15" s="326"/>
      <c r="AP15" s="327"/>
      <c r="AQ15" s="326">
        <v>0</v>
      </c>
      <c r="AR15" s="331">
        <v>0</v>
      </c>
      <c r="AS15" s="331"/>
      <c r="AT15" s="331"/>
      <c r="AU15" s="331">
        <v>0</v>
      </c>
      <c r="AV15" s="331">
        <v>0</v>
      </c>
      <c r="AW15" s="331"/>
      <c r="AX15" s="331"/>
      <c r="AY15" s="331">
        <v>0</v>
      </c>
      <c r="AZ15" s="331">
        <v>0</v>
      </c>
      <c r="BA15" s="331"/>
      <c r="BB15" s="331"/>
      <c r="BC15" s="356">
        <v>0</v>
      </c>
      <c r="BD15" s="331"/>
      <c r="BE15" s="331"/>
      <c r="BF15" s="331"/>
      <c r="BG15" s="331"/>
      <c r="BH15" s="331"/>
      <c r="BI15" s="331"/>
      <c r="BJ15" s="331">
        <v>0</v>
      </c>
      <c r="BK15" s="331"/>
      <c r="BL15" s="331"/>
      <c r="BM15" s="331"/>
      <c r="BN15" s="290">
        <v>2482078.3499999996</v>
      </c>
      <c r="BO15" s="290"/>
      <c r="BP15" s="290"/>
      <c r="BQ15" s="290"/>
      <c r="BR15" s="290">
        <v>0</v>
      </c>
      <c r="BS15" s="290"/>
      <c r="BT15" s="290"/>
      <c r="BU15" s="290"/>
      <c r="BV15" s="290">
        <v>0</v>
      </c>
      <c r="BW15" s="290">
        <v>0</v>
      </c>
      <c r="BX15" s="290"/>
      <c r="BY15" s="290"/>
      <c r="BZ15" s="290">
        <v>0</v>
      </c>
      <c r="CA15" s="290">
        <v>0</v>
      </c>
      <c r="CB15" s="290"/>
      <c r="CC15" s="290"/>
      <c r="CD15" s="290">
        <v>0</v>
      </c>
      <c r="CE15" s="290">
        <v>0</v>
      </c>
      <c r="CF15" s="290"/>
      <c r="CG15" s="290"/>
      <c r="CH15" s="290">
        <v>0</v>
      </c>
      <c r="CI15" s="290">
        <v>0</v>
      </c>
      <c r="CJ15" s="290"/>
      <c r="CK15" s="290"/>
      <c r="CL15" s="321">
        <f>IF(D15=0,0,2001-(D15-F15)*C15/D15)</f>
        <v>0</v>
      </c>
      <c r="CM15" s="333">
        <f>IF((1-($DI$2-$CL15)/$C15)&gt;0,(1-($DI$2-$CL15)/$C15),0)</f>
        <v>0</v>
      </c>
      <c r="CN15" s="333">
        <f>IF((1-($DI$2-G$2)/$C15)&gt;0,(1-($DI$2-G$2)/$C15),0)</f>
        <v>0.3666666666666667</v>
      </c>
      <c r="CO15" s="333">
        <f>IF((1-($DI$2-K$2)/$C15)&gt;0,(1-($DI$2-K$2)/$C15),0)</f>
        <v>0.4</v>
      </c>
      <c r="CP15" s="333">
        <f>IF((1-($DI$2-O$2)/$C15)&gt;0,(1-($DI$2-O$2)/$C15),0)</f>
        <v>0.43333333333333335</v>
      </c>
      <c r="CQ15" s="333">
        <f>IF((1-($DI$2-S$2)/$C15)&gt;0,(1-($DI$2-S$2)/$C15),0)</f>
        <v>0.46666666666666667</v>
      </c>
      <c r="CR15" s="333">
        <f>IF((1-($DI$2-W$2)/$C15)&gt;0,(1-($DI$2-W$2)/$C15),0)</f>
        <v>0.5</v>
      </c>
      <c r="CS15" s="333">
        <f>IF((1-($DI$2-AA$2)/$C15)&gt;0,(1-($DI$2-AA$2)/$C15),0)</f>
        <v>0.53333333333333333</v>
      </c>
      <c r="CT15" s="333">
        <f>IF((1-($DI$2-AE$2)/$C15)&gt;0,(1-($DI$2-AE$2)/$C15),0)</f>
        <v>0.56666666666666665</v>
      </c>
      <c r="CU15" s="333">
        <f>IF((1-($DI$2-AI$2)/$C15)&gt;0,(1-($DI$2-AI$2)/$C15),0)</f>
        <v>0.6</v>
      </c>
      <c r="CV15" s="333">
        <f>IF((1-($DI$2-AM$2)/$C15)&gt;0,(1-($DI$2-AM$2)/$C15),0)</f>
        <v>0.6333333333333333</v>
      </c>
      <c r="CW15" s="333">
        <f>IF((1-($DI$2-AQ$2)/$C15)&gt;0,(1-($DI$2-AQ$2)/$C15),0)</f>
        <v>0.66666666666666674</v>
      </c>
      <c r="CX15" s="333">
        <f>IF((1-($DI$2-AU$2)/$C15)&gt;0,(1-($DI$2-AU$2)/$C15),0)</f>
        <v>0.7</v>
      </c>
      <c r="CY15" s="333">
        <f>IF((1-($DI$2-AY$2)/$C15)&gt;0,(1-($DI$2-AY$2)/$C15),0)</f>
        <v>0.73333333333333339</v>
      </c>
      <c r="CZ15" s="333">
        <f>IF((1-($DI$2-BC$2)/$C15)&gt;0,(1-($DI$2-BC$2)/$C15),0)</f>
        <v>0.76666666666666661</v>
      </c>
      <c r="DA15" s="333">
        <f>IF(BG15=0,0,1-($DI$2-(2014.5-(BG15-BI15)*C15/BG15))/C15)</f>
        <v>0</v>
      </c>
      <c r="DB15" s="333">
        <f>IF((1-($DI$2-BJ$2)/$C15)&gt;0,(1-($DI$2-BJ$2)/$C15),0)</f>
        <v>0.8</v>
      </c>
      <c r="DC15" s="333">
        <f>IF((1-($DI$2-BN$2)/$C15)&gt;0,(1-($DI$2-BN$2)/$C15),0)</f>
        <v>0.83333333333333337</v>
      </c>
      <c r="DD15" s="333">
        <f>IF((1-($DI$2-BR$2)/$C15)&gt;0,(1-($DI$2-BR$2)/$C15),0)</f>
        <v>0.8666666666666667</v>
      </c>
      <c r="DE15" s="333">
        <f>IF((1-($DI$2-BV$2)/$C15)&gt;0,(1-($DI$2-BV$2)/$C15),0)</f>
        <v>0.9</v>
      </c>
      <c r="DF15" s="333">
        <f>IF((1-($DI$2-BZ$2)/$C15)&gt;0,(1-($DI$2-BZ$2)/$C15),0)</f>
        <v>0.93333333333333335</v>
      </c>
      <c r="DG15" s="333">
        <f>IF((1-($DI$2-CD$2)/$C15)&gt;0,(1-($DI$2-CD$2)/$C15),0)</f>
        <v>0.96666666666666667</v>
      </c>
      <c r="DH15" s="333">
        <f>IF((1-($DI$2-CH$2)/$C15)&gt;0,(1-($DI$2-CH$2)/$C15),0)</f>
        <v>1</v>
      </c>
      <c r="DI15" s="334">
        <f t="shared" ref="DI15:DI44" si="28">D15-E15+(G15-H15-I15)*G$61+(K15-L15-M15)*K$61+(O15-P15-Q15)*O$61+(S15-T15-U15)*S$61+(W15-X15-Y15)*W$61+(AA15-AB15-AC15)*AA$61+(AE15-AF15-AG15)*AE$61+(AI15-AJ15-AK15)*AI$61+(AM15-AN15-AO15)*AM$61+(AQ15-AR15-AS15)*$AQ$61+(AU15-AV15-AW15)*$AU$61+(AY15-AZ15-BA15)*$AY$61+(BC15-BD15-BE15)*$BC$61+BG15+(BJ15-BK15-BL15)*$BJ$61+(BN15-BO15-BP15)*$BN$61+(BR15-BS15-BT15)*$BR$61+(BV15-BW15-BX15)*$BV$61+(BZ15-CA15-CB15)*$BZ$61+(CD15-CE15-CF15)*$CD$61+(CH15-CI15-CJ15)*$CH$61</f>
        <v>2170367.98068809</v>
      </c>
      <c r="DJ15" s="334">
        <f t="shared" ref="DJ15:DJ44" si="29">IF(CM15=0,D15-E15,0)+IF(CN15=0,(G15-H15-I15)*G$61,0)+IF(CO15=0,(K15-L15-M15)*K$61,0)+IF(CP15=0,(O15-P15-Q15)*O$61,0)+IF(CQ15=0,(S15-T15-U15)*S$61,0)+IF(CR15=0,(W15-X15-Y15)*W$61,0)+IF(CS15=0,(AA15-AB15-AC15)*AA$61,0)+IF(CT15=0,(AE15-AF15-AG15)*AE$61,0)+IF(CU15=0,(AI15-AJ15-AK15)*AI$61,0)+IF(CV15=0,(AM15-AN15-AO15)*AM$61,0)+IF(CW15=0,(AQ15-AR15-AS15)*$AQ$61,0)+IF(CX15=0,(AU15-AV15-AW15)*$AU$61,0)+IF(CY15=0,(AY15-AZ15-BA15)*$AY$61,0)+IF(CZ15=0,(BC15-BD15-BE15)*$BC$61,0)+IF(DB15=0,(BJ15-BK15-BL15)*$BJ$61,0)+IF(DA15=0,BG15,0)+IF(DC15=0,(BN15-BO15-BP15)*$BN$61,0)+IF(DD15=0,(BR15-BS15-BT15)*$BR$61,0)+IF(DE15=0,(BV15-BW15-BX15)*$BV$61,0)+IF(DF15=0,(BZ15-CA15-CB15)*$BZ$61,0)+IF(DG15=0,(CD15-CE15-CF15)*$CD$61,0)+IF(DH15=0,(CH15-CI15-CJ15)*$CH$61,0)</f>
        <v>0</v>
      </c>
      <c r="DK15" s="334">
        <f>(D15-E15)*CM15+((G15-H15-(I15-J15))*G$61)*CN15+((K15-L15-(M15-N15))*K$61)*CO15+((O15-P15-(Q15-R15))*O$61)*CP15+((S15-T15-(U15-V15))*S$61)*CQ15+((W15-X15-(Y15-Z15))*W$61)*CR15+((AA15-AB15-(AC15-AD15))*AA$61)*CS15+((AE15-AF15-(AG15-AH15))*AE$61)*CT15+((AI15-AJ15-(AK15-AL15))*AI$61)*CU15+((AM15-AN15-(AO15-AP15))*$AM$61)*CV15+((AQ15-AR15-(AS15-AT15))*$AQ$61)*CW15+((AU15-AV15-(AW15-AX15))*$AU$61)*CX15+((AY15-AZ15-(BA15-BB15))*$AY$61)*CY15+((BC15-BD15-(BE15-BF15))*$BC$61)*CZ15+((BJ15-BK15-(BL15-BM15))*$BJ$61)*DB15+(BG15-BH15)*DA15+((BN15-BO15-(BP15-BQ15))*$BN$61)*DC15+((BR15-BS15-(BT15-BU15))*$BR$61)*DD15+((BV15-BW15-(BX15-BY15))*$BV$61)*DE15+((BZ15-CA15-(CB15-CC15))*$BZ$61)*DF15+((CD15-CE15-(CF15-CG15))*$CD$61)*DG15+((CH15-CI15-(CJ15-CK15))*$CH$61*DH15)</f>
        <v>1808639.9839067417</v>
      </c>
    </row>
    <row r="16" spans="1:115" ht="12.75" customHeight="1" x14ac:dyDescent="0.25">
      <c r="A16" s="335"/>
      <c r="B16" s="315" t="s">
        <v>96</v>
      </c>
      <c r="C16" s="316">
        <v>30</v>
      </c>
      <c r="D16" s="317">
        <v>0</v>
      </c>
      <c r="E16" s="318"/>
      <c r="F16" s="319">
        <v>0</v>
      </c>
      <c r="G16" s="320">
        <v>0</v>
      </c>
      <c r="H16" s="321"/>
      <c r="I16" s="322"/>
      <c r="J16" s="321"/>
      <c r="K16" s="320">
        <v>0</v>
      </c>
      <c r="L16" s="323">
        <v>0</v>
      </c>
      <c r="M16" s="318"/>
      <c r="N16" s="321"/>
      <c r="O16" s="320">
        <v>0</v>
      </c>
      <c r="P16" s="321"/>
      <c r="Q16" s="322"/>
      <c r="R16" s="321"/>
      <c r="S16" s="319">
        <v>0</v>
      </c>
      <c r="T16" s="323"/>
      <c r="U16" s="319"/>
      <c r="V16" s="325"/>
      <c r="W16" s="326">
        <v>0</v>
      </c>
      <c r="X16" s="326">
        <v>0</v>
      </c>
      <c r="Y16" s="326"/>
      <c r="Z16" s="327"/>
      <c r="AA16" s="326">
        <v>0</v>
      </c>
      <c r="AB16" s="329">
        <v>0</v>
      </c>
      <c r="AC16" s="319"/>
      <c r="AD16" s="327"/>
      <c r="AE16" s="326">
        <v>0</v>
      </c>
      <c r="AF16" s="326">
        <v>0</v>
      </c>
      <c r="AG16" s="330"/>
      <c r="AH16" s="327"/>
      <c r="AI16" s="319">
        <v>0</v>
      </c>
      <c r="AJ16" s="319">
        <v>0</v>
      </c>
      <c r="AK16" s="319"/>
      <c r="AL16" s="325"/>
      <c r="AM16" s="326">
        <v>0</v>
      </c>
      <c r="AN16" s="326">
        <v>0</v>
      </c>
      <c r="AO16" s="326"/>
      <c r="AP16" s="327"/>
      <c r="AQ16" s="326">
        <v>0</v>
      </c>
      <c r="AR16" s="331">
        <v>0</v>
      </c>
      <c r="AS16" s="331"/>
      <c r="AT16" s="331"/>
      <c r="AU16" s="331">
        <v>0</v>
      </c>
      <c r="AV16" s="331">
        <v>0</v>
      </c>
      <c r="AW16" s="331"/>
      <c r="AX16" s="331"/>
      <c r="AY16" s="331">
        <v>0</v>
      </c>
      <c r="AZ16" s="331">
        <v>0</v>
      </c>
      <c r="BA16" s="331"/>
      <c r="BB16" s="331"/>
      <c r="BC16" s="356">
        <v>0</v>
      </c>
      <c r="BD16" s="331"/>
      <c r="BE16" s="331"/>
      <c r="BF16" s="331"/>
      <c r="BG16" s="331"/>
      <c r="BH16" s="331"/>
      <c r="BI16" s="331"/>
      <c r="BJ16" s="331">
        <v>0</v>
      </c>
      <c r="BK16" s="331"/>
      <c r="BL16" s="331"/>
      <c r="BM16" s="331"/>
      <c r="BN16" s="290">
        <v>2388601.21</v>
      </c>
      <c r="BO16" s="290"/>
      <c r="BP16" s="290"/>
      <c r="BQ16" s="290"/>
      <c r="BR16" s="290">
        <v>0</v>
      </c>
      <c r="BS16" s="290"/>
      <c r="BT16" s="290"/>
      <c r="BU16" s="290"/>
      <c r="BV16" s="290">
        <v>0</v>
      </c>
      <c r="BW16" s="290">
        <v>0</v>
      </c>
      <c r="BX16" s="290"/>
      <c r="BY16" s="290"/>
      <c r="BZ16" s="290">
        <v>0</v>
      </c>
      <c r="CA16" s="290">
        <v>0</v>
      </c>
      <c r="CB16" s="290"/>
      <c r="CC16" s="290"/>
      <c r="CD16" s="290">
        <v>0</v>
      </c>
      <c r="CE16" s="290">
        <v>0</v>
      </c>
      <c r="CF16" s="290"/>
      <c r="CG16" s="290"/>
      <c r="CH16" s="290">
        <v>0</v>
      </c>
      <c r="CI16" s="290">
        <v>0</v>
      </c>
      <c r="CJ16" s="290"/>
      <c r="CK16" s="290"/>
      <c r="CL16" s="321">
        <f>IF(D16=0,0,2001-(D16-F16)*C16/D16)</f>
        <v>0</v>
      </c>
      <c r="CM16" s="333">
        <f>IF((1-($DI$2-$CL16)/$C16)&gt;0,(1-($DI$2-$CL16)/$C16),0)</f>
        <v>0</v>
      </c>
      <c r="CN16" s="333">
        <f>IF((1-($DI$2-G$2)/$C16)&gt;0,(1-($DI$2-G$2)/$C16),0)</f>
        <v>0.3666666666666667</v>
      </c>
      <c r="CO16" s="333">
        <f>IF((1-($DI$2-K$2)/$C16)&gt;0,(1-($DI$2-K$2)/$C16),0)</f>
        <v>0.4</v>
      </c>
      <c r="CP16" s="333">
        <f>IF((1-($DI$2-O$2)/$C16)&gt;0,(1-($DI$2-O$2)/$C16),0)</f>
        <v>0.43333333333333335</v>
      </c>
      <c r="CQ16" s="333">
        <f>IF((1-($DI$2-S$2)/$C16)&gt;0,(1-($DI$2-S$2)/$C16),0)</f>
        <v>0.46666666666666667</v>
      </c>
      <c r="CR16" s="333">
        <f>IF((1-($DI$2-W$2)/$C16)&gt;0,(1-($DI$2-W$2)/$C16),0)</f>
        <v>0.5</v>
      </c>
      <c r="CS16" s="333">
        <f>IF((1-($DI$2-AA$2)/$C16)&gt;0,(1-($DI$2-AA$2)/$C16),0)</f>
        <v>0.53333333333333333</v>
      </c>
      <c r="CT16" s="333">
        <f>IF((1-($DI$2-AE$2)/$C16)&gt;0,(1-($DI$2-AE$2)/$C16),0)</f>
        <v>0.56666666666666665</v>
      </c>
      <c r="CU16" s="333">
        <f>IF((1-($DI$2-AI$2)/$C16)&gt;0,(1-($DI$2-AI$2)/$C16),0)</f>
        <v>0.6</v>
      </c>
      <c r="CV16" s="333">
        <f>IF((1-($DI$2-AM$2)/$C16)&gt;0,(1-($DI$2-AM$2)/$C16),0)</f>
        <v>0.6333333333333333</v>
      </c>
      <c r="CW16" s="333">
        <f>IF((1-($DI$2-AQ$2)/$C16)&gt;0,(1-($DI$2-AQ$2)/$C16),0)</f>
        <v>0.66666666666666674</v>
      </c>
      <c r="CX16" s="333">
        <f>IF((1-($DI$2-AU$2)/$C16)&gt;0,(1-($DI$2-AU$2)/$C16),0)</f>
        <v>0.7</v>
      </c>
      <c r="CY16" s="333">
        <f>IF((1-($DI$2-AY$2)/$C16)&gt;0,(1-($DI$2-AY$2)/$C16),0)</f>
        <v>0.73333333333333339</v>
      </c>
      <c r="CZ16" s="333">
        <f>IF((1-($DI$2-BC$2)/$C16)&gt;0,(1-($DI$2-BC$2)/$C16),0)</f>
        <v>0.76666666666666661</v>
      </c>
      <c r="DA16" s="333">
        <f>IF(BG16=0,0,1-($DI$2-(2014.5-(BG16-BI16)*C16/BG16))/C16)</f>
        <v>0</v>
      </c>
      <c r="DB16" s="333">
        <f>IF((1-($DI$2-BJ$2)/$C16)&gt;0,(1-($DI$2-BJ$2)/$C16),0)</f>
        <v>0.8</v>
      </c>
      <c r="DC16" s="333">
        <f>IF((1-($DI$2-BN$2)/$C16)&gt;0,(1-($DI$2-BN$2)/$C16),0)</f>
        <v>0.83333333333333337</v>
      </c>
      <c r="DD16" s="333">
        <f>IF((1-($DI$2-BR$2)/$C16)&gt;0,(1-($DI$2-BR$2)/$C16),0)</f>
        <v>0.8666666666666667</v>
      </c>
      <c r="DE16" s="333">
        <f>IF((1-($DI$2-BV$2)/$C16)&gt;0,(1-($DI$2-BV$2)/$C16),0)</f>
        <v>0.9</v>
      </c>
      <c r="DF16" s="333">
        <f>IF((1-($DI$2-BZ$2)/$C16)&gt;0,(1-($DI$2-BZ$2)/$C16),0)</f>
        <v>0.93333333333333335</v>
      </c>
      <c r="DG16" s="333">
        <f>IF((1-($DI$2-CD$2)/$C16)&gt;0,(1-($DI$2-CD$2)/$C16),0)</f>
        <v>0.96666666666666667</v>
      </c>
      <c r="DH16" s="333">
        <f>IF((1-($DI$2-CH$2)/$C16)&gt;0,(1-($DI$2-CH$2)/$C16),0)</f>
        <v>1</v>
      </c>
      <c r="DI16" s="334">
        <f t="shared" si="28"/>
        <v>2088630.1130731143</v>
      </c>
      <c r="DJ16" s="334">
        <f t="shared" si="29"/>
        <v>0</v>
      </c>
      <c r="DK16" s="334">
        <f>(D16-E16)*CM16+((G16-H16-(I16-J16))*G$61)*CN16+((K16-L16-(M16-N16))*K$61)*CO16+((O16-P16-(Q16-R16))*O$61)*CP16+((S16-T16-(U16-V16))*S$61)*CQ16+((W16-X16-(Y16-Z16))*W$61)*CR16+((AA16-AB16-(AC16-AD16))*AA$61)*CS16+((AE16-AF16-(AG16-AH16))*AE$61)*CT16+((AI16-AJ16-(AK16-AL16))*AI$61)*CU16+((AM16-AN16-(AO16-AP16))*$AM$61)*CV16+((AQ16-AR16-(AS16-AT16))*$AQ$61)*CW16+((AU16-AV16-(AW16-AX16))*$AU$61)*CX16+((AY16-AZ16-(BA16-BB16))*$AY$61)*CY16+((BC16-BD16-(BE16-BF16))*$BC$61)*CZ16+((BJ16-BK16-(BL16-BM16))*$BJ$61)*DB16+(BG16-BH16)*DA16+((BN16-BO16-(BP16-BQ16))*$BN$61)*DC16+((BR16-BS16-(BT16-BU16))*$BR$61)*DD16+((BV16-BW16-(BX16-BY16))*$BV$61)*DE16+((BZ16-CA16-(CB16-CC16))*$BZ$61)*DF16+((CD16-CE16-(CF16-CG16))*$CD$61)*DG16+((CH16-CI16-(CJ16-CK16))*$CH$61*DH16)</f>
        <v>1740525.0942275953</v>
      </c>
    </row>
    <row r="17" spans="1:115" ht="12.75" customHeight="1" x14ac:dyDescent="0.25">
      <c r="A17" s="335"/>
      <c r="B17" s="315" t="s">
        <v>97</v>
      </c>
      <c r="C17" s="316">
        <v>30</v>
      </c>
      <c r="D17" s="317">
        <v>0</v>
      </c>
      <c r="E17" s="318"/>
      <c r="F17" s="319">
        <v>0</v>
      </c>
      <c r="G17" s="320">
        <v>0</v>
      </c>
      <c r="H17" s="321"/>
      <c r="I17" s="322"/>
      <c r="J17" s="321"/>
      <c r="K17" s="320">
        <v>0</v>
      </c>
      <c r="L17" s="323">
        <v>0</v>
      </c>
      <c r="M17" s="318"/>
      <c r="N17" s="321"/>
      <c r="O17" s="320">
        <v>0</v>
      </c>
      <c r="P17" s="321"/>
      <c r="Q17" s="322"/>
      <c r="R17" s="321"/>
      <c r="S17" s="319">
        <v>0</v>
      </c>
      <c r="T17" s="323"/>
      <c r="U17" s="319"/>
      <c r="V17" s="325"/>
      <c r="W17" s="326">
        <v>0</v>
      </c>
      <c r="X17" s="326">
        <v>0</v>
      </c>
      <c r="Y17" s="326"/>
      <c r="Z17" s="327"/>
      <c r="AA17" s="326">
        <v>0</v>
      </c>
      <c r="AB17" s="329">
        <v>0</v>
      </c>
      <c r="AC17" s="319"/>
      <c r="AD17" s="327"/>
      <c r="AE17" s="326">
        <v>0</v>
      </c>
      <c r="AF17" s="326">
        <v>0</v>
      </c>
      <c r="AG17" s="330"/>
      <c r="AH17" s="327"/>
      <c r="AI17" s="319">
        <v>0</v>
      </c>
      <c r="AJ17" s="319">
        <v>0</v>
      </c>
      <c r="AK17" s="319"/>
      <c r="AL17" s="325"/>
      <c r="AM17" s="326">
        <v>0</v>
      </c>
      <c r="AN17" s="326">
        <v>0</v>
      </c>
      <c r="AO17" s="326"/>
      <c r="AP17" s="327"/>
      <c r="AQ17" s="326">
        <v>0</v>
      </c>
      <c r="AR17" s="331">
        <v>0</v>
      </c>
      <c r="AS17" s="331"/>
      <c r="AT17" s="331"/>
      <c r="AU17" s="331">
        <v>0</v>
      </c>
      <c r="AV17" s="331">
        <v>0</v>
      </c>
      <c r="AW17" s="331"/>
      <c r="AX17" s="331"/>
      <c r="AY17" s="331">
        <v>0</v>
      </c>
      <c r="AZ17" s="331">
        <v>0</v>
      </c>
      <c r="BA17" s="331"/>
      <c r="BB17" s="331"/>
      <c r="BC17" s="356">
        <v>882092.27</v>
      </c>
      <c r="BD17" s="331"/>
      <c r="BE17" s="331"/>
      <c r="BF17" s="331"/>
      <c r="BG17" s="331"/>
      <c r="BH17" s="331"/>
      <c r="BI17" s="331"/>
      <c r="BJ17" s="331">
        <v>0</v>
      </c>
      <c r="BK17" s="331"/>
      <c r="BL17" s="331"/>
      <c r="BM17" s="331"/>
      <c r="BN17" s="290">
        <v>5584871.6299999999</v>
      </c>
      <c r="BO17" s="290"/>
      <c r="BP17" s="290"/>
      <c r="BQ17" s="290"/>
      <c r="BR17" s="290">
        <v>1844000</v>
      </c>
      <c r="BS17" s="290"/>
      <c r="BT17" s="290"/>
      <c r="BU17" s="290"/>
      <c r="BV17" s="290">
        <v>0</v>
      </c>
      <c r="BW17" s="290">
        <v>0</v>
      </c>
      <c r="BX17" s="290"/>
      <c r="BY17" s="290"/>
      <c r="BZ17" s="290">
        <v>0</v>
      </c>
      <c r="CA17" s="290">
        <v>0</v>
      </c>
      <c r="CB17" s="290"/>
      <c r="CC17" s="290"/>
      <c r="CD17" s="290">
        <v>0</v>
      </c>
      <c r="CE17" s="290">
        <v>0</v>
      </c>
      <c r="CF17" s="290"/>
      <c r="CG17" s="290"/>
      <c r="CH17" s="290">
        <v>0</v>
      </c>
      <c r="CI17" s="290">
        <v>0</v>
      </c>
      <c r="CJ17" s="290"/>
      <c r="CK17" s="290"/>
      <c r="CL17" s="321">
        <f>IF(D17=0,0,2001-(D17-F17)*C17/D17)</f>
        <v>0</v>
      </c>
      <c r="CM17" s="333">
        <f>IF((1-($DI$2-$CL17)/$C17)&gt;0,(1-($DI$2-$CL17)/$C17),0)</f>
        <v>0</v>
      </c>
      <c r="CN17" s="333">
        <f>IF((1-($DI$2-G$2)/$C17)&gt;0,(1-($DI$2-G$2)/$C17),0)</f>
        <v>0.3666666666666667</v>
      </c>
      <c r="CO17" s="333">
        <f>IF((1-($DI$2-K$2)/$C17)&gt;0,(1-($DI$2-K$2)/$C17),0)</f>
        <v>0.4</v>
      </c>
      <c r="CP17" s="333">
        <f>IF((1-($DI$2-O$2)/$C17)&gt;0,(1-($DI$2-O$2)/$C17),0)</f>
        <v>0.43333333333333335</v>
      </c>
      <c r="CQ17" s="333">
        <f>IF((1-($DI$2-S$2)/$C17)&gt;0,(1-($DI$2-S$2)/$C17),0)</f>
        <v>0.46666666666666667</v>
      </c>
      <c r="CR17" s="333">
        <f>IF((1-($DI$2-W$2)/$C17)&gt;0,(1-($DI$2-W$2)/$C17),0)</f>
        <v>0.5</v>
      </c>
      <c r="CS17" s="333">
        <f>IF((1-($DI$2-AA$2)/$C17)&gt;0,(1-($DI$2-AA$2)/$C17),0)</f>
        <v>0.53333333333333333</v>
      </c>
      <c r="CT17" s="333">
        <f>IF((1-($DI$2-AE$2)/$C17)&gt;0,(1-($DI$2-AE$2)/$C17),0)</f>
        <v>0.56666666666666665</v>
      </c>
      <c r="CU17" s="333">
        <f>IF((1-($DI$2-AI$2)/$C17)&gt;0,(1-($DI$2-AI$2)/$C17),0)</f>
        <v>0.6</v>
      </c>
      <c r="CV17" s="333">
        <f>IF((1-($DI$2-AM$2)/$C17)&gt;0,(1-($DI$2-AM$2)/$C17),0)</f>
        <v>0.6333333333333333</v>
      </c>
      <c r="CW17" s="333">
        <f>IF((1-($DI$2-AQ$2)/$C17)&gt;0,(1-($DI$2-AQ$2)/$C17),0)</f>
        <v>0.66666666666666674</v>
      </c>
      <c r="CX17" s="333">
        <f>IF((1-($DI$2-AU$2)/$C17)&gt;0,(1-($DI$2-AU$2)/$C17),0)</f>
        <v>0.7</v>
      </c>
      <c r="CY17" s="333">
        <f>IF((1-($DI$2-AY$2)/$C17)&gt;0,(1-($DI$2-AY$2)/$C17),0)</f>
        <v>0.73333333333333339</v>
      </c>
      <c r="CZ17" s="333">
        <f>IF((1-($DI$2-BC$2)/$C17)&gt;0,(1-($DI$2-BC$2)/$C17),0)</f>
        <v>0.76666666666666661</v>
      </c>
      <c r="DA17" s="333">
        <f>IF(BG17=0,0,1-($DI$2-(2014.5-(BG17-BI17)*C17/BG17))/C17)</f>
        <v>0</v>
      </c>
      <c r="DB17" s="333">
        <f>IF((1-($DI$2-BJ$2)/$C17)&gt;0,(1-($DI$2-BJ$2)/$C17),0)</f>
        <v>0.8</v>
      </c>
      <c r="DC17" s="333">
        <f>IF((1-($DI$2-BN$2)/$C17)&gt;0,(1-($DI$2-BN$2)/$C17),0)</f>
        <v>0.83333333333333337</v>
      </c>
      <c r="DD17" s="333">
        <f>IF((1-($DI$2-BR$2)/$C17)&gt;0,(1-($DI$2-BR$2)/$C17),0)</f>
        <v>0.8666666666666667</v>
      </c>
      <c r="DE17" s="333">
        <f>IF((1-($DI$2-BV$2)/$C17)&gt;0,(1-($DI$2-BV$2)/$C17),0)</f>
        <v>0.9</v>
      </c>
      <c r="DF17" s="333">
        <f>IF((1-($DI$2-BZ$2)/$C17)&gt;0,(1-($DI$2-BZ$2)/$C17),0)</f>
        <v>0.93333333333333335</v>
      </c>
      <c r="DG17" s="333">
        <f>IF((1-($DI$2-CD$2)/$C17)&gt;0,(1-($DI$2-CD$2)/$C17),0)</f>
        <v>0.96666666666666667</v>
      </c>
      <c r="DH17" s="333">
        <f>IF((1-($DI$2-CH$2)/$C17)&gt;0,(1-($DI$2-CH$2)/$C17),0)</f>
        <v>1</v>
      </c>
      <c r="DI17" s="334">
        <f t="shared" si="28"/>
        <v>7229414.3872795496</v>
      </c>
      <c r="DJ17" s="334">
        <f t="shared" si="29"/>
        <v>0</v>
      </c>
      <c r="DK17" s="334">
        <f>(D17-E17)*CM17+((G17-H17-(I17-J17))*G$61)*CN17+((K17-L17-(M17-N17))*K$61)*CO17+((O17-P17-(Q17-R17))*O$61)*CP17+((S17-T17-(U17-V17))*S$61)*CQ17+((W17-X17-(Y17-Z17))*W$61)*CR17+((AA17-AB17-(AC17-AD17))*AA$61)*CS17+((AE17-AF17-(AG17-AH17))*AE$61)*CT17+((AI17-AJ17-(AK17-AL17))*AI$61)*CU17+((AM17-AN17-(AO17-AP17))*$AM$61)*CV17+((AQ17-AR17-(AS17-AT17))*$AQ$61)*CW17+((AU17-AV17-(AW17-AX17))*$AU$61)*CX17+((AY17-AZ17-(BA17-BB17))*$AY$61)*CY17+((BC17-BD17-(BE17-BF17))*$BC$61)*CZ17+((BJ17-BK17-(BL17-BM17))*$BJ$61)*DB17+(BG17-BH17)*DA17+((BN17-BO17-(BP17-BQ17))*$BN$61)*DC17+((BR17-BS17-(BT17-BU17))*$BR$61)*DD17+((BV17-BW17-(BX17-BY17))*$BV$61)*DE17+((BZ17-CA17-(CB17-CC17))*$BZ$61)*DF17+((CD17-CE17-(CF17-CG17))*$CD$61)*DG17+((CH17-CI17-(CJ17-CK17))*$CH$61*DH17)</f>
        <v>6029769.5945712142</v>
      </c>
    </row>
    <row r="18" spans="1:115" ht="12.75" customHeight="1" x14ac:dyDescent="0.35">
      <c r="A18" s="335"/>
      <c r="B18" s="349" t="s">
        <v>19</v>
      </c>
      <c r="C18" s="350"/>
      <c r="D18" s="337">
        <v>0</v>
      </c>
      <c r="E18" s="321"/>
      <c r="F18" s="337">
        <v>0</v>
      </c>
      <c r="G18" s="321"/>
      <c r="H18" s="321"/>
      <c r="I18" s="321"/>
      <c r="J18" s="321"/>
      <c r="K18" s="321"/>
      <c r="L18" s="323">
        <v>0</v>
      </c>
      <c r="M18" s="323"/>
      <c r="N18" s="321"/>
      <c r="O18" s="321"/>
      <c r="P18" s="321"/>
      <c r="Q18" s="321"/>
      <c r="R18" s="321"/>
      <c r="S18" s="319"/>
      <c r="T18" s="319"/>
      <c r="U18" s="329"/>
      <c r="V18" s="325"/>
      <c r="W18" s="326"/>
      <c r="X18" s="327"/>
      <c r="Y18" s="326"/>
      <c r="Z18" s="327"/>
      <c r="AA18" s="327"/>
      <c r="AB18" s="327"/>
      <c r="AC18" s="325"/>
      <c r="AD18" s="327"/>
      <c r="AE18" s="327"/>
      <c r="AF18" s="327"/>
      <c r="AG18" s="337"/>
      <c r="AH18" s="327"/>
      <c r="AI18" s="329"/>
      <c r="AJ18" s="325"/>
      <c r="AK18" s="325"/>
      <c r="AL18" s="325"/>
      <c r="AM18" s="337">
        <v>0</v>
      </c>
      <c r="AN18" s="326">
        <v>0</v>
      </c>
      <c r="AO18" s="326"/>
      <c r="AP18" s="327"/>
      <c r="AQ18" s="352">
        <v>0</v>
      </c>
      <c r="AR18" s="331">
        <v>0</v>
      </c>
      <c r="AS18" s="331"/>
      <c r="AT18" s="331"/>
      <c r="AU18" s="353">
        <v>0</v>
      </c>
      <c r="AV18" s="354">
        <v>0</v>
      </c>
      <c r="AW18" s="354"/>
      <c r="AX18" s="355"/>
      <c r="AY18" s="331">
        <v>0</v>
      </c>
      <c r="AZ18" s="331">
        <v>0</v>
      </c>
      <c r="BA18" s="331"/>
      <c r="BB18" s="331"/>
      <c r="BC18" s="332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290"/>
      <c r="BO18" s="290"/>
      <c r="BP18" s="290"/>
      <c r="BQ18" s="290"/>
      <c r="BR18" s="290"/>
      <c r="BS18" s="290"/>
      <c r="BT18" s="290"/>
      <c r="BU18" s="290"/>
      <c r="BV18" s="290">
        <v>0</v>
      </c>
      <c r="BW18" s="290">
        <v>0</v>
      </c>
      <c r="BX18" s="290"/>
      <c r="BY18" s="290"/>
      <c r="BZ18" s="290">
        <v>0</v>
      </c>
      <c r="CA18" s="290">
        <v>0</v>
      </c>
      <c r="CB18" s="290"/>
      <c r="CC18" s="290"/>
      <c r="CD18" s="290">
        <v>0</v>
      </c>
      <c r="CE18" s="290">
        <v>0</v>
      </c>
      <c r="CF18" s="290"/>
      <c r="CG18" s="290"/>
      <c r="CH18" s="290"/>
      <c r="CI18" s="290">
        <v>0</v>
      </c>
      <c r="CJ18" s="290"/>
      <c r="CK18" s="290"/>
      <c r="CL18" s="333"/>
      <c r="CM18" s="333"/>
      <c r="CN18" s="333"/>
      <c r="CO18" s="333"/>
      <c r="CP18" s="333"/>
      <c r="CQ18" s="333"/>
      <c r="CR18" s="333"/>
      <c r="CS18" s="333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4">
        <f t="shared" si="28"/>
        <v>0</v>
      </c>
      <c r="DJ18" s="334">
        <f t="shared" si="29"/>
        <v>0</v>
      </c>
      <c r="DK18" s="334"/>
    </row>
    <row r="19" spans="1:115" ht="12.75" customHeight="1" x14ac:dyDescent="0.25">
      <c r="A19" s="335"/>
      <c r="B19" s="315" t="s">
        <v>20</v>
      </c>
      <c r="C19" s="316">
        <v>30</v>
      </c>
      <c r="D19" s="317">
        <v>20631115.423739497</v>
      </c>
      <c r="E19" s="318"/>
      <c r="F19" s="319">
        <v>11427451.59935529</v>
      </c>
      <c r="G19" s="320">
        <v>275088</v>
      </c>
      <c r="H19" s="321"/>
      <c r="I19" s="322"/>
      <c r="J19" s="321"/>
      <c r="K19" s="320">
        <v>838585.51</v>
      </c>
      <c r="L19" s="323">
        <v>252735</v>
      </c>
      <c r="M19" s="318"/>
      <c r="N19" s="321"/>
      <c r="O19" s="320">
        <v>682132.64</v>
      </c>
      <c r="P19" s="321"/>
      <c r="Q19" s="322"/>
      <c r="R19" s="321"/>
      <c r="S19" s="319">
        <v>853048</v>
      </c>
      <c r="T19" s="323"/>
      <c r="U19" s="319"/>
      <c r="V19" s="325"/>
      <c r="W19" s="326">
        <v>1150963.24</v>
      </c>
      <c r="X19" s="326">
        <v>0</v>
      </c>
      <c r="Y19" s="326"/>
      <c r="Z19" s="327"/>
      <c r="AA19" s="326">
        <v>1286599.07</v>
      </c>
      <c r="AB19" s="329">
        <v>255770.07</v>
      </c>
      <c r="AC19" s="319"/>
      <c r="AD19" s="327"/>
      <c r="AE19" s="326">
        <v>1756704.5</v>
      </c>
      <c r="AF19" s="326">
        <v>0</v>
      </c>
      <c r="AG19" s="330"/>
      <c r="AH19" s="327"/>
      <c r="AI19" s="319">
        <v>3549323.0099999965</v>
      </c>
      <c r="AJ19" s="319">
        <v>0</v>
      </c>
      <c r="AK19" s="319"/>
      <c r="AL19" s="325"/>
      <c r="AM19" s="326">
        <v>1341910.8899999994</v>
      </c>
      <c r="AN19" s="326">
        <v>0</v>
      </c>
      <c r="AO19" s="326"/>
      <c r="AP19" s="337"/>
      <c r="AQ19" s="326">
        <v>1605662.6499999997</v>
      </c>
      <c r="AR19" s="331">
        <v>0</v>
      </c>
      <c r="AS19" s="331"/>
      <c r="AT19" s="331"/>
      <c r="AU19" s="331">
        <v>974437.2</v>
      </c>
      <c r="AV19" s="331">
        <v>0</v>
      </c>
      <c r="AW19" s="331"/>
      <c r="AX19" s="331"/>
      <c r="AY19" s="331">
        <v>2945753.8299999982</v>
      </c>
      <c r="AZ19" s="331">
        <v>0</v>
      </c>
      <c r="BA19" s="331"/>
      <c r="BB19" s="331"/>
      <c r="BC19" s="356">
        <v>1470098.0800000005</v>
      </c>
      <c r="BD19" s="331"/>
      <c r="BE19" s="331"/>
      <c r="BF19" s="331"/>
      <c r="BG19" s="331">
        <f>+BH19+726319.84</f>
        <v>2828060.8582160217</v>
      </c>
      <c r="BH19" s="331">
        <v>2101741.0182160218</v>
      </c>
      <c r="BI19" s="331">
        <f>1049501.95+206250+329221.56+314738.6</f>
        <v>1899712.1099999999</v>
      </c>
      <c r="BJ19" s="331">
        <v>1038342.7200000007</v>
      </c>
      <c r="BK19" s="331"/>
      <c r="BL19" s="331"/>
      <c r="BM19" s="331"/>
      <c r="BN19" s="290">
        <v>2936315.89</v>
      </c>
      <c r="BO19" s="290"/>
      <c r="BP19" s="290"/>
      <c r="BQ19" s="290"/>
      <c r="BR19" s="290">
        <v>1953432.7999999998</v>
      </c>
      <c r="BS19" s="290">
        <v>38757.639999999992</v>
      </c>
      <c r="BT19" s="290"/>
      <c r="BU19" s="290"/>
      <c r="BV19" s="290">
        <v>2287189.8199999994</v>
      </c>
      <c r="BW19" s="290">
        <v>865477.91721558827</v>
      </c>
      <c r="BX19" s="290"/>
      <c r="BY19" s="290"/>
      <c r="BZ19" s="290">
        <v>2203740.96</v>
      </c>
      <c r="CA19" s="290">
        <v>757653.04599579971</v>
      </c>
      <c r="CB19" s="290"/>
      <c r="CC19" s="290"/>
      <c r="CD19" s="290">
        <v>2834231.9700000007</v>
      </c>
      <c r="CE19" s="290">
        <v>0</v>
      </c>
      <c r="CF19" s="290"/>
      <c r="CG19" s="290"/>
      <c r="CH19" s="290">
        <v>1243715.8800000001</v>
      </c>
      <c r="CI19" s="290">
        <v>34705.049949699998</v>
      </c>
      <c r="CJ19" s="290"/>
      <c r="CK19" s="290"/>
      <c r="CL19" s="321">
        <f t="shared" ref="CL19:CL31" si="30">IF(D19=0,0,2001-(D19-F19)*C19/D19)</f>
        <v>1987.6168208038905</v>
      </c>
      <c r="CM19" s="333">
        <f t="shared" ref="CM19:CM31" si="31">IF((1-($DI$2-$CL19)/$C19)&gt;0,(1-($DI$2-$CL19)/$C19),0)</f>
        <v>0</v>
      </c>
      <c r="CN19" s="333">
        <f t="shared" ref="CN19:CN31" si="32">IF((1-($DI$2-G$2)/$C19)&gt;0,(1-($DI$2-G$2)/$C19),0)</f>
        <v>0.3666666666666667</v>
      </c>
      <c r="CO19" s="333">
        <f t="shared" ref="CO19:CO31" si="33">IF((1-($DI$2-K$2)/$C19)&gt;0,(1-($DI$2-K$2)/$C19),0)</f>
        <v>0.4</v>
      </c>
      <c r="CP19" s="333">
        <f t="shared" ref="CP19:CP31" si="34">IF((1-($DI$2-O$2)/$C19)&gt;0,(1-($DI$2-O$2)/$C19),0)</f>
        <v>0.43333333333333335</v>
      </c>
      <c r="CQ19" s="333">
        <f t="shared" ref="CQ19:CQ31" si="35">IF((1-($DI$2-S$2)/$C19)&gt;0,(1-($DI$2-S$2)/$C19),0)</f>
        <v>0.46666666666666667</v>
      </c>
      <c r="CR19" s="333">
        <f t="shared" ref="CR19:CR31" si="36">IF((1-($DI$2-W$2)/$C19)&gt;0,(1-($DI$2-W$2)/$C19),0)</f>
        <v>0.5</v>
      </c>
      <c r="CS19" s="333">
        <f t="shared" ref="CS19:CS31" si="37">IF((1-($DI$2-AA$2)/$C19)&gt;0,(1-($DI$2-AA$2)/$C19),0)</f>
        <v>0.53333333333333333</v>
      </c>
      <c r="CT19" s="333">
        <f t="shared" ref="CT19:CT31" si="38">IF((1-($DI$2-AE$2)/$C19)&gt;0,(1-($DI$2-AE$2)/$C19),0)</f>
        <v>0.56666666666666665</v>
      </c>
      <c r="CU19" s="333">
        <f t="shared" ref="CU19:CU31" si="39">IF((1-($DI$2-AI$2)/$C19)&gt;0,(1-($DI$2-AI$2)/$C19),0)</f>
        <v>0.6</v>
      </c>
      <c r="CV19" s="333">
        <f t="shared" ref="CV19:CV31" si="40">IF((1-($DI$2-AM$2)/$C19)&gt;0,(1-($DI$2-AM$2)/$C19),0)</f>
        <v>0.6333333333333333</v>
      </c>
      <c r="CW19" s="333">
        <f t="shared" ref="CW19:CW31" si="41">IF((1-($DI$2-AQ$2)/$C19)&gt;0,(1-($DI$2-AQ$2)/$C19),0)</f>
        <v>0.66666666666666674</v>
      </c>
      <c r="CX19" s="333">
        <f t="shared" ref="CX19:CX31" si="42">IF((1-($DI$2-AU$2)/$C19)&gt;0,(1-($DI$2-AU$2)/$C19),0)</f>
        <v>0.7</v>
      </c>
      <c r="CY19" s="333">
        <f t="shared" ref="CY19:CY31" si="43">IF((1-($DI$2-AY$2)/$C19)&gt;0,(1-($DI$2-AY$2)/$C19),0)</f>
        <v>0.73333333333333339</v>
      </c>
      <c r="CZ19" s="333">
        <f t="shared" ref="CZ19:CZ31" si="44">IF((1-($DI$2-BC$2)/$C19)&gt;0,(1-($DI$2-BC$2)/$C19),0)</f>
        <v>0.76666666666666661</v>
      </c>
      <c r="DA19" s="333">
        <f t="shared" ref="DA19:DA31" si="45">IF(BG19=0,0,1-($DI$2-(2014.5-(BG19-BI19)*C19/BG19))/C19)</f>
        <v>0.45506997735957</v>
      </c>
      <c r="DB19" s="333">
        <f t="shared" ref="DB19:DB31" si="46">IF((1-($DI$2-BJ$2)/$C19)&gt;0,(1-($DI$2-BJ$2)/$C19),0)</f>
        <v>0.8</v>
      </c>
      <c r="DC19" s="333">
        <f t="shared" ref="DC19:DC31" si="47">IF((1-($DI$2-BN$2)/$C19)&gt;0,(1-($DI$2-BN$2)/$C19),0)</f>
        <v>0.83333333333333337</v>
      </c>
      <c r="DD19" s="333">
        <f t="shared" ref="DD19:DD31" si="48">IF((1-($DI$2-BR$2)/$C19)&gt;0,(1-($DI$2-BR$2)/$C19),0)</f>
        <v>0.8666666666666667</v>
      </c>
      <c r="DE19" s="333">
        <f t="shared" ref="DE19:DE31" si="49">IF((1-($DI$2-BV$2)/$C19)&gt;0,(1-($DI$2-BV$2)/$C19),0)</f>
        <v>0.9</v>
      </c>
      <c r="DF19" s="333">
        <f>IF((1-($DI$2-BZ$2)/$C19)&gt;0,(1-($DI$2-BZ$2)/$C19),0)</f>
        <v>0.93333333333333335</v>
      </c>
      <c r="DG19" s="333">
        <f>IF((1-($DI$2-CD$2)/$C19)&gt;0,(1-($DI$2-CD$2)/$C19),0)</f>
        <v>0.96666666666666667</v>
      </c>
      <c r="DH19" s="333">
        <f>IF((1-($DI$2-CH$2)/$C19)&gt;0,(1-($DI$2-CH$2)/$C19),0)</f>
        <v>1</v>
      </c>
      <c r="DI19" s="334">
        <f t="shared" si="28"/>
        <v>48978096.812175676</v>
      </c>
      <c r="DJ19" s="334">
        <f t="shared" si="29"/>
        <v>20631115.423739497</v>
      </c>
      <c r="DK19" s="334">
        <f>(D19-E19)*CM19+((G19-H19-(I19-J19))*G$61)*CN19+((K19-L19-(M19-N19))*K$61)*CO19+((O19-P19-(Q19-R19))*O$61)*CP19+((S19-T19-(U19-V19))*S$61)*CQ19+((W19-X19-(Y19-Z19))*W$61)*CR19+((AA19-AB19-(AC19-AD19))*AA$61)*CS19+((AE19-AF19-(AG19-AH19))*AE$61)*CT19+((AI19-AJ19-(AK19-AL19))*AI$61)*CU19+((AM19-AN19-(AO19-AP19))*$AM$61)*CV19+((AQ19-AR19-(AS19-AT19))*$AQ$61)*CW19+((AU19-AV19-(AW19-AX19))*$AU$61)*CX19+((AY19-AZ19-(BA19-BB19))*$AY$61)*CY19+((BC19-BD19-(BE19-BF19))*$BC$61)*CZ19+((BJ19-BK19-(BL19-BM19))*$BJ$61)*DB19+(BG19-BH19)*DA19+((BN19-BO19-(BP19-BQ19))*$BN$61)*DC19+((BR19-BS19-(BT19-BU19))*$BR$61)*DD19+((BV19-BW19-(BX19-BY19))*$BV$61)*DE19+((BZ19-CA19-(CB19-CC19))*$BZ$61)*DF19+((CD19-CE19-(CF19-CG19))*$CD$61)*DG19+((CH19-CI19-(CJ19-CK19))*$CH$61*DH19)</f>
        <v>19041832.514563121</v>
      </c>
    </row>
    <row r="20" spans="1:115" ht="12.75" customHeight="1" x14ac:dyDescent="0.25">
      <c r="A20" s="335" t="s">
        <v>60</v>
      </c>
      <c r="B20" s="315" t="s">
        <v>21</v>
      </c>
      <c r="C20" s="316">
        <v>30</v>
      </c>
      <c r="D20" s="317">
        <v>20319163.888809633</v>
      </c>
      <c r="E20" s="318"/>
      <c r="F20" s="319">
        <v>11254485.314634677</v>
      </c>
      <c r="G20" s="320">
        <v>81953.06180000001</v>
      </c>
      <c r="H20" s="321"/>
      <c r="I20" s="322"/>
      <c r="J20" s="321"/>
      <c r="K20" s="320">
        <v>480527.24</v>
      </c>
      <c r="L20" s="323">
        <v>0</v>
      </c>
      <c r="M20" s="318"/>
      <c r="N20" s="321"/>
      <c r="O20" s="320">
        <v>359813.26</v>
      </c>
      <c r="P20" s="321"/>
      <c r="Q20" s="322"/>
      <c r="R20" s="321"/>
      <c r="S20" s="319">
        <v>329504</v>
      </c>
      <c r="T20" s="323"/>
      <c r="U20" s="319"/>
      <c r="V20" s="325"/>
      <c r="W20" s="326">
        <v>210021.37999999998</v>
      </c>
      <c r="X20" s="326">
        <v>0</v>
      </c>
      <c r="Y20" s="326"/>
      <c r="Z20" s="327"/>
      <c r="AA20" s="326">
        <v>443891</v>
      </c>
      <c r="AB20" s="329">
        <v>0</v>
      </c>
      <c r="AC20" s="319"/>
      <c r="AD20" s="327"/>
      <c r="AE20" s="326">
        <v>422858.36</v>
      </c>
      <c r="AF20" s="326">
        <v>0</v>
      </c>
      <c r="AG20" s="330"/>
      <c r="AH20" s="327"/>
      <c r="AI20" s="319">
        <v>219533.05</v>
      </c>
      <c r="AJ20" s="319">
        <v>0</v>
      </c>
      <c r="AK20" s="319"/>
      <c r="AL20" s="325"/>
      <c r="AM20" s="326">
        <v>325380.67999999993</v>
      </c>
      <c r="AN20" s="326">
        <v>0</v>
      </c>
      <c r="AO20" s="326"/>
      <c r="AP20" s="327"/>
      <c r="AQ20" s="326">
        <v>361263.11000000028</v>
      </c>
      <c r="AR20" s="331">
        <v>0</v>
      </c>
      <c r="AS20" s="331"/>
      <c r="AT20" s="331"/>
      <c r="AU20" s="331">
        <v>277474.00999999978</v>
      </c>
      <c r="AV20" s="331">
        <v>0</v>
      </c>
      <c r="AW20" s="331"/>
      <c r="AX20" s="331"/>
      <c r="AY20" s="331">
        <v>696693.82999999949</v>
      </c>
      <c r="AZ20" s="331">
        <v>0</v>
      </c>
      <c r="BA20" s="331"/>
      <c r="BB20" s="331"/>
      <c r="BC20" s="356">
        <v>871356.4600000002</v>
      </c>
      <c r="BD20" s="331"/>
      <c r="BE20" s="331"/>
      <c r="BF20" s="331"/>
      <c r="BG20" s="331"/>
      <c r="BH20" s="331"/>
      <c r="BI20" s="331"/>
      <c r="BJ20" s="331">
        <v>1635346.59</v>
      </c>
      <c r="BK20" s="331"/>
      <c r="BL20" s="331"/>
      <c r="BM20" s="331"/>
      <c r="BN20" s="290">
        <v>1677625.9800000002</v>
      </c>
      <c r="BO20" s="290"/>
      <c r="BP20" s="290"/>
      <c r="BQ20" s="290"/>
      <c r="BR20" s="290">
        <v>1230182.0200000009</v>
      </c>
      <c r="BS20" s="290">
        <v>11995.820000000002</v>
      </c>
      <c r="BT20" s="290"/>
      <c r="BU20" s="290"/>
      <c r="BV20" s="290">
        <v>1817111.3799999994</v>
      </c>
      <c r="BW20" s="290">
        <v>550888.31486204488</v>
      </c>
      <c r="BX20" s="290"/>
      <c r="BY20" s="290"/>
      <c r="BZ20" s="290">
        <v>1820535.2100000004</v>
      </c>
      <c r="CA20" s="290">
        <v>796621.13105285726</v>
      </c>
      <c r="CB20" s="290"/>
      <c r="CC20" s="290"/>
      <c r="CD20" s="290">
        <v>1856379.5600000005</v>
      </c>
      <c r="CE20" s="290">
        <v>356732.368075573</v>
      </c>
      <c r="CF20" s="290"/>
      <c r="CG20" s="290"/>
      <c r="CH20" s="290">
        <v>1453339.2800000005</v>
      </c>
      <c r="CI20" s="290">
        <v>27821.311839000002</v>
      </c>
      <c r="CJ20" s="290"/>
      <c r="CK20" s="290"/>
      <c r="CL20" s="321">
        <f t="shared" si="30"/>
        <v>1987.6165577130359</v>
      </c>
      <c r="CM20" s="333">
        <f t="shared" si="31"/>
        <v>0</v>
      </c>
      <c r="CN20" s="333">
        <f t="shared" si="32"/>
        <v>0.3666666666666667</v>
      </c>
      <c r="CO20" s="333">
        <f t="shared" si="33"/>
        <v>0.4</v>
      </c>
      <c r="CP20" s="333">
        <f t="shared" si="34"/>
        <v>0.43333333333333335</v>
      </c>
      <c r="CQ20" s="333">
        <f t="shared" si="35"/>
        <v>0.46666666666666667</v>
      </c>
      <c r="CR20" s="333">
        <f t="shared" si="36"/>
        <v>0.5</v>
      </c>
      <c r="CS20" s="333">
        <f t="shared" si="37"/>
        <v>0.53333333333333333</v>
      </c>
      <c r="CT20" s="333">
        <f t="shared" si="38"/>
        <v>0.56666666666666665</v>
      </c>
      <c r="CU20" s="333">
        <f t="shared" si="39"/>
        <v>0.6</v>
      </c>
      <c r="CV20" s="333">
        <f t="shared" si="40"/>
        <v>0.6333333333333333</v>
      </c>
      <c r="CW20" s="333">
        <f t="shared" si="41"/>
        <v>0.66666666666666674</v>
      </c>
      <c r="CX20" s="333">
        <f t="shared" si="42"/>
        <v>0.7</v>
      </c>
      <c r="CY20" s="333">
        <f t="shared" si="43"/>
        <v>0.73333333333333339</v>
      </c>
      <c r="CZ20" s="333">
        <f t="shared" si="44"/>
        <v>0.76666666666666661</v>
      </c>
      <c r="DA20" s="333">
        <f t="shared" si="45"/>
        <v>0</v>
      </c>
      <c r="DB20" s="333">
        <f t="shared" si="46"/>
        <v>0.8</v>
      </c>
      <c r="DC20" s="333">
        <f t="shared" si="47"/>
        <v>0.83333333333333337</v>
      </c>
      <c r="DD20" s="333">
        <f t="shared" si="48"/>
        <v>0.8666666666666667</v>
      </c>
      <c r="DE20" s="333">
        <f t="shared" si="49"/>
        <v>0.9</v>
      </c>
      <c r="DF20" s="333">
        <f t="shared" ref="DF20:DF31" si="50">IF((1-($DI$2-BZ$2)/$C20)&gt;0,(1-($DI$2-BZ$2)/$C20),0)</f>
        <v>0.93333333333333335</v>
      </c>
      <c r="DG20" s="333">
        <f t="shared" ref="DG20:DG30" si="51">IF((1-($DI$2-CD$2)/$C20)&gt;0,(1-($DI$2-CD$2)/$C20),0)</f>
        <v>0.96666666666666667</v>
      </c>
      <c r="DH20" s="333">
        <f t="shared" ref="DH20:DH31" si="52">IF((1-($DI$2-CH$2)/$C20)&gt;0,(1-($DI$2-CH$2)/$C20),0)</f>
        <v>1</v>
      </c>
      <c r="DI20" s="334">
        <f t="shared" si="28"/>
        <v>32825582.580206122</v>
      </c>
      <c r="DJ20" s="334">
        <f t="shared" si="29"/>
        <v>20319163.888809633</v>
      </c>
      <c r="DK20" s="334">
        <f t="shared" ref="DK20:DK31" si="53">(D20-E20)*CM20+((G20-H20-(I20-J20))*G$61)*CN20+((K20-L20-(M20-N20))*K$61)*CO20+((O20-P20-(Q20-R20))*O$61)*CP20+((S20-T20-(U20-V20))*S$61)*CQ20+((W20-X20-(Y20-Z20))*W$61)*CR20+((AA20-AB20-(AC20-AD20))*AA$61)*CS20+((AE20-AF20-(AG20-AH20))*AE$61)*CT20+((AI20-AJ20-(AK20-AL20))*AI$61)*CU20+((AM20-AN20-(AO20-AP20))*$AM$61)*CV20+((AQ20-AR20-(AS20-AT20))*$AQ$61)*CW20+((AU20-AV20-(AW20-AX20))*$AU$61)*CX20+((AY20-AZ20-(BA20-BB20))*$AY$61)*CY20+((BC20-BD20-(BE20-BF20))*$BC$61)*CZ20+((BJ20-BK20-(BL20-BM20))*$BJ$61)*DB20+(BG20-BH20)*DA20+((BN20-BO20-(BP20-BQ20))*$BN$61)*DC20+((BR20-BS20-(BT20-BU20))*$BR$61)*DD20+((BV20-BW20-(BX20-BY20))*$BV$61)*DE20+((BZ20-CA20-(CB20-CC20))*$BZ$61)*DF20+((CD20-CE20-(CF20-CG20))*$CD$61)*DG20+((CH20-CI20-(CJ20-CK20))*$CH$61*DH20)</f>
        <v>9981756.4438612256</v>
      </c>
    </row>
    <row r="21" spans="1:115" ht="12.75" customHeight="1" x14ac:dyDescent="0.25">
      <c r="A21" s="335" t="s">
        <v>61</v>
      </c>
      <c r="B21" s="315" t="s">
        <v>22</v>
      </c>
      <c r="C21" s="316">
        <v>30</v>
      </c>
      <c r="D21" s="317">
        <v>149580.82704669842</v>
      </c>
      <c r="E21" s="318"/>
      <c r="F21" s="319">
        <v>82851.686520415911</v>
      </c>
      <c r="G21" s="320">
        <v>0</v>
      </c>
      <c r="H21" s="321"/>
      <c r="I21" s="322"/>
      <c r="J21" s="321"/>
      <c r="K21" s="320">
        <v>0</v>
      </c>
      <c r="L21" s="323">
        <v>0</v>
      </c>
      <c r="M21" s="318"/>
      <c r="N21" s="321"/>
      <c r="O21" s="320">
        <v>0</v>
      </c>
      <c r="P21" s="321"/>
      <c r="Q21" s="322"/>
      <c r="R21" s="321"/>
      <c r="S21" s="319">
        <v>0</v>
      </c>
      <c r="T21" s="323"/>
      <c r="U21" s="319"/>
      <c r="V21" s="325"/>
      <c r="W21" s="326">
        <v>0</v>
      </c>
      <c r="X21" s="326">
        <v>0</v>
      </c>
      <c r="Y21" s="326"/>
      <c r="Z21" s="327"/>
      <c r="AA21" s="326">
        <v>133700</v>
      </c>
      <c r="AB21" s="329">
        <v>133700</v>
      </c>
      <c r="AC21" s="319"/>
      <c r="AD21" s="327"/>
      <c r="AE21" s="326">
        <v>0</v>
      </c>
      <c r="AF21" s="326">
        <v>0</v>
      </c>
      <c r="AG21" s="330"/>
      <c r="AH21" s="327"/>
      <c r="AI21" s="319">
        <v>0</v>
      </c>
      <c r="AJ21" s="319">
        <v>0</v>
      </c>
      <c r="AK21" s="319"/>
      <c r="AL21" s="325"/>
      <c r="AM21" s="326">
        <v>0</v>
      </c>
      <c r="AN21" s="326">
        <v>0</v>
      </c>
      <c r="AO21" s="326"/>
      <c r="AP21" s="327"/>
      <c r="AQ21" s="326">
        <v>0</v>
      </c>
      <c r="AR21" s="331">
        <v>0</v>
      </c>
      <c r="AS21" s="331"/>
      <c r="AT21" s="331"/>
      <c r="AU21" s="331">
        <v>0</v>
      </c>
      <c r="AV21" s="331">
        <v>0</v>
      </c>
      <c r="AW21" s="331"/>
      <c r="AX21" s="331"/>
      <c r="AY21" s="331">
        <v>0</v>
      </c>
      <c r="AZ21" s="331">
        <v>0</v>
      </c>
      <c r="BA21" s="331"/>
      <c r="BB21" s="331"/>
      <c r="BC21" s="356">
        <v>0</v>
      </c>
      <c r="BD21" s="331"/>
      <c r="BE21" s="331"/>
      <c r="BF21" s="331"/>
      <c r="BG21" s="331">
        <v>70991.850000000006</v>
      </c>
      <c r="BH21" s="331"/>
      <c r="BI21" s="331">
        <v>49694.3</v>
      </c>
      <c r="BJ21" s="331">
        <v>0</v>
      </c>
      <c r="BK21" s="331"/>
      <c r="BL21" s="331"/>
      <c r="BM21" s="331"/>
      <c r="BN21" s="290">
        <v>0</v>
      </c>
      <c r="BO21" s="290"/>
      <c r="BP21" s="290"/>
      <c r="BQ21" s="290"/>
      <c r="BR21" s="290">
        <v>0</v>
      </c>
      <c r="BS21" s="290"/>
      <c r="BT21" s="290"/>
      <c r="BU21" s="290"/>
      <c r="BV21" s="290">
        <v>0</v>
      </c>
      <c r="BW21" s="290">
        <v>0</v>
      </c>
      <c r="BX21" s="290"/>
      <c r="BY21" s="290"/>
      <c r="BZ21" s="290">
        <v>0</v>
      </c>
      <c r="CA21" s="290">
        <v>0</v>
      </c>
      <c r="CB21" s="290"/>
      <c r="CC21" s="290"/>
      <c r="CD21" s="290">
        <v>0</v>
      </c>
      <c r="CE21" s="290">
        <v>0</v>
      </c>
      <c r="CF21" s="290"/>
      <c r="CG21" s="290"/>
      <c r="CH21" s="290">
        <v>0</v>
      </c>
      <c r="CI21" s="290">
        <v>0</v>
      </c>
      <c r="CJ21" s="290"/>
      <c r="CK21" s="290"/>
      <c r="CL21" s="321">
        <f t="shared" si="30"/>
        <v>1987.6167726485194</v>
      </c>
      <c r="CM21" s="333">
        <f t="shared" si="31"/>
        <v>0</v>
      </c>
      <c r="CN21" s="333">
        <f t="shared" si="32"/>
        <v>0.3666666666666667</v>
      </c>
      <c r="CO21" s="333">
        <f t="shared" si="33"/>
        <v>0.4</v>
      </c>
      <c r="CP21" s="333">
        <f t="shared" si="34"/>
        <v>0.43333333333333335</v>
      </c>
      <c r="CQ21" s="333">
        <f t="shared" si="35"/>
        <v>0.46666666666666667</v>
      </c>
      <c r="CR21" s="333">
        <f t="shared" si="36"/>
        <v>0.5</v>
      </c>
      <c r="CS21" s="333">
        <f t="shared" si="37"/>
        <v>0.53333333333333333</v>
      </c>
      <c r="CT21" s="333">
        <f t="shared" si="38"/>
        <v>0.56666666666666665</v>
      </c>
      <c r="CU21" s="333">
        <f t="shared" si="39"/>
        <v>0.6</v>
      </c>
      <c r="CV21" s="333">
        <f t="shared" si="40"/>
        <v>0.6333333333333333</v>
      </c>
      <c r="CW21" s="333">
        <f t="shared" si="41"/>
        <v>0.66666666666666674</v>
      </c>
      <c r="CX21" s="333">
        <f t="shared" si="42"/>
        <v>0.7</v>
      </c>
      <c r="CY21" s="333">
        <f t="shared" si="43"/>
        <v>0.73333333333333339</v>
      </c>
      <c r="CZ21" s="333">
        <f t="shared" si="44"/>
        <v>0.76666666666666661</v>
      </c>
      <c r="DA21" s="333">
        <f t="shared" si="45"/>
        <v>0.48333340376395129</v>
      </c>
      <c r="DB21" s="333">
        <f t="shared" si="46"/>
        <v>0.8</v>
      </c>
      <c r="DC21" s="333">
        <f t="shared" si="47"/>
        <v>0.83333333333333337</v>
      </c>
      <c r="DD21" s="333">
        <f t="shared" si="48"/>
        <v>0.8666666666666667</v>
      </c>
      <c r="DE21" s="333">
        <f t="shared" si="49"/>
        <v>0.9</v>
      </c>
      <c r="DF21" s="333">
        <f t="shared" si="50"/>
        <v>0.93333333333333335</v>
      </c>
      <c r="DG21" s="333">
        <f t="shared" si="51"/>
        <v>0.96666666666666667</v>
      </c>
      <c r="DH21" s="333">
        <f t="shared" si="52"/>
        <v>1</v>
      </c>
      <c r="DI21" s="334">
        <f t="shared" si="28"/>
        <v>220572.67704669843</v>
      </c>
      <c r="DJ21" s="334">
        <f t="shared" si="29"/>
        <v>149580.82704669842</v>
      </c>
      <c r="DK21" s="334">
        <f t="shared" si="53"/>
        <v>34312.732499999867</v>
      </c>
    </row>
    <row r="22" spans="1:115" ht="12.75" customHeight="1" x14ac:dyDescent="0.25">
      <c r="A22" s="335"/>
      <c r="B22" s="315" t="s">
        <v>23</v>
      </c>
      <c r="C22" s="316">
        <v>30</v>
      </c>
      <c r="D22" s="317">
        <v>0</v>
      </c>
      <c r="E22" s="318"/>
      <c r="F22" s="319">
        <v>0</v>
      </c>
      <c r="G22" s="320">
        <v>0</v>
      </c>
      <c r="H22" s="321"/>
      <c r="I22" s="322"/>
      <c r="J22" s="321"/>
      <c r="K22" s="320">
        <v>7945</v>
      </c>
      <c r="L22" s="323">
        <v>0</v>
      </c>
      <c r="M22" s="318"/>
      <c r="N22" s="321"/>
      <c r="O22" s="320">
        <v>11509.8</v>
      </c>
      <c r="P22" s="321"/>
      <c r="Q22" s="322"/>
      <c r="R22" s="321"/>
      <c r="S22" s="319">
        <v>67325</v>
      </c>
      <c r="T22" s="323"/>
      <c r="U22" s="319"/>
      <c r="V22" s="325"/>
      <c r="W22" s="326">
        <v>56607.360000000001</v>
      </c>
      <c r="X22" s="326">
        <v>0</v>
      </c>
      <c r="Y22" s="326"/>
      <c r="Z22" s="327"/>
      <c r="AA22" s="326">
        <v>26335</v>
      </c>
      <c r="AB22" s="329">
        <v>0</v>
      </c>
      <c r="AC22" s="319"/>
      <c r="AD22" s="327"/>
      <c r="AE22" s="326">
        <v>117016</v>
      </c>
      <c r="AF22" s="326">
        <v>0</v>
      </c>
      <c r="AG22" s="330"/>
      <c r="AH22" s="327"/>
      <c r="AI22" s="319">
        <v>177430.08</v>
      </c>
      <c r="AJ22" s="319">
        <v>0</v>
      </c>
      <c r="AK22" s="319"/>
      <c r="AL22" s="325"/>
      <c r="AM22" s="326">
        <v>419033.79200000002</v>
      </c>
      <c r="AN22" s="326">
        <v>0</v>
      </c>
      <c r="AO22" s="326"/>
      <c r="AP22" s="327"/>
      <c r="AQ22" s="326">
        <v>15078.509999999998</v>
      </c>
      <c r="AR22" s="331">
        <v>0</v>
      </c>
      <c r="AS22" s="331"/>
      <c r="AT22" s="331"/>
      <c r="AU22" s="331">
        <v>12954.53</v>
      </c>
      <c r="AV22" s="331">
        <v>0</v>
      </c>
      <c r="AW22" s="331"/>
      <c r="AX22" s="331"/>
      <c r="AY22" s="331">
        <v>358492.62</v>
      </c>
      <c r="AZ22" s="331">
        <v>0</v>
      </c>
      <c r="BA22" s="331"/>
      <c r="BB22" s="331"/>
      <c r="BC22" s="356">
        <v>169979.92999999996</v>
      </c>
      <c r="BD22" s="331"/>
      <c r="BE22" s="331"/>
      <c r="BF22" s="331"/>
      <c r="BG22" s="331"/>
      <c r="BH22" s="331"/>
      <c r="BI22" s="331"/>
      <c r="BJ22" s="331">
        <v>60736.35</v>
      </c>
      <c r="BK22" s="331"/>
      <c r="BL22" s="331"/>
      <c r="BM22" s="331"/>
      <c r="BN22" s="290">
        <v>71213.51999999999</v>
      </c>
      <c r="BO22" s="290"/>
      <c r="BP22" s="290"/>
      <c r="BQ22" s="290"/>
      <c r="BR22" s="290">
        <v>486356.0199999999</v>
      </c>
      <c r="BS22" s="290"/>
      <c r="BT22" s="290"/>
      <c r="BU22" s="290"/>
      <c r="BV22" s="290">
        <v>1535224.0900000003</v>
      </c>
      <c r="BW22" s="290">
        <v>0</v>
      </c>
      <c r="BX22" s="290"/>
      <c r="BY22" s="290"/>
      <c r="BZ22" s="290">
        <v>657739.24999999977</v>
      </c>
      <c r="CA22" s="290">
        <v>3997.9773438433999</v>
      </c>
      <c r="CB22" s="290"/>
      <c r="CC22" s="290"/>
      <c r="CD22" s="290">
        <v>271235.15000000002</v>
      </c>
      <c r="CE22" s="290">
        <v>0</v>
      </c>
      <c r="CF22" s="290"/>
      <c r="CG22" s="290"/>
      <c r="CH22" s="290">
        <v>651665.85</v>
      </c>
      <c r="CI22" s="290">
        <v>4568.1160339999997</v>
      </c>
      <c r="CJ22" s="290"/>
      <c r="CK22" s="290"/>
      <c r="CL22" s="321">
        <f t="shared" si="30"/>
        <v>0</v>
      </c>
      <c r="CM22" s="333">
        <f t="shared" si="31"/>
        <v>0</v>
      </c>
      <c r="CN22" s="333">
        <f t="shared" si="32"/>
        <v>0.3666666666666667</v>
      </c>
      <c r="CO22" s="333">
        <f t="shared" si="33"/>
        <v>0.4</v>
      </c>
      <c r="CP22" s="333">
        <f t="shared" si="34"/>
        <v>0.43333333333333335</v>
      </c>
      <c r="CQ22" s="333">
        <f t="shared" si="35"/>
        <v>0.46666666666666667</v>
      </c>
      <c r="CR22" s="333">
        <f t="shared" si="36"/>
        <v>0.5</v>
      </c>
      <c r="CS22" s="333">
        <f t="shared" si="37"/>
        <v>0.53333333333333333</v>
      </c>
      <c r="CT22" s="333">
        <f t="shared" si="38"/>
        <v>0.56666666666666665</v>
      </c>
      <c r="CU22" s="333">
        <f t="shared" si="39"/>
        <v>0.6</v>
      </c>
      <c r="CV22" s="333">
        <f t="shared" si="40"/>
        <v>0.6333333333333333</v>
      </c>
      <c r="CW22" s="333">
        <f t="shared" si="41"/>
        <v>0.66666666666666674</v>
      </c>
      <c r="CX22" s="333">
        <f t="shared" si="42"/>
        <v>0.7</v>
      </c>
      <c r="CY22" s="333">
        <f t="shared" si="43"/>
        <v>0.73333333333333339</v>
      </c>
      <c r="CZ22" s="333">
        <f t="shared" si="44"/>
        <v>0.76666666666666661</v>
      </c>
      <c r="DA22" s="333">
        <f t="shared" si="45"/>
        <v>0</v>
      </c>
      <c r="DB22" s="333">
        <f t="shared" si="46"/>
        <v>0.8</v>
      </c>
      <c r="DC22" s="333">
        <f t="shared" si="47"/>
        <v>0.83333333333333337</v>
      </c>
      <c r="DD22" s="333">
        <f t="shared" si="48"/>
        <v>0.8666666666666667</v>
      </c>
      <c r="DE22" s="333">
        <f t="shared" si="49"/>
        <v>0.9</v>
      </c>
      <c r="DF22" s="333">
        <f t="shared" si="50"/>
        <v>0.93333333333333335</v>
      </c>
      <c r="DG22" s="333">
        <f t="shared" si="51"/>
        <v>0.96666666666666667</v>
      </c>
      <c r="DH22" s="333">
        <f t="shared" si="52"/>
        <v>1</v>
      </c>
      <c r="DI22" s="334">
        <f t="shared" si="28"/>
        <v>4321775.4883257719</v>
      </c>
      <c r="DJ22" s="334">
        <f t="shared" si="29"/>
        <v>0</v>
      </c>
      <c r="DK22" s="334">
        <f t="shared" si="53"/>
        <v>3682163.0794887384</v>
      </c>
    </row>
    <row r="23" spans="1:115" ht="12.75" customHeight="1" x14ac:dyDescent="0.25">
      <c r="A23" s="335"/>
      <c r="B23" s="315" t="s">
        <v>24</v>
      </c>
      <c r="C23" s="316">
        <v>30</v>
      </c>
      <c r="D23" s="317">
        <v>0</v>
      </c>
      <c r="E23" s="318"/>
      <c r="F23" s="319">
        <v>0</v>
      </c>
      <c r="G23" s="320">
        <v>441.38</v>
      </c>
      <c r="H23" s="321"/>
      <c r="I23" s="322"/>
      <c r="J23" s="321"/>
      <c r="K23" s="320">
        <v>2038.59</v>
      </c>
      <c r="L23" s="323">
        <v>0</v>
      </c>
      <c r="M23" s="318"/>
      <c r="N23" s="321"/>
      <c r="O23" s="320">
        <v>30511.68</v>
      </c>
      <c r="P23" s="321"/>
      <c r="Q23" s="322"/>
      <c r="R23" s="321"/>
      <c r="S23" s="319">
        <v>47275</v>
      </c>
      <c r="T23" s="323"/>
      <c r="U23" s="319"/>
      <c r="V23" s="325"/>
      <c r="W23" s="326">
        <v>29162</v>
      </c>
      <c r="X23" s="326">
        <v>0</v>
      </c>
      <c r="Y23" s="326"/>
      <c r="Z23" s="327"/>
      <c r="AA23" s="326">
        <v>227643</v>
      </c>
      <c r="AB23" s="329">
        <v>0</v>
      </c>
      <c r="AC23" s="319"/>
      <c r="AD23" s="327"/>
      <c r="AE23" s="326">
        <v>30843</v>
      </c>
      <c r="AF23" s="326">
        <v>0</v>
      </c>
      <c r="AG23" s="330"/>
      <c r="AH23" s="327"/>
      <c r="AI23" s="319">
        <v>13617.82</v>
      </c>
      <c r="AJ23" s="319">
        <v>0</v>
      </c>
      <c r="AK23" s="319"/>
      <c r="AL23" s="325"/>
      <c r="AM23" s="326">
        <v>558680.16</v>
      </c>
      <c r="AN23" s="326">
        <v>0</v>
      </c>
      <c r="AO23" s="326"/>
      <c r="AP23" s="327"/>
      <c r="AQ23" s="326">
        <v>84681.959999999992</v>
      </c>
      <c r="AR23" s="331">
        <v>0</v>
      </c>
      <c r="AS23" s="331"/>
      <c r="AT23" s="331"/>
      <c r="AU23" s="331">
        <v>36276.959999999999</v>
      </c>
      <c r="AV23" s="331">
        <v>0</v>
      </c>
      <c r="AW23" s="331"/>
      <c r="AX23" s="331"/>
      <c r="AY23" s="331">
        <v>29336.300000000003</v>
      </c>
      <c r="AZ23" s="331">
        <v>0</v>
      </c>
      <c r="BA23" s="331"/>
      <c r="BB23" s="331"/>
      <c r="BC23" s="356">
        <v>67647.91</v>
      </c>
      <c r="BD23" s="331"/>
      <c r="BE23" s="331"/>
      <c r="BF23" s="331"/>
      <c r="BG23" s="331"/>
      <c r="BH23" s="331"/>
      <c r="BI23" s="331"/>
      <c r="BJ23" s="331">
        <v>510773.58</v>
      </c>
      <c r="BK23" s="331"/>
      <c r="BL23" s="331"/>
      <c r="BM23" s="331"/>
      <c r="BN23" s="290">
        <v>394867.46</v>
      </c>
      <c r="BO23" s="290"/>
      <c r="BP23" s="290"/>
      <c r="BQ23" s="290"/>
      <c r="BR23" s="290">
        <v>262682.09000000003</v>
      </c>
      <c r="BS23" s="290"/>
      <c r="BT23" s="290"/>
      <c r="BU23" s="290"/>
      <c r="BV23" s="290">
        <v>210714.28000000003</v>
      </c>
      <c r="BW23" s="290">
        <v>0</v>
      </c>
      <c r="BX23" s="290"/>
      <c r="BY23" s="290"/>
      <c r="BZ23" s="290">
        <v>1975553.6500000001</v>
      </c>
      <c r="CA23" s="290">
        <v>20974.377561476798</v>
      </c>
      <c r="CB23" s="290"/>
      <c r="CC23" s="290"/>
      <c r="CD23" s="290">
        <v>141470.44</v>
      </c>
      <c r="CE23" s="290">
        <v>1272.1569507044701</v>
      </c>
      <c r="CF23" s="290"/>
      <c r="CG23" s="290"/>
      <c r="CH23" s="290">
        <v>228894.65</v>
      </c>
      <c r="CI23" s="290">
        <v>0</v>
      </c>
      <c r="CJ23" s="290"/>
      <c r="CK23" s="290"/>
      <c r="CL23" s="321">
        <f t="shared" si="30"/>
        <v>0</v>
      </c>
      <c r="CM23" s="333">
        <f t="shared" si="31"/>
        <v>0</v>
      </c>
      <c r="CN23" s="333">
        <f t="shared" si="32"/>
        <v>0.3666666666666667</v>
      </c>
      <c r="CO23" s="333">
        <f t="shared" si="33"/>
        <v>0.4</v>
      </c>
      <c r="CP23" s="333">
        <f t="shared" si="34"/>
        <v>0.43333333333333335</v>
      </c>
      <c r="CQ23" s="333">
        <f t="shared" si="35"/>
        <v>0.46666666666666667</v>
      </c>
      <c r="CR23" s="333">
        <f t="shared" si="36"/>
        <v>0.5</v>
      </c>
      <c r="CS23" s="333">
        <f t="shared" si="37"/>
        <v>0.53333333333333333</v>
      </c>
      <c r="CT23" s="333">
        <f t="shared" si="38"/>
        <v>0.56666666666666665</v>
      </c>
      <c r="CU23" s="333">
        <f t="shared" si="39"/>
        <v>0.6</v>
      </c>
      <c r="CV23" s="333">
        <f t="shared" si="40"/>
        <v>0.6333333333333333</v>
      </c>
      <c r="CW23" s="333">
        <f t="shared" si="41"/>
        <v>0.66666666666666674</v>
      </c>
      <c r="CX23" s="333">
        <f t="shared" si="42"/>
        <v>0.7</v>
      </c>
      <c r="CY23" s="333">
        <f t="shared" si="43"/>
        <v>0.73333333333333339</v>
      </c>
      <c r="CZ23" s="333">
        <f t="shared" si="44"/>
        <v>0.76666666666666661</v>
      </c>
      <c r="DA23" s="333">
        <f t="shared" si="45"/>
        <v>0</v>
      </c>
      <c r="DB23" s="333">
        <f t="shared" si="46"/>
        <v>0.8</v>
      </c>
      <c r="DC23" s="333">
        <f t="shared" si="47"/>
        <v>0.83333333333333337</v>
      </c>
      <c r="DD23" s="333">
        <f t="shared" si="48"/>
        <v>0.8666666666666667</v>
      </c>
      <c r="DE23" s="333">
        <f t="shared" si="49"/>
        <v>0.9</v>
      </c>
      <c r="DF23" s="333">
        <f t="shared" si="50"/>
        <v>0.93333333333333335</v>
      </c>
      <c r="DG23" s="333">
        <f t="shared" si="51"/>
        <v>0.96666666666666667</v>
      </c>
      <c r="DH23" s="333">
        <f t="shared" si="52"/>
        <v>1</v>
      </c>
      <c r="DI23" s="334">
        <f t="shared" si="28"/>
        <v>4088806.4077097927</v>
      </c>
      <c r="DJ23" s="334">
        <f t="shared" si="29"/>
        <v>0</v>
      </c>
      <c r="DK23" s="334">
        <f t="shared" si="53"/>
        <v>3429786.0657064631</v>
      </c>
    </row>
    <row r="24" spans="1:115" ht="12.75" customHeight="1" x14ac:dyDescent="0.25">
      <c r="A24" s="335"/>
      <c r="B24" s="315" t="s">
        <v>25</v>
      </c>
      <c r="C24" s="316">
        <v>30</v>
      </c>
      <c r="D24" s="317">
        <v>0</v>
      </c>
      <c r="E24" s="318"/>
      <c r="F24" s="319">
        <v>0</v>
      </c>
      <c r="G24" s="320">
        <v>0</v>
      </c>
      <c r="H24" s="321"/>
      <c r="I24" s="322"/>
      <c r="J24" s="321"/>
      <c r="K24" s="320">
        <v>0</v>
      </c>
      <c r="L24" s="323">
        <v>0</v>
      </c>
      <c r="M24" s="318"/>
      <c r="N24" s="321"/>
      <c r="O24" s="320">
        <v>0</v>
      </c>
      <c r="P24" s="321"/>
      <c r="Q24" s="322"/>
      <c r="R24" s="321"/>
      <c r="S24" s="319">
        <v>0</v>
      </c>
      <c r="T24" s="323"/>
      <c r="U24" s="319"/>
      <c r="V24" s="325"/>
      <c r="W24" s="326">
        <v>0</v>
      </c>
      <c r="X24" s="326">
        <v>0</v>
      </c>
      <c r="Y24" s="326"/>
      <c r="Z24" s="327"/>
      <c r="AA24" s="326">
        <v>0</v>
      </c>
      <c r="AB24" s="329">
        <v>0</v>
      </c>
      <c r="AC24" s="319"/>
      <c r="AD24" s="327"/>
      <c r="AE24" s="326">
        <v>0</v>
      </c>
      <c r="AF24" s="326">
        <v>0</v>
      </c>
      <c r="AG24" s="330"/>
      <c r="AH24" s="327"/>
      <c r="AI24" s="319">
        <v>0</v>
      </c>
      <c r="AJ24" s="319">
        <v>0</v>
      </c>
      <c r="AK24" s="319"/>
      <c r="AL24" s="325"/>
      <c r="AM24" s="326">
        <v>0</v>
      </c>
      <c r="AN24" s="326">
        <v>0</v>
      </c>
      <c r="AO24" s="326"/>
      <c r="AP24" s="327"/>
      <c r="AQ24" s="326">
        <v>0</v>
      </c>
      <c r="AR24" s="331">
        <v>0</v>
      </c>
      <c r="AS24" s="331"/>
      <c r="AT24" s="331"/>
      <c r="AU24" s="331">
        <v>0</v>
      </c>
      <c r="AV24" s="331">
        <v>0</v>
      </c>
      <c r="AW24" s="331"/>
      <c r="AX24" s="331"/>
      <c r="AY24" s="331">
        <v>0</v>
      </c>
      <c r="AZ24" s="331">
        <v>0</v>
      </c>
      <c r="BA24" s="331"/>
      <c r="BB24" s="331"/>
      <c r="BC24" s="356">
        <v>0</v>
      </c>
      <c r="BD24" s="331"/>
      <c r="BE24" s="331"/>
      <c r="BF24" s="331"/>
      <c r="BG24" s="331"/>
      <c r="BH24" s="331"/>
      <c r="BI24" s="331"/>
      <c r="BJ24" s="331">
        <v>0</v>
      </c>
      <c r="BK24" s="331"/>
      <c r="BL24" s="331"/>
      <c r="BM24" s="331"/>
      <c r="BN24" s="290">
        <v>0</v>
      </c>
      <c r="BO24" s="290"/>
      <c r="BP24" s="290"/>
      <c r="BQ24" s="290"/>
      <c r="BR24" s="290">
        <v>0</v>
      </c>
      <c r="BS24" s="290"/>
      <c r="BT24" s="290"/>
      <c r="BU24" s="290"/>
      <c r="BV24" s="290">
        <v>0</v>
      </c>
      <c r="BW24" s="290">
        <v>0</v>
      </c>
      <c r="BX24" s="290"/>
      <c r="BY24" s="290"/>
      <c r="BZ24" s="290">
        <v>0</v>
      </c>
      <c r="CA24" s="290">
        <v>0</v>
      </c>
      <c r="CB24" s="290"/>
      <c r="CC24" s="290"/>
      <c r="CD24" s="290">
        <v>0</v>
      </c>
      <c r="CE24" s="290">
        <v>0</v>
      </c>
      <c r="CF24" s="290"/>
      <c r="CG24" s="290"/>
      <c r="CH24" s="290">
        <v>0</v>
      </c>
      <c r="CI24" s="290">
        <v>0</v>
      </c>
      <c r="CJ24" s="290"/>
      <c r="CK24" s="290"/>
      <c r="CL24" s="321">
        <f t="shared" si="30"/>
        <v>0</v>
      </c>
      <c r="CM24" s="333">
        <f t="shared" si="31"/>
        <v>0</v>
      </c>
      <c r="CN24" s="333">
        <f t="shared" si="32"/>
        <v>0.3666666666666667</v>
      </c>
      <c r="CO24" s="333">
        <f t="shared" si="33"/>
        <v>0.4</v>
      </c>
      <c r="CP24" s="333">
        <f t="shared" si="34"/>
        <v>0.43333333333333335</v>
      </c>
      <c r="CQ24" s="333">
        <f t="shared" si="35"/>
        <v>0.46666666666666667</v>
      </c>
      <c r="CR24" s="333">
        <f t="shared" si="36"/>
        <v>0.5</v>
      </c>
      <c r="CS24" s="333">
        <f t="shared" si="37"/>
        <v>0.53333333333333333</v>
      </c>
      <c r="CT24" s="333">
        <f t="shared" si="38"/>
        <v>0.56666666666666665</v>
      </c>
      <c r="CU24" s="333">
        <f t="shared" si="39"/>
        <v>0.6</v>
      </c>
      <c r="CV24" s="333">
        <f t="shared" si="40"/>
        <v>0.6333333333333333</v>
      </c>
      <c r="CW24" s="333">
        <f t="shared" si="41"/>
        <v>0.66666666666666674</v>
      </c>
      <c r="CX24" s="333">
        <f t="shared" si="42"/>
        <v>0.7</v>
      </c>
      <c r="CY24" s="333">
        <f t="shared" si="43"/>
        <v>0.73333333333333339</v>
      </c>
      <c r="CZ24" s="333">
        <f t="shared" si="44"/>
        <v>0.76666666666666661</v>
      </c>
      <c r="DA24" s="333">
        <f t="shared" si="45"/>
        <v>0</v>
      </c>
      <c r="DB24" s="333">
        <f t="shared" si="46"/>
        <v>0.8</v>
      </c>
      <c r="DC24" s="333">
        <f t="shared" si="47"/>
        <v>0.83333333333333337</v>
      </c>
      <c r="DD24" s="333">
        <f t="shared" si="48"/>
        <v>0.8666666666666667</v>
      </c>
      <c r="DE24" s="333">
        <f t="shared" si="49"/>
        <v>0.9</v>
      </c>
      <c r="DF24" s="333">
        <f t="shared" si="50"/>
        <v>0.93333333333333335</v>
      </c>
      <c r="DG24" s="333">
        <f t="shared" si="51"/>
        <v>0.96666666666666667</v>
      </c>
      <c r="DH24" s="333">
        <f t="shared" si="52"/>
        <v>1</v>
      </c>
      <c r="DI24" s="334">
        <f t="shared" si="28"/>
        <v>0</v>
      </c>
      <c r="DJ24" s="334">
        <f t="shared" si="29"/>
        <v>0</v>
      </c>
      <c r="DK24" s="334">
        <f t="shared" si="53"/>
        <v>0</v>
      </c>
    </row>
    <row r="25" spans="1:115" ht="12.75" customHeight="1" x14ac:dyDescent="0.25">
      <c r="A25" s="335"/>
      <c r="B25" s="315" t="s">
        <v>26</v>
      </c>
      <c r="C25" s="316">
        <v>30</v>
      </c>
      <c r="D25" s="317">
        <v>5501374.3444445133</v>
      </c>
      <c r="E25" s="318"/>
      <c r="F25" s="319">
        <v>2211179.1957926331</v>
      </c>
      <c r="G25" s="320">
        <v>246248.65</v>
      </c>
      <c r="H25" s="321"/>
      <c r="I25" s="322"/>
      <c r="J25" s="321"/>
      <c r="K25" s="320">
        <v>0</v>
      </c>
      <c r="L25" s="323">
        <v>0</v>
      </c>
      <c r="M25" s="318"/>
      <c r="N25" s="321"/>
      <c r="O25" s="320">
        <v>73556.03</v>
      </c>
      <c r="P25" s="321"/>
      <c r="Q25" s="322"/>
      <c r="R25" s="321"/>
      <c r="S25" s="319">
        <v>34597</v>
      </c>
      <c r="T25" s="323"/>
      <c r="U25" s="319"/>
      <c r="V25" s="325"/>
      <c r="W25" s="326">
        <v>13668.23</v>
      </c>
      <c r="X25" s="326">
        <v>0</v>
      </c>
      <c r="Y25" s="326"/>
      <c r="Z25" s="327"/>
      <c r="AA25" s="326">
        <v>92007</v>
      </c>
      <c r="AB25" s="329">
        <v>0</v>
      </c>
      <c r="AC25" s="319"/>
      <c r="AD25" s="327"/>
      <c r="AE25" s="326">
        <v>14698</v>
      </c>
      <c r="AF25" s="326">
        <v>0</v>
      </c>
      <c r="AG25" s="330"/>
      <c r="AH25" s="327"/>
      <c r="AI25" s="319">
        <v>1190332.1199999999</v>
      </c>
      <c r="AJ25" s="319">
        <v>0</v>
      </c>
      <c r="AK25" s="319"/>
      <c r="AL25" s="325"/>
      <c r="AM25" s="326">
        <v>61476</v>
      </c>
      <c r="AN25" s="326">
        <v>0</v>
      </c>
      <c r="AO25" s="326"/>
      <c r="AP25" s="327"/>
      <c r="AQ25" s="326">
        <v>736704.62000000011</v>
      </c>
      <c r="AR25" s="331">
        <v>0</v>
      </c>
      <c r="AS25" s="331"/>
      <c r="AT25" s="331"/>
      <c r="AU25" s="331">
        <v>142747</v>
      </c>
      <c r="AV25" s="331">
        <v>0</v>
      </c>
      <c r="AW25" s="331"/>
      <c r="AX25" s="331"/>
      <c r="AY25" s="331">
        <v>72665.05</v>
      </c>
      <c r="AZ25" s="331">
        <v>0</v>
      </c>
      <c r="BA25" s="331"/>
      <c r="BB25" s="331"/>
      <c r="BC25" s="356">
        <v>78936.5</v>
      </c>
      <c r="BD25" s="331"/>
      <c r="BE25" s="331"/>
      <c r="BF25" s="331"/>
      <c r="BG25" s="331">
        <f>+BH25+240211+130000</f>
        <v>407143.26455643016</v>
      </c>
      <c r="BH25" s="331">
        <v>36932.264556430164</v>
      </c>
      <c r="BI25" s="331">
        <f>27851.51+106065.67+91000</f>
        <v>224917.18</v>
      </c>
      <c r="BJ25" s="331">
        <v>52811.259999999995</v>
      </c>
      <c r="BK25" s="331"/>
      <c r="BL25" s="331"/>
      <c r="BM25" s="331"/>
      <c r="BN25" s="290">
        <v>0</v>
      </c>
      <c r="BO25" s="290"/>
      <c r="BP25" s="290"/>
      <c r="BQ25" s="290"/>
      <c r="BR25" s="290">
        <v>1977175</v>
      </c>
      <c r="BS25" s="290"/>
      <c r="BT25" s="290"/>
      <c r="BU25" s="290"/>
      <c r="BV25" s="290">
        <v>40622.42</v>
      </c>
      <c r="BW25" s="290">
        <v>0</v>
      </c>
      <c r="BX25" s="290"/>
      <c r="BY25" s="290"/>
      <c r="BZ25" s="290">
        <v>80702.34</v>
      </c>
      <c r="CA25" s="290">
        <v>0</v>
      </c>
      <c r="CB25" s="290"/>
      <c r="CC25" s="290"/>
      <c r="CD25" s="290">
        <v>30490.800000000003</v>
      </c>
      <c r="CE25" s="290">
        <v>0</v>
      </c>
      <c r="CF25" s="290"/>
      <c r="CG25" s="290"/>
      <c r="CH25" s="290">
        <v>0</v>
      </c>
      <c r="CI25" s="290">
        <v>0</v>
      </c>
      <c r="CJ25" s="290"/>
      <c r="CK25" s="290"/>
      <c r="CL25" s="321">
        <f t="shared" si="30"/>
        <v>1983.0579643777135</v>
      </c>
      <c r="CM25" s="333">
        <f t="shared" si="31"/>
        <v>0</v>
      </c>
      <c r="CN25" s="333">
        <f t="shared" si="32"/>
        <v>0.3666666666666667</v>
      </c>
      <c r="CO25" s="333">
        <f t="shared" si="33"/>
        <v>0.4</v>
      </c>
      <c r="CP25" s="333">
        <f t="shared" si="34"/>
        <v>0.43333333333333335</v>
      </c>
      <c r="CQ25" s="333">
        <f t="shared" si="35"/>
        <v>0.46666666666666667</v>
      </c>
      <c r="CR25" s="333">
        <f t="shared" si="36"/>
        <v>0.5</v>
      </c>
      <c r="CS25" s="333">
        <f t="shared" si="37"/>
        <v>0.53333333333333333</v>
      </c>
      <c r="CT25" s="333">
        <f t="shared" si="38"/>
        <v>0.56666666666666665</v>
      </c>
      <c r="CU25" s="333">
        <f t="shared" si="39"/>
        <v>0.6</v>
      </c>
      <c r="CV25" s="333">
        <f t="shared" si="40"/>
        <v>0.6333333333333333</v>
      </c>
      <c r="CW25" s="333">
        <f t="shared" si="41"/>
        <v>0.66666666666666674</v>
      </c>
      <c r="CX25" s="333">
        <f t="shared" si="42"/>
        <v>0.7</v>
      </c>
      <c r="CY25" s="333">
        <f t="shared" si="43"/>
        <v>0.73333333333333339</v>
      </c>
      <c r="CZ25" s="333">
        <f t="shared" si="44"/>
        <v>0.76666666666666661</v>
      </c>
      <c r="DA25" s="333">
        <f t="shared" si="45"/>
        <v>0.3357609419419153</v>
      </c>
      <c r="DB25" s="333">
        <f t="shared" si="46"/>
        <v>0.8</v>
      </c>
      <c r="DC25" s="333">
        <f t="shared" si="47"/>
        <v>0.83333333333333337</v>
      </c>
      <c r="DD25" s="333">
        <f t="shared" si="48"/>
        <v>0.8666666666666667</v>
      </c>
      <c r="DE25" s="333">
        <f t="shared" si="49"/>
        <v>0.9</v>
      </c>
      <c r="DF25" s="333">
        <f t="shared" si="50"/>
        <v>0.93333333333333335</v>
      </c>
      <c r="DG25" s="333">
        <f t="shared" si="51"/>
        <v>0.96666666666666667</v>
      </c>
      <c r="DH25" s="333">
        <f t="shared" si="52"/>
        <v>1</v>
      </c>
      <c r="DI25" s="334">
        <f t="shared" si="28"/>
        <v>10114490.007903956</v>
      </c>
      <c r="DJ25" s="334">
        <f t="shared" si="29"/>
        <v>5501374.3444445133</v>
      </c>
      <c r="DK25" s="334">
        <f t="shared" si="53"/>
        <v>3158573.0939428522</v>
      </c>
    </row>
    <row r="26" spans="1:115" ht="12.75" customHeight="1" x14ac:dyDescent="0.25">
      <c r="A26" s="335"/>
      <c r="B26" s="315" t="s">
        <v>27</v>
      </c>
      <c r="C26" s="316">
        <v>30</v>
      </c>
      <c r="D26" s="317">
        <v>0</v>
      </c>
      <c r="E26" s="318"/>
      <c r="F26" s="319">
        <v>0</v>
      </c>
      <c r="G26" s="320">
        <v>0</v>
      </c>
      <c r="H26" s="321"/>
      <c r="I26" s="322"/>
      <c r="J26" s="321"/>
      <c r="K26" s="320">
        <v>0</v>
      </c>
      <c r="L26" s="323">
        <v>0</v>
      </c>
      <c r="M26" s="318"/>
      <c r="N26" s="321"/>
      <c r="O26" s="320">
        <v>0</v>
      </c>
      <c r="P26" s="321"/>
      <c r="Q26" s="322"/>
      <c r="R26" s="321"/>
      <c r="S26" s="319">
        <v>0</v>
      </c>
      <c r="T26" s="323"/>
      <c r="U26" s="319"/>
      <c r="V26" s="325"/>
      <c r="W26" s="326">
        <v>0</v>
      </c>
      <c r="X26" s="326">
        <v>0</v>
      </c>
      <c r="Y26" s="326"/>
      <c r="Z26" s="327"/>
      <c r="AA26" s="326">
        <v>0</v>
      </c>
      <c r="AB26" s="329">
        <v>0</v>
      </c>
      <c r="AC26" s="319"/>
      <c r="AD26" s="327"/>
      <c r="AE26" s="326">
        <v>0</v>
      </c>
      <c r="AF26" s="326">
        <v>0</v>
      </c>
      <c r="AG26" s="330"/>
      <c r="AH26" s="327"/>
      <c r="AI26" s="319">
        <v>0</v>
      </c>
      <c r="AJ26" s="319">
        <v>0</v>
      </c>
      <c r="AK26" s="319"/>
      <c r="AL26" s="325"/>
      <c r="AM26" s="326">
        <v>0</v>
      </c>
      <c r="AN26" s="326">
        <v>0</v>
      </c>
      <c r="AO26" s="326"/>
      <c r="AP26" s="327"/>
      <c r="AQ26" s="326">
        <v>0</v>
      </c>
      <c r="AR26" s="331">
        <v>0</v>
      </c>
      <c r="AS26" s="331"/>
      <c r="AT26" s="331"/>
      <c r="AU26" s="331">
        <v>0</v>
      </c>
      <c r="AV26" s="331">
        <v>0</v>
      </c>
      <c r="AW26" s="331"/>
      <c r="AX26" s="331"/>
      <c r="AY26" s="331">
        <v>0</v>
      </c>
      <c r="AZ26" s="331">
        <v>0</v>
      </c>
      <c r="BA26" s="331"/>
      <c r="BB26" s="331"/>
      <c r="BC26" s="356">
        <v>0</v>
      </c>
      <c r="BD26" s="331"/>
      <c r="BE26" s="331"/>
      <c r="BF26" s="331"/>
      <c r="BG26" s="331">
        <f>+BH26</f>
        <v>2503042.5259680757</v>
      </c>
      <c r="BH26" s="331">
        <v>2503042.5259680757</v>
      </c>
      <c r="BI26" s="331">
        <v>1887604.64</v>
      </c>
      <c r="BJ26" s="331">
        <v>0</v>
      </c>
      <c r="BK26" s="331"/>
      <c r="BL26" s="331"/>
      <c r="BM26" s="331"/>
      <c r="BN26" s="290">
        <v>0</v>
      </c>
      <c r="BO26" s="290"/>
      <c r="BP26" s="290"/>
      <c r="BQ26" s="290"/>
      <c r="BR26" s="290">
        <v>0</v>
      </c>
      <c r="BS26" s="290"/>
      <c r="BT26" s="290"/>
      <c r="BU26" s="290"/>
      <c r="BV26" s="290">
        <v>0</v>
      </c>
      <c r="BW26" s="290">
        <v>0</v>
      </c>
      <c r="BX26" s="290"/>
      <c r="BY26" s="290"/>
      <c r="BZ26" s="290">
        <v>0</v>
      </c>
      <c r="CA26" s="290">
        <v>0</v>
      </c>
      <c r="CB26" s="290"/>
      <c r="CC26" s="290"/>
      <c r="CD26" s="290">
        <v>0</v>
      </c>
      <c r="CE26" s="290">
        <v>0</v>
      </c>
      <c r="CF26" s="290"/>
      <c r="CG26" s="290"/>
      <c r="CH26" s="290">
        <v>0</v>
      </c>
      <c r="CI26" s="290">
        <v>0</v>
      </c>
      <c r="CJ26" s="290"/>
      <c r="CK26" s="290"/>
      <c r="CL26" s="321">
        <f t="shared" si="30"/>
        <v>0</v>
      </c>
      <c r="CM26" s="333">
        <f t="shared" si="31"/>
        <v>0</v>
      </c>
      <c r="CN26" s="333">
        <f t="shared" si="32"/>
        <v>0.3666666666666667</v>
      </c>
      <c r="CO26" s="333">
        <f t="shared" si="33"/>
        <v>0.4</v>
      </c>
      <c r="CP26" s="333">
        <f t="shared" si="34"/>
        <v>0.43333333333333335</v>
      </c>
      <c r="CQ26" s="333">
        <f t="shared" si="35"/>
        <v>0.46666666666666667</v>
      </c>
      <c r="CR26" s="333">
        <f t="shared" si="36"/>
        <v>0.5</v>
      </c>
      <c r="CS26" s="333">
        <f t="shared" si="37"/>
        <v>0.53333333333333333</v>
      </c>
      <c r="CT26" s="333">
        <f t="shared" si="38"/>
        <v>0.56666666666666665</v>
      </c>
      <c r="CU26" s="333">
        <f t="shared" si="39"/>
        <v>0.6</v>
      </c>
      <c r="CV26" s="333">
        <f t="shared" si="40"/>
        <v>0.6333333333333333</v>
      </c>
      <c r="CW26" s="333">
        <f t="shared" si="41"/>
        <v>0.66666666666666674</v>
      </c>
      <c r="CX26" s="333">
        <f t="shared" si="42"/>
        <v>0.7</v>
      </c>
      <c r="CY26" s="333">
        <f t="shared" si="43"/>
        <v>0.73333333333333339</v>
      </c>
      <c r="CZ26" s="333">
        <f t="shared" si="44"/>
        <v>0.76666666666666661</v>
      </c>
      <c r="DA26" s="333">
        <f t="shared" si="45"/>
        <v>0.53745741249573098</v>
      </c>
      <c r="DB26" s="333">
        <f t="shared" si="46"/>
        <v>0.8</v>
      </c>
      <c r="DC26" s="333">
        <f t="shared" si="47"/>
        <v>0.83333333333333337</v>
      </c>
      <c r="DD26" s="333">
        <f t="shared" si="48"/>
        <v>0.8666666666666667</v>
      </c>
      <c r="DE26" s="333">
        <f t="shared" si="49"/>
        <v>0.9</v>
      </c>
      <c r="DF26" s="333">
        <f t="shared" si="50"/>
        <v>0.93333333333333335</v>
      </c>
      <c r="DG26" s="333">
        <f t="shared" si="51"/>
        <v>0.96666666666666667</v>
      </c>
      <c r="DH26" s="333">
        <f t="shared" si="52"/>
        <v>1</v>
      </c>
      <c r="DI26" s="334">
        <f t="shared" si="28"/>
        <v>2503042.5259680757</v>
      </c>
      <c r="DJ26" s="334">
        <f t="shared" si="29"/>
        <v>0</v>
      </c>
      <c r="DK26" s="334">
        <f t="shared" si="53"/>
        <v>0</v>
      </c>
    </row>
    <row r="27" spans="1:115" ht="12.75" customHeight="1" x14ac:dyDescent="0.25">
      <c r="A27" s="335"/>
      <c r="B27" s="315" t="s">
        <v>28</v>
      </c>
      <c r="C27" s="316">
        <v>30</v>
      </c>
      <c r="D27" s="317">
        <v>0</v>
      </c>
      <c r="E27" s="318"/>
      <c r="F27" s="319">
        <v>0</v>
      </c>
      <c r="G27" s="320">
        <v>0</v>
      </c>
      <c r="H27" s="321"/>
      <c r="I27" s="322"/>
      <c r="J27" s="321"/>
      <c r="K27" s="320">
        <v>0</v>
      </c>
      <c r="L27" s="323">
        <v>0</v>
      </c>
      <c r="M27" s="318"/>
      <c r="N27" s="321"/>
      <c r="O27" s="320">
        <v>0</v>
      </c>
      <c r="P27" s="321"/>
      <c r="Q27" s="322"/>
      <c r="R27" s="321"/>
      <c r="S27" s="319">
        <v>0</v>
      </c>
      <c r="T27" s="323"/>
      <c r="U27" s="319"/>
      <c r="V27" s="325"/>
      <c r="W27" s="326">
        <v>0</v>
      </c>
      <c r="X27" s="326">
        <v>0</v>
      </c>
      <c r="Y27" s="326"/>
      <c r="Z27" s="327"/>
      <c r="AA27" s="326">
        <v>0</v>
      </c>
      <c r="AB27" s="329">
        <v>0</v>
      </c>
      <c r="AC27" s="319"/>
      <c r="AD27" s="327"/>
      <c r="AE27" s="326">
        <v>0</v>
      </c>
      <c r="AF27" s="326">
        <v>0</v>
      </c>
      <c r="AG27" s="330"/>
      <c r="AH27" s="327"/>
      <c r="AI27" s="319">
        <v>0</v>
      </c>
      <c r="AJ27" s="319">
        <v>0</v>
      </c>
      <c r="AK27" s="319"/>
      <c r="AL27" s="325"/>
      <c r="AM27" s="326">
        <v>0</v>
      </c>
      <c r="AN27" s="326">
        <v>0</v>
      </c>
      <c r="AO27" s="326"/>
      <c r="AP27" s="327"/>
      <c r="AQ27" s="326">
        <v>0</v>
      </c>
      <c r="AR27" s="331">
        <v>0</v>
      </c>
      <c r="AS27" s="331"/>
      <c r="AT27" s="331"/>
      <c r="AU27" s="331">
        <v>0</v>
      </c>
      <c r="AV27" s="331">
        <v>0</v>
      </c>
      <c r="AW27" s="331"/>
      <c r="AX27" s="331"/>
      <c r="AY27" s="331">
        <v>0</v>
      </c>
      <c r="AZ27" s="331">
        <v>0</v>
      </c>
      <c r="BA27" s="331"/>
      <c r="BB27" s="331"/>
      <c r="BC27" s="356">
        <v>0</v>
      </c>
      <c r="BD27" s="331"/>
      <c r="BE27" s="331"/>
      <c r="BF27" s="331"/>
      <c r="BG27" s="331"/>
      <c r="BH27" s="331"/>
      <c r="BI27" s="331"/>
      <c r="BJ27" s="331">
        <v>0</v>
      </c>
      <c r="BK27" s="331"/>
      <c r="BL27" s="331"/>
      <c r="BM27" s="331"/>
      <c r="BN27" s="290">
        <v>0</v>
      </c>
      <c r="BO27" s="290"/>
      <c r="BP27" s="290"/>
      <c r="BQ27" s="290"/>
      <c r="BR27" s="290">
        <v>0</v>
      </c>
      <c r="BS27" s="290"/>
      <c r="BT27" s="290"/>
      <c r="BU27" s="290"/>
      <c r="BV27" s="290">
        <v>0</v>
      </c>
      <c r="BW27" s="290">
        <v>0</v>
      </c>
      <c r="BX27" s="290"/>
      <c r="BY27" s="290"/>
      <c r="BZ27" s="290">
        <v>0</v>
      </c>
      <c r="CA27" s="290">
        <v>0</v>
      </c>
      <c r="CB27" s="290"/>
      <c r="CC27" s="290"/>
      <c r="CD27" s="290">
        <v>0</v>
      </c>
      <c r="CE27" s="290">
        <v>0</v>
      </c>
      <c r="CF27" s="290"/>
      <c r="CG27" s="290"/>
      <c r="CH27" s="290">
        <v>0</v>
      </c>
      <c r="CI27" s="290">
        <v>0</v>
      </c>
      <c r="CJ27" s="290"/>
      <c r="CK27" s="290"/>
      <c r="CL27" s="321">
        <f t="shared" si="30"/>
        <v>0</v>
      </c>
      <c r="CM27" s="333">
        <f t="shared" si="31"/>
        <v>0</v>
      </c>
      <c r="CN27" s="333">
        <f t="shared" si="32"/>
        <v>0.3666666666666667</v>
      </c>
      <c r="CO27" s="333">
        <f t="shared" si="33"/>
        <v>0.4</v>
      </c>
      <c r="CP27" s="333">
        <f t="shared" si="34"/>
        <v>0.43333333333333335</v>
      </c>
      <c r="CQ27" s="333">
        <f t="shared" si="35"/>
        <v>0.46666666666666667</v>
      </c>
      <c r="CR27" s="333">
        <f t="shared" si="36"/>
        <v>0.5</v>
      </c>
      <c r="CS27" s="333">
        <f t="shared" si="37"/>
        <v>0.53333333333333333</v>
      </c>
      <c r="CT27" s="333">
        <f t="shared" si="38"/>
        <v>0.56666666666666665</v>
      </c>
      <c r="CU27" s="333">
        <f t="shared" si="39"/>
        <v>0.6</v>
      </c>
      <c r="CV27" s="333">
        <f t="shared" si="40"/>
        <v>0.6333333333333333</v>
      </c>
      <c r="CW27" s="333">
        <f t="shared" si="41"/>
        <v>0.66666666666666674</v>
      </c>
      <c r="CX27" s="333">
        <f t="shared" si="42"/>
        <v>0.7</v>
      </c>
      <c r="CY27" s="333">
        <f t="shared" si="43"/>
        <v>0.73333333333333339</v>
      </c>
      <c r="CZ27" s="333">
        <f t="shared" si="44"/>
        <v>0.76666666666666661</v>
      </c>
      <c r="DA27" s="333">
        <f t="shared" si="45"/>
        <v>0</v>
      </c>
      <c r="DB27" s="333">
        <f t="shared" si="46"/>
        <v>0.8</v>
      </c>
      <c r="DC27" s="333">
        <f t="shared" si="47"/>
        <v>0.83333333333333337</v>
      </c>
      <c r="DD27" s="333">
        <f t="shared" si="48"/>
        <v>0.8666666666666667</v>
      </c>
      <c r="DE27" s="333">
        <f t="shared" si="49"/>
        <v>0.9</v>
      </c>
      <c r="DF27" s="333">
        <f t="shared" si="50"/>
        <v>0.93333333333333335</v>
      </c>
      <c r="DG27" s="333">
        <f t="shared" si="51"/>
        <v>0.96666666666666667</v>
      </c>
      <c r="DH27" s="333">
        <f t="shared" si="52"/>
        <v>1</v>
      </c>
      <c r="DI27" s="334">
        <f t="shared" si="28"/>
        <v>0</v>
      </c>
      <c r="DJ27" s="334">
        <f t="shared" si="29"/>
        <v>0</v>
      </c>
      <c r="DK27" s="334">
        <f t="shared" si="53"/>
        <v>0</v>
      </c>
    </row>
    <row r="28" spans="1:115" ht="12.75" customHeight="1" x14ac:dyDescent="0.25">
      <c r="A28" s="335"/>
      <c r="B28" s="315" t="s">
        <v>53</v>
      </c>
      <c r="C28" s="316">
        <v>30</v>
      </c>
      <c r="D28" s="317">
        <v>0</v>
      </c>
      <c r="E28" s="318"/>
      <c r="F28" s="319">
        <v>0</v>
      </c>
      <c r="G28" s="320">
        <v>0</v>
      </c>
      <c r="H28" s="321"/>
      <c r="I28" s="322"/>
      <c r="J28" s="321"/>
      <c r="K28" s="320">
        <v>0</v>
      </c>
      <c r="L28" s="323">
        <v>0</v>
      </c>
      <c r="M28" s="318"/>
      <c r="N28" s="321"/>
      <c r="O28" s="320">
        <v>0</v>
      </c>
      <c r="P28" s="321"/>
      <c r="Q28" s="322"/>
      <c r="R28" s="321"/>
      <c r="S28" s="319">
        <v>0</v>
      </c>
      <c r="T28" s="323"/>
      <c r="U28" s="319"/>
      <c r="V28" s="325"/>
      <c r="W28" s="326">
        <v>0</v>
      </c>
      <c r="X28" s="326">
        <v>0</v>
      </c>
      <c r="Y28" s="326"/>
      <c r="Z28" s="327"/>
      <c r="AA28" s="326">
        <v>0</v>
      </c>
      <c r="AB28" s="329">
        <v>0</v>
      </c>
      <c r="AC28" s="319"/>
      <c r="AD28" s="327"/>
      <c r="AE28" s="326">
        <v>0</v>
      </c>
      <c r="AF28" s="326">
        <v>0</v>
      </c>
      <c r="AG28" s="330"/>
      <c r="AH28" s="327"/>
      <c r="AI28" s="319">
        <v>0</v>
      </c>
      <c r="AJ28" s="319">
        <v>0</v>
      </c>
      <c r="AK28" s="319"/>
      <c r="AL28" s="325"/>
      <c r="AM28" s="326">
        <v>0</v>
      </c>
      <c r="AN28" s="326">
        <v>0</v>
      </c>
      <c r="AO28" s="326"/>
      <c r="AP28" s="327"/>
      <c r="AQ28" s="326">
        <v>0</v>
      </c>
      <c r="AR28" s="331">
        <v>0</v>
      </c>
      <c r="AS28" s="331"/>
      <c r="AT28" s="331"/>
      <c r="AU28" s="331">
        <v>0</v>
      </c>
      <c r="AV28" s="331">
        <v>0</v>
      </c>
      <c r="AW28" s="331"/>
      <c r="AX28" s="331"/>
      <c r="AY28" s="331">
        <v>21877.608</v>
      </c>
      <c r="AZ28" s="331">
        <v>0</v>
      </c>
      <c r="BA28" s="331"/>
      <c r="BB28" s="331"/>
      <c r="BC28" s="356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290"/>
      <c r="BO28" s="290"/>
      <c r="BP28" s="290"/>
      <c r="BQ28" s="290"/>
      <c r="BR28" s="290"/>
      <c r="BS28" s="290"/>
      <c r="BT28" s="290"/>
      <c r="BU28" s="290"/>
      <c r="BV28" s="290">
        <v>0</v>
      </c>
      <c r="BW28" s="290">
        <v>0</v>
      </c>
      <c r="BX28" s="290"/>
      <c r="BY28" s="290"/>
      <c r="BZ28" s="290">
        <v>0</v>
      </c>
      <c r="CA28" s="290">
        <v>0</v>
      </c>
      <c r="CB28" s="290"/>
      <c r="CC28" s="290"/>
      <c r="CD28" s="290">
        <v>0</v>
      </c>
      <c r="CE28" s="290">
        <v>0</v>
      </c>
      <c r="CF28" s="290"/>
      <c r="CG28" s="290"/>
      <c r="CH28" s="290">
        <v>0</v>
      </c>
      <c r="CI28" s="290">
        <v>0</v>
      </c>
      <c r="CJ28" s="290"/>
      <c r="CK28" s="290"/>
      <c r="CL28" s="321">
        <f t="shared" si="30"/>
        <v>0</v>
      </c>
      <c r="CM28" s="333">
        <f t="shared" si="31"/>
        <v>0</v>
      </c>
      <c r="CN28" s="333">
        <f t="shared" si="32"/>
        <v>0.3666666666666667</v>
      </c>
      <c r="CO28" s="333">
        <f t="shared" si="33"/>
        <v>0.4</v>
      </c>
      <c r="CP28" s="333">
        <f t="shared" si="34"/>
        <v>0.43333333333333335</v>
      </c>
      <c r="CQ28" s="333">
        <f t="shared" si="35"/>
        <v>0.46666666666666667</v>
      </c>
      <c r="CR28" s="333">
        <f t="shared" si="36"/>
        <v>0.5</v>
      </c>
      <c r="CS28" s="333">
        <f t="shared" si="37"/>
        <v>0.53333333333333333</v>
      </c>
      <c r="CT28" s="333">
        <f t="shared" si="38"/>
        <v>0.56666666666666665</v>
      </c>
      <c r="CU28" s="333">
        <f t="shared" si="39"/>
        <v>0.6</v>
      </c>
      <c r="CV28" s="333">
        <f t="shared" si="40"/>
        <v>0.6333333333333333</v>
      </c>
      <c r="CW28" s="333">
        <f t="shared" si="41"/>
        <v>0.66666666666666674</v>
      </c>
      <c r="CX28" s="333">
        <f t="shared" si="42"/>
        <v>0.7</v>
      </c>
      <c r="CY28" s="333">
        <f t="shared" si="43"/>
        <v>0.73333333333333339</v>
      </c>
      <c r="CZ28" s="333">
        <f t="shared" si="44"/>
        <v>0.76666666666666661</v>
      </c>
      <c r="DA28" s="333">
        <f t="shared" si="45"/>
        <v>0</v>
      </c>
      <c r="DB28" s="333">
        <f t="shared" si="46"/>
        <v>0.8</v>
      </c>
      <c r="DC28" s="333">
        <f t="shared" si="47"/>
        <v>0.83333333333333337</v>
      </c>
      <c r="DD28" s="333">
        <f t="shared" si="48"/>
        <v>0.8666666666666667</v>
      </c>
      <c r="DE28" s="333">
        <f t="shared" si="49"/>
        <v>0.9</v>
      </c>
      <c r="DF28" s="333">
        <f t="shared" si="50"/>
        <v>0.93333333333333335</v>
      </c>
      <c r="DG28" s="333">
        <f t="shared" si="51"/>
        <v>0.96666666666666667</v>
      </c>
      <c r="DH28" s="333">
        <f t="shared" si="52"/>
        <v>1</v>
      </c>
      <c r="DI28" s="334">
        <f t="shared" si="28"/>
        <v>12610.54608680449</v>
      </c>
      <c r="DJ28" s="334">
        <f t="shared" si="29"/>
        <v>0</v>
      </c>
      <c r="DK28" s="334">
        <f t="shared" si="53"/>
        <v>9247.73379698996</v>
      </c>
    </row>
    <row r="29" spans="1:115" ht="12.75" customHeight="1" x14ac:dyDescent="0.25">
      <c r="A29" s="335"/>
      <c r="B29" s="315" t="s">
        <v>47</v>
      </c>
      <c r="C29" s="316">
        <v>30</v>
      </c>
      <c r="D29" s="317">
        <v>3799108.6462719133</v>
      </c>
      <c r="E29" s="318"/>
      <c r="F29" s="319">
        <v>2411549.8125453922</v>
      </c>
      <c r="G29" s="320">
        <v>47185.65</v>
      </c>
      <c r="H29" s="321"/>
      <c r="I29" s="322"/>
      <c r="J29" s="321"/>
      <c r="K29" s="320">
        <v>121565.18</v>
      </c>
      <c r="L29" s="323">
        <v>42230</v>
      </c>
      <c r="M29" s="318"/>
      <c r="N29" s="321"/>
      <c r="O29" s="320">
        <v>114271.26085397454</v>
      </c>
      <c r="P29" s="321"/>
      <c r="Q29" s="322"/>
      <c r="R29" s="321"/>
      <c r="S29" s="319">
        <v>315516</v>
      </c>
      <c r="T29" s="323"/>
      <c r="U29" s="319"/>
      <c r="V29" s="325"/>
      <c r="W29" s="326">
        <v>246969.46</v>
      </c>
      <c r="X29" s="326">
        <v>0</v>
      </c>
      <c r="Y29" s="326"/>
      <c r="Z29" s="327"/>
      <c r="AA29" s="326">
        <v>746934.4</v>
      </c>
      <c r="AB29" s="329">
        <v>111277</v>
      </c>
      <c r="AC29" s="319"/>
      <c r="AD29" s="327"/>
      <c r="AE29" s="326">
        <v>819508.73</v>
      </c>
      <c r="AF29" s="326">
        <v>0</v>
      </c>
      <c r="AG29" s="330"/>
      <c r="AH29" s="327"/>
      <c r="AI29" s="319">
        <v>396123.05</v>
      </c>
      <c r="AJ29" s="319">
        <v>0</v>
      </c>
      <c r="AK29" s="319"/>
      <c r="AL29" s="325"/>
      <c r="AM29" s="326">
        <v>616394.63</v>
      </c>
      <c r="AN29" s="326">
        <v>0</v>
      </c>
      <c r="AO29" s="326"/>
      <c r="AP29" s="327"/>
      <c r="AQ29" s="326">
        <v>924534.3600000008</v>
      </c>
      <c r="AR29" s="331">
        <v>0</v>
      </c>
      <c r="AS29" s="331"/>
      <c r="AT29" s="331"/>
      <c r="AU29" s="331">
        <v>984613.09999999939</v>
      </c>
      <c r="AV29" s="331">
        <v>0</v>
      </c>
      <c r="AW29" s="331"/>
      <c r="AX29" s="331"/>
      <c r="AY29" s="331">
        <v>1229523.2699999996</v>
      </c>
      <c r="AZ29" s="331">
        <v>0</v>
      </c>
      <c r="BA29" s="331"/>
      <c r="BB29" s="331"/>
      <c r="BC29" s="356">
        <v>1413716.5399999991</v>
      </c>
      <c r="BD29" s="331"/>
      <c r="BE29" s="331"/>
      <c r="BF29" s="331"/>
      <c r="BG29" s="331">
        <f>+BH29</f>
        <v>687191.74247239612</v>
      </c>
      <c r="BH29" s="331">
        <v>687191.74247239612</v>
      </c>
      <c r="BI29" s="331">
        <v>518227.84</v>
      </c>
      <c r="BJ29" s="331">
        <v>1731874.7700000009</v>
      </c>
      <c r="BK29" s="331"/>
      <c r="BL29" s="331"/>
      <c r="BM29" s="331"/>
      <c r="BN29" s="290">
        <v>2005725.5200000007</v>
      </c>
      <c r="BO29" s="290"/>
      <c r="BP29" s="290"/>
      <c r="BQ29" s="290"/>
      <c r="BR29" s="290">
        <v>2393365.61</v>
      </c>
      <c r="BS29" s="290"/>
      <c r="BT29" s="290"/>
      <c r="BU29" s="290"/>
      <c r="BV29" s="290">
        <v>3086448.4000000018</v>
      </c>
      <c r="BW29" s="290">
        <v>148123.19414747471</v>
      </c>
      <c r="BX29" s="290"/>
      <c r="BY29" s="290"/>
      <c r="BZ29" s="290">
        <v>3181093.5700000026</v>
      </c>
      <c r="CA29" s="290">
        <v>196686.06748250558</v>
      </c>
      <c r="CB29" s="290"/>
      <c r="CC29" s="290"/>
      <c r="CD29" s="290">
        <v>2797232.4899999974</v>
      </c>
      <c r="CE29" s="290">
        <v>0</v>
      </c>
      <c r="CF29" s="290"/>
      <c r="CG29" s="290"/>
      <c r="CH29" s="290">
        <v>2447494.7299999995</v>
      </c>
      <c r="CI29" s="290">
        <v>9332.3399969999991</v>
      </c>
      <c r="CJ29" s="290"/>
      <c r="CK29" s="290"/>
      <c r="CL29" s="321">
        <f t="shared" si="30"/>
        <v>1990.0430180109104</v>
      </c>
      <c r="CM29" s="333">
        <f t="shared" si="31"/>
        <v>0</v>
      </c>
      <c r="CN29" s="333">
        <f t="shared" si="32"/>
        <v>0.3666666666666667</v>
      </c>
      <c r="CO29" s="333">
        <f t="shared" si="33"/>
        <v>0.4</v>
      </c>
      <c r="CP29" s="333">
        <f t="shared" si="34"/>
        <v>0.43333333333333335</v>
      </c>
      <c r="CQ29" s="333">
        <f t="shared" si="35"/>
        <v>0.46666666666666667</v>
      </c>
      <c r="CR29" s="333">
        <f t="shared" si="36"/>
        <v>0.5</v>
      </c>
      <c r="CS29" s="333">
        <f t="shared" si="37"/>
        <v>0.53333333333333333</v>
      </c>
      <c r="CT29" s="333">
        <f t="shared" si="38"/>
        <v>0.56666666666666665</v>
      </c>
      <c r="CU29" s="333">
        <f t="shared" si="39"/>
        <v>0.6</v>
      </c>
      <c r="CV29" s="333">
        <f t="shared" si="40"/>
        <v>0.6333333333333333</v>
      </c>
      <c r="CW29" s="333">
        <f t="shared" si="41"/>
        <v>0.66666666666666674</v>
      </c>
      <c r="CX29" s="333">
        <f t="shared" si="42"/>
        <v>0.7</v>
      </c>
      <c r="CY29" s="333">
        <f t="shared" si="43"/>
        <v>0.73333333333333339</v>
      </c>
      <c r="CZ29" s="333">
        <f t="shared" si="44"/>
        <v>0.76666666666666661</v>
      </c>
      <c r="DA29" s="333">
        <f t="shared" si="45"/>
        <v>0.53745741249573098</v>
      </c>
      <c r="DB29" s="333">
        <f t="shared" si="46"/>
        <v>0.8</v>
      </c>
      <c r="DC29" s="333">
        <f t="shared" si="47"/>
        <v>0.83333333333333337</v>
      </c>
      <c r="DD29" s="333">
        <f t="shared" si="48"/>
        <v>0.8666666666666667</v>
      </c>
      <c r="DE29" s="333">
        <f t="shared" si="49"/>
        <v>0.9</v>
      </c>
      <c r="DF29" s="333">
        <f t="shared" si="50"/>
        <v>0.93333333333333335</v>
      </c>
      <c r="DG29" s="333">
        <f t="shared" si="51"/>
        <v>0.96666666666666667</v>
      </c>
      <c r="DH29" s="333">
        <f t="shared" si="52"/>
        <v>1</v>
      </c>
      <c r="DI29" s="334">
        <f t="shared" si="28"/>
        <v>25633113.146101199</v>
      </c>
      <c r="DJ29" s="334">
        <f t="shared" si="29"/>
        <v>3799108.6462719133</v>
      </c>
      <c r="DK29" s="334">
        <f t="shared" si="53"/>
        <v>17601373.432635449</v>
      </c>
    </row>
    <row r="30" spans="1:115" ht="12.75" customHeight="1" x14ac:dyDescent="0.25">
      <c r="A30" s="335"/>
      <c r="B30" s="315" t="s">
        <v>48</v>
      </c>
      <c r="C30" s="316">
        <v>30</v>
      </c>
      <c r="D30" s="317">
        <v>3801860.6462719133</v>
      </c>
      <c r="E30" s="318"/>
      <c r="F30" s="319">
        <v>2413152.2195853922</v>
      </c>
      <c r="G30" s="320">
        <v>86766.887999999992</v>
      </c>
      <c r="H30" s="321"/>
      <c r="I30" s="322"/>
      <c r="J30" s="321"/>
      <c r="K30" s="320">
        <v>135558.54513805523</v>
      </c>
      <c r="L30" s="323">
        <v>0</v>
      </c>
      <c r="M30" s="318"/>
      <c r="N30" s="321"/>
      <c r="O30" s="320">
        <v>115214.17914602546</v>
      </c>
      <c r="P30" s="321"/>
      <c r="Q30" s="322"/>
      <c r="R30" s="321"/>
      <c r="S30" s="319">
        <v>115420</v>
      </c>
      <c r="T30" s="323"/>
      <c r="U30" s="319"/>
      <c r="V30" s="325"/>
      <c r="W30" s="326">
        <v>129961</v>
      </c>
      <c r="X30" s="326">
        <v>0</v>
      </c>
      <c r="Y30" s="326"/>
      <c r="Z30" s="327"/>
      <c r="AA30" s="326">
        <v>333192</v>
      </c>
      <c r="AB30" s="329">
        <v>0</v>
      </c>
      <c r="AC30" s="319"/>
      <c r="AD30" s="327"/>
      <c r="AE30" s="326">
        <v>515266.79</v>
      </c>
      <c r="AF30" s="326">
        <v>0</v>
      </c>
      <c r="AG30" s="330"/>
      <c r="AH30" s="327"/>
      <c r="AI30" s="319">
        <v>330540.90999999997</v>
      </c>
      <c r="AJ30" s="319">
        <v>0</v>
      </c>
      <c r="AK30" s="319"/>
      <c r="AL30" s="325"/>
      <c r="AM30" s="326">
        <v>462363.19000000018</v>
      </c>
      <c r="AN30" s="326">
        <v>0</v>
      </c>
      <c r="AO30" s="326"/>
      <c r="AP30" s="327"/>
      <c r="AQ30" s="326">
        <v>804704.21999999986</v>
      </c>
      <c r="AR30" s="331">
        <v>0</v>
      </c>
      <c r="AS30" s="331"/>
      <c r="AT30" s="331"/>
      <c r="AU30" s="331">
        <v>708124.1399999999</v>
      </c>
      <c r="AV30" s="331">
        <v>0</v>
      </c>
      <c r="AW30" s="331"/>
      <c r="AX30" s="331"/>
      <c r="AY30" s="331">
        <v>950598.12999999837</v>
      </c>
      <c r="AZ30" s="331">
        <v>0</v>
      </c>
      <c r="BA30" s="331"/>
      <c r="BB30" s="331"/>
      <c r="BC30" s="356">
        <v>542518.81999999972</v>
      </c>
      <c r="BD30" s="331"/>
      <c r="BE30" s="331"/>
      <c r="BF30" s="331"/>
      <c r="BG30" s="331"/>
      <c r="BH30" s="331"/>
      <c r="BI30" s="331"/>
      <c r="BJ30" s="331">
        <v>1106379.0500000003</v>
      </c>
      <c r="BK30" s="331"/>
      <c r="BL30" s="331"/>
      <c r="BM30" s="331"/>
      <c r="BN30" s="290">
        <v>992356.56</v>
      </c>
      <c r="BO30" s="290"/>
      <c r="BP30" s="290"/>
      <c r="BQ30" s="290"/>
      <c r="BR30" s="290">
        <v>1164492.07</v>
      </c>
      <c r="BS30" s="290"/>
      <c r="BT30" s="290"/>
      <c r="BU30" s="290"/>
      <c r="BV30" s="290">
        <v>1581532.5100000002</v>
      </c>
      <c r="BW30" s="290">
        <v>26773.80563799552</v>
      </c>
      <c r="BX30" s="290"/>
      <c r="BY30" s="290"/>
      <c r="BZ30" s="290">
        <v>1439721.7000000002</v>
      </c>
      <c r="CA30" s="290">
        <v>116331.6453471094</v>
      </c>
      <c r="CB30" s="290"/>
      <c r="CC30" s="290"/>
      <c r="CD30" s="290">
        <v>1833762.2300000002</v>
      </c>
      <c r="CE30" s="290">
        <v>28741.7373502146</v>
      </c>
      <c r="CF30" s="290"/>
      <c r="CG30" s="290"/>
      <c r="CH30" s="290">
        <v>1270655.6599999995</v>
      </c>
      <c r="CI30" s="290">
        <v>21137.23675</v>
      </c>
      <c r="CJ30" s="290"/>
      <c r="CK30" s="290"/>
      <c r="CL30" s="321">
        <f t="shared" si="30"/>
        <v>1990.0418779969095</v>
      </c>
      <c r="CM30" s="333">
        <f t="shared" si="31"/>
        <v>0</v>
      </c>
      <c r="CN30" s="333">
        <f t="shared" si="32"/>
        <v>0.3666666666666667</v>
      </c>
      <c r="CO30" s="333">
        <f t="shared" si="33"/>
        <v>0.4</v>
      </c>
      <c r="CP30" s="333">
        <f t="shared" si="34"/>
        <v>0.43333333333333335</v>
      </c>
      <c r="CQ30" s="333">
        <f t="shared" si="35"/>
        <v>0.46666666666666667</v>
      </c>
      <c r="CR30" s="333">
        <f t="shared" si="36"/>
        <v>0.5</v>
      </c>
      <c r="CS30" s="333">
        <f t="shared" si="37"/>
        <v>0.53333333333333333</v>
      </c>
      <c r="CT30" s="333">
        <f t="shared" si="38"/>
        <v>0.56666666666666665</v>
      </c>
      <c r="CU30" s="333">
        <f t="shared" si="39"/>
        <v>0.6</v>
      </c>
      <c r="CV30" s="333">
        <f t="shared" si="40"/>
        <v>0.6333333333333333</v>
      </c>
      <c r="CW30" s="333">
        <f t="shared" si="41"/>
        <v>0.66666666666666674</v>
      </c>
      <c r="CX30" s="333">
        <f t="shared" si="42"/>
        <v>0.7</v>
      </c>
      <c r="CY30" s="333">
        <f t="shared" si="43"/>
        <v>0.73333333333333339</v>
      </c>
      <c r="CZ30" s="333">
        <f t="shared" si="44"/>
        <v>0.76666666666666661</v>
      </c>
      <c r="DA30" s="333">
        <f t="shared" si="45"/>
        <v>0</v>
      </c>
      <c r="DB30" s="333">
        <f t="shared" si="46"/>
        <v>0.8</v>
      </c>
      <c r="DC30" s="333">
        <f t="shared" si="47"/>
        <v>0.83333333333333337</v>
      </c>
      <c r="DD30" s="333">
        <f t="shared" si="48"/>
        <v>0.8666666666666667</v>
      </c>
      <c r="DE30" s="333">
        <f t="shared" si="49"/>
        <v>0.9</v>
      </c>
      <c r="DF30" s="333">
        <f t="shared" si="50"/>
        <v>0.93333333333333335</v>
      </c>
      <c r="DG30" s="333">
        <f t="shared" si="51"/>
        <v>0.96666666666666667</v>
      </c>
      <c r="DH30" s="333">
        <f t="shared" si="52"/>
        <v>1</v>
      </c>
      <c r="DI30" s="334">
        <f t="shared" si="28"/>
        <v>15846512.641615629</v>
      </c>
      <c r="DJ30" s="334">
        <f t="shared" si="29"/>
        <v>3801860.6462719133</v>
      </c>
      <c r="DK30" s="334">
        <f t="shared" si="53"/>
        <v>9831146.8049944937</v>
      </c>
    </row>
    <row r="31" spans="1:115" ht="12.75" customHeight="1" x14ac:dyDescent="0.25">
      <c r="A31" s="335"/>
      <c r="B31" s="315" t="s">
        <v>49</v>
      </c>
      <c r="C31" s="316">
        <v>30</v>
      </c>
      <c r="D31" s="317">
        <v>0</v>
      </c>
      <c r="E31" s="318"/>
      <c r="F31" s="319">
        <v>0</v>
      </c>
      <c r="G31" s="320">
        <v>0</v>
      </c>
      <c r="H31" s="321"/>
      <c r="I31" s="322"/>
      <c r="J31" s="321"/>
      <c r="K31" s="320">
        <v>0</v>
      </c>
      <c r="L31" s="323">
        <v>0</v>
      </c>
      <c r="M31" s="318"/>
      <c r="N31" s="321"/>
      <c r="O31" s="320">
        <v>0</v>
      </c>
      <c r="P31" s="321"/>
      <c r="Q31" s="322"/>
      <c r="R31" s="321"/>
      <c r="S31" s="319">
        <v>0</v>
      </c>
      <c r="T31" s="323"/>
      <c r="U31" s="319"/>
      <c r="V31" s="325"/>
      <c r="W31" s="326">
        <v>0</v>
      </c>
      <c r="X31" s="326">
        <v>0</v>
      </c>
      <c r="Y31" s="326"/>
      <c r="Z31" s="327"/>
      <c r="AA31" s="326">
        <v>0</v>
      </c>
      <c r="AB31" s="329">
        <v>0</v>
      </c>
      <c r="AC31" s="319"/>
      <c r="AD31" s="327"/>
      <c r="AE31" s="326">
        <v>0</v>
      </c>
      <c r="AF31" s="326">
        <v>0</v>
      </c>
      <c r="AG31" s="330"/>
      <c r="AH31" s="327"/>
      <c r="AI31" s="319">
        <v>0</v>
      </c>
      <c r="AJ31" s="319">
        <v>0</v>
      </c>
      <c r="AK31" s="319"/>
      <c r="AL31" s="325"/>
      <c r="AM31" s="326">
        <v>0</v>
      </c>
      <c r="AN31" s="326">
        <v>0</v>
      </c>
      <c r="AO31" s="326"/>
      <c r="AP31" s="337"/>
      <c r="AQ31" s="326">
        <v>0</v>
      </c>
      <c r="AR31" s="331">
        <v>0</v>
      </c>
      <c r="AS31" s="331"/>
      <c r="AT31" s="331"/>
      <c r="AU31" s="331">
        <v>0</v>
      </c>
      <c r="AV31" s="331">
        <v>0</v>
      </c>
      <c r="AW31" s="331"/>
      <c r="AX31" s="331"/>
      <c r="AY31" s="331">
        <v>0</v>
      </c>
      <c r="AZ31" s="331">
        <v>0</v>
      </c>
      <c r="BA31" s="331"/>
      <c r="BB31" s="331"/>
      <c r="BC31" s="356">
        <v>103431.25</v>
      </c>
      <c r="BD31" s="331"/>
      <c r="BE31" s="331"/>
      <c r="BF31" s="331"/>
      <c r="BG31" s="331"/>
      <c r="BH31" s="331"/>
      <c r="BI31" s="331"/>
      <c r="BJ31" s="331">
        <v>200492.75999999998</v>
      </c>
      <c r="BK31" s="331"/>
      <c r="BL31" s="331"/>
      <c r="BM31" s="331"/>
      <c r="BN31" s="290">
        <v>245725.62999999998</v>
      </c>
      <c r="BO31" s="290"/>
      <c r="BP31" s="290"/>
      <c r="BQ31" s="290"/>
      <c r="BR31" s="290">
        <v>204223.86999999997</v>
      </c>
      <c r="BS31" s="290"/>
      <c r="BT31" s="290"/>
      <c r="BU31" s="290"/>
      <c r="BV31" s="290">
        <v>258262.68000000002</v>
      </c>
      <c r="BW31" s="290">
        <v>40764.159720366908</v>
      </c>
      <c r="BX31" s="290"/>
      <c r="BY31" s="290"/>
      <c r="BZ31" s="290">
        <v>252698.08</v>
      </c>
      <c r="CA31" s="290">
        <v>12196.218118647599</v>
      </c>
      <c r="CB31" s="290"/>
      <c r="CC31" s="290"/>
      <c r="CD31" s="290">
        <v>487786.04999999987</v>
      </c>
      <c r="CE31" s="290">
        <v>0</v>
      </c>
      <c r="CF31" s="290"/>
      <c r="CG31" s="290"/>
      <c r="CH31" s="290">
        <v>226390.16000000006</v>
      </c>
      <c r="CI31" s="290">
        <v>0</v>
      </c>
      <c r="CJ31" s="290"/>
      <c r="CK31" s="290"/>
      <c r="CL31" s="321">
        <f t="shared" si="30"/>
        <v>0</v>
      </c>
      <c r="CM31" s="333">
        <f t="shared" si="31"/>
        <v>0</v>
      </c>
      <c r="CN31" s="333">
        <f t="shared" si="32"/>
        <v>0.3666666666666667</v>
      </c>
      <c r="CO31" s="333">
        <f t="shared" si="33"/>
        <v>0.4</v>
      </c>
      <c r="CP31" s="333">
        <f t="shared" si="34"/>
        <v>0.43333333333333335</v>
      </c>
      <c r="CQ31" s="333">
        <f t="shared" si="35"/>
        <v>0.46666666666666667</v>
      </c>
      <c r="CR31" s="333">
        <f t="shared" si="36"/>
        <v>0.5</v>
      </c>
      <c r="CS31" s="333">
        <f t="shared" si="37"/>
        <v>0.53333333333333333</v>
      </c>
      <c r="CT31" s="333">
        <f t="shared" si="38"/>
        <v>0.56666666666666665</v>
      </c>
      <c r="CU31" s="333">
        <f t="shared" si="39"/>
        <v>0.6</v>
      </c>
      <c r="CV31" s="333">
        <f t="shared" si="40"/>
        <v>0.6333333333333333</v>
      </c>
      <c r="CW31" s="333">
        <f t="shared" si="41"/>
        <v>0.66666666666666674</v>
      </c>
      <c r="CX31" s="333">
        <f t="shared" si="42"/>
        <v>0.7</v>
      </c>
      <c r="CY31" s="333">
        <f t="shared" si="43"/>
        <v>0.73333333333333339</v>
      </c>
      <c r="CZ31" s="333">
        <f t="shared" si="44"/>
        <v>0.76666666666666661</v>
      </c>
      <c r="DA31" s="333">
        <f t="shared" si="45"/>
        <v>0</v>
      </c>
      <c r="DB31" s="333">
        <f t="shared" si="46"/>
        <v>0.8</v>
      </c>
      <c r="DC31" s="333">
        <f t="shared" si="47"/>
        <v>0.83333333333333337</v>
      </c>
      <c r="DD31" s="333">
        <f t="shared" si="48"/>
        <v>0.8666666666666667</v>
      </c>
      <c r="DE31" s="333">
        <f t="shared" si="49"/>
        <v>0.9</v>
      </c>
      <c r="DF31" s="333">
        <f t="shared" si="50"/>
        <v>0.93333333333333335</v>
      </c>
      <c r="DG31" s="333">
        <f>IF((1-($DI$2-CD$2)/$C31)&gt;0,(1-($DI$2-CD$2)/$C31),0)</f>
        <v>0.96666666666666667</v>
      </c>
      <c r="DH31" s="333">
        <f t="shared" si="52"/>
        <v>1</v>
      </c>
      <c r="DI31" s="334">
        <f t="shared" si="28"/>
        <v>1665683.3405957532</v>
      </c>
      <c r="DJ31" s="334">
        <f t="shared" si="29"/>
        <v>0</v>
      </c>
      <c r="DK31" s="334">
        <f t="shared" si="53"/>
        <v>1505676.051025307</v>
      </c>
    </row>
    <row r="32" spans="1:115" ht="12.75" customHeight="1" x14ac:dyDescent="0.35">
      <c r="A32" s="335"/>
      <c r="B32" s="349" t="s">
        <v>29</v>
      </c>
      <c r="C32" s="350"/>
      <c r="D32" s="337">
        <v>0</v>
      </c>
      <c r="E32" s="321"/>
      <c r="F32" s="337">
        <v>0</v>
      </c>
      <c r="G32" s="321"/>
      <c r="H32" s="321"/>
      <c r="I32" s="321"/>
      <c r="J32" s="321"/>
      <c r="K32" s="321"/>
      <c r="L32" s="323">
        <v>0</v>
      </c>
      <c r="M32" s="323"/>
      <c r="N32" s="321"/>
      <c r="O32" s="321"/>
      <c r="P32" s="321"/>
      <c r="Q32" s="321"/>
      <c r="R32" s="321"/>
      <c r="S32" s="319"/>
      <c r="T32" s="319"/>
      <c r="U32" s="329"/>
      <c r="V32" s="325"/>
      <c r="W32" s="326"/>
      <c r="X32" s="327"/>
      <c r="Y32" s="326"/>
      <c r="Z32" s="327"/>
      <c r="AA32" s="327"/>
      <c r="AB32" s="327"/>
      <c r="AC32" s="325"/>
      <c r="AD32" s="327"/>
      <c r="AE32" s="327"/>
      <c r="AF32" s="327"/>
      <c r="AG32" s="337"/>
      <c r="AH32" s="327"/>
      <c r="AI32" s="329"/>
      <c r="AJ32" s="325"/>
      <c r="AK32" s="325"/>
      <c r="AL32" s="325"/>
      <c r="AM32" s="337">
        <v>0</v>
      </c>
      <c r="AN32" s="326">
        <v>0</v>
      </c>
      <c r="AO32" s="326"/>
      <c r="AP32" s="327"/>
      <c r="AQ32" s="352">
        <v>0</v>
      </c>
      <c r="AR32" s="331">
        <v>0</v>
      </c>
      <c r="AS32" s="331"/>
      <c r="AT32" s="331"/>
      <c r="AU32" s="353">
        <v>0</v>
      </c>
      <c r="AV32" s="354">
        <v>0</v>
      </c>
      <c r="AW32" s="354"/>
      <c r="AX32" s="355"/>
      <c r="AY32" s="331">
        <v>0</v>
      </c>
      <c r="AZ32" s="331">
        <v>0</v>
      </c>
      <c r="BA32" s="331"/>
      <c r="BB32" s="331"/>
      <c r="BC32" s="332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/>
      <c r="CJ32" s="290"/>
      <c r="CK32" s="290"/>
      <c r="CL32" s="333"/>
      <c r="CM32" s="333"/>
      <c r="CN32" s="333"/>
      <c r="CO32" s="333"/>
      <c r="CP32" s="333"/>
      <c r="CQ32" s="333"/>
      <c r="CR32" s="333"/>
      <c r="CS32" s="333"/>
      <c r="CT32" s="333"/>
      <c r="CU32" s="333"/>
      <c r="CV32" s="333"/>
      <c r="CW32" s="333"/>
      <c r="CX32" s="333"/>
      <c r="CY32" s="333"/>
      <c r="CZ32" s="333"/>
      <c r="DA32" s="333"/>
      <c r="DB32" s="333"/>
      <c r="DC32" s="333"/>
      <c r="DD32" s="333"/>
      <c r="DE32" s="333"/>
      <c r="DF32" s="333"/>
      <c r="DG32" s="333"/>
      <c r="DH32" s="333"/>
      <c r="DI32" s="334">
        <f t="shared" si="28"/>
        <v>0</v>
      </c>
      <c r="DJ32" s="334">
        <f t="shared" si="29"/>
        <v>0</v>
      </c>
      <c r="DK32" s="334"/>
    </row>
    <row r="33" spans="1:115" ht="12.75" customHeight="1" x14ac:dyDescent="0.25">
      <c r="A33" s="335"/>
      <c r="B33" s="315" t="s">
        <v>30</v>
      </c>
      <c r="C33" s="316">
        <v>30</v>
      </c>
      <c r="D33" s="317">
        <v>0</v>
      </c>
      <c r="E33" s="318"/>
      <c r="F33" s="319">
        <v>0</v>
      </c>
      <c r="G33" s="320">
        <v>357372.88</v>
      </c>
      <c r="H33" s="321"/>
      <c r="I33" s="322"/>
      <c r="J33" s="321"/>
      <c r="K33" s="320">
        <v>543253.56000000006</v>
      </c>
      <c r="L33" s="323">
        <v>0</v>
      </c>
      <c r="M33" s="318"/>
      <c r="N33" s="321"/>
      <c r="O33" s="320">
        <v>737930</v>
      </c>
      <c r="P33" s="321"/>
      <c r="Q33" s="322"/>
      <c r="R33" s="321"/>
      <c r="S33" s="319">
        <v>616404</v>
      </c>
      <c r="T33" s="323"/>
      <c r="U33" s="319"/>
      <c r="V33" s="325"/>
      <c r="W33" s="326">
        <v>908729</v>
      </c>
      <c r="X33" s="326">
        <v>0</v>
      </c>
      <c r="Y33" s="326"/>
      <c r="Z33" s="327"/>
      <c r="AA33" s="326">
        <v>1034380.58</v>
      </c>
      <c r="AB33" s="329">
        <v>55639</v>
      </c>
      <c r="AC33" s="319"/>
      <c r="AD33" s="327"/>
      <c r="AE33" s="326">
        <v>1297534</v>
      </c>
      <c r="AF33" s="326">
        <v>0</v>
      </c>
      <c r="AG33" s="330"/>
      <c r="AH33" s="327"/>
      <c r="AI33" s="319">
        <v>1402601.7</v>
      </c>
      <c r="AJ33" s="319">
        <v>0</v>
      </c>
      <c r="AK33" s="319"/>
      <c r="AL33" s="325"/>
      <c r="AM33" s="326">
        <v>1130909.5199999993</v>
      </c>
      <c r="AN33" s="326">
        <v>0</v>
      </c>
      <c r="AO33" s="326"/>
      <c r="AP33" s="327"/>
      <c r="AQ33" s="326">
        <v>1272704.2400000021</v>
      </c>
      <c r="AR33" s="331">
        <v>0</v>
      </c>
      <c r="AS33" s="331"/>
      <c r="AT33" s="331"/>
      <c r="AU33" s="331">
        <v>1171005.9999999995</v>
      </c>
      <c r="AV33" s="331">
        <v>0</v>
      </c>
      <c r="AW33" s="331"/>
      <c r="AX33" s="331"/>
      <c r="AY33" s="331">
        <v>1787672.0399999998</v>
      </c>
      <c r="AZ33" s="331">
        <v>0</v>
      </c>
      <c r="BA33" s="331"/>
      <c r="BB33" s="331"/>
      <c r="BC33" s="356">
        <v>1674946.8199999996</v>
      </c>
      <c r="BD33" s="331"/>
      <c r="BE33" s="331"/>
      <c r="BF33" s="331"/>
      <c r="BG33" s="331">
        <f>+BH33</f>
        <v>260770.20404708656</v>
      </c>
      <c r="BH33" s="331">
        <v>260770.20404708656</v>
      </c>
      <c r="BI33" s="331">
        <f>0.6*327755.15</f>
        <v>196653.09</v>
      </c>
      <c r="BJ33" s="331">
        <v>2241612.7600000002</v>
      </c>
      <c r="BK33" s="331"/>
      <c r="BL33" s="331"/>
      <c r="BM33" s="331"/>
      <c r="BN33" s="290">
        <v>2116636.4599999953</v>
      </c>
      <c r="BO33" s="290"/>
      <c r="BP33" s="290"/>
      <c r="BQ33" s="290"/>
      <c r="BR33" s="290">
        <v>2073343.0499999984</v>
      </c>
      <c r="BS33" s="290">
        <v>7541.66</v>
      </c>
      <c r="BT33" s="290"/>
      <c r="BU33" s="290"/>
      <c r="BV33" s="290">
        <v>2675996.0699999998</v>
      </c>
      <c r="BW33" s="290">
        <v>492379.4959672899</v>
      </c>
      <c r="BX33" s="290"/>
      <c r="BY33" s="290"/>
      <c r="BZ33" s="290">
        <v>3711583.069999997</v>
      </c>
      <c r="CA33" s="290">
        <v>748219.67839275522</v>
      </c>
      <c r="CB33" s="290"/>
      <c r="CC33" s="290"/>
      <c r="CD33" s="290">
        <v>3527616.56</v>
      </c>
      <c r="CE33" s="290">
        <v>133227.40469261</v>
      </c>
      <c r="CF33" s="290"/>
      <c r="CG33" s="290"/>
      <c r="CH33" s="290">
        <v>3914894.2299999944</v>
      </c>
      <c r="CI33" s="290">
        <v>35647.347027299998</v>
      </c>
      <c r="CJ33" s="290"/>
      <c r="CK33" s="290"/>
      <c r="CL33" s="321">
        <f>IF(D33=0,0,2001-(D33-F33)*C33/D33)</f>
        <v>0</v>
      </c>
      <c r="CM33" s="333">
        <f>IF((1-($DI$2-$CL33)/$C33)&gt;0,(1-($DI$2-$CL33)/$C33),0)</f>
        <v>0</v>
      </c>
      <c r="CN33" s="333">
        <f>IF((1-($DI$2-G$2)/$C33)&gt;0,(1-($DI$2-G$2)/$C33),0)</f>
        <v>0.3666666666666667</v>
      </c>
      <c r="CO33" s="333">
        <f>IF((1-($DI$2-K$2)/$C33)&gt;0,(1-($DI$2-K$2)/$C33),0)</f>
        <v>0.4</v>
      </c>
      <c r="CP33" s="333">
        <f>IF((1-($DI$2-O$2)/$C33)&gt;0,(1-($DI$2-O$2)/$C33),0)</f>
        <v>0.43333333333333335</v>
      </c>
      <c r="CQ33" s="333">
        <f>IF((1-($DI$2-S$2)/$C33)&gt;0,(1-($DI$2-S$2)/$C33),0)</f>
        <v>0.46666666666666667</v>
      </c>
      <c r="CR33" s="333">
        <f>IF((1-($DI$2-W$2)/$C33)&gt;0,(1-($DI$2-W$2)/$C33),0)</f>
        <v>0.5</v>
      </c>
      <c r="CS33" s="333">
        <f>IF((1-($DI$2-AA$2)/$C33)&gt;0,(1-($DI$2-AA$2)/$C33),0)</f>
        <v>0.53333333333333333</v>
      </c>
      <c r="CT33" s="333">
        <f>IF((1-($DI$2-AE$2)/$C33)&gt;0,(1-($DI$2-AE$2)/$C33),0)</f>
        <v>0.56666666666666665</v>
      </c>
      <c r="CU33" s="333">
        <f>IF((1-($DI$2-AI$2)/$C33)&gt;0,(1-($DI$2-AI$2)/$C33),0)</f>
        <v>0.6</v>
      </c>
      <c r="CV33" s="333">
        <f>IF((1-($DI$2-AM$2)/$C33)&gt;0,(1-($DI$2-AM$2)/$C33),0)</f>
        <v>0.6333333333333333</v>
      </c>
      <c r="CW33" s="333">
        <f>IF((1-($DI$2-AQ$2)/$C33)&gt;0,(1-($DI$2-AQ$2)/$C33),0)</f>
        <v>0.66666666666666674</v>
      </c>
      <c r="CX33" s="333">
        <f>IF((1-($DI$2-AU$2)/$C33)&gt;0,(1-($DI$2-AU$2)/$C33),0)</f>
        <v>0.7</v>
      </c>
      <c r="CY33" s="333">
        <f>IF((1-($DI$2-AY$2)/$C33)&gt;0,(1-($DI$2-AY$2)/$C33),0)</f>
        <v>0.73333333333333339</v>
      </c>
      <c r="CZ33" s="333">
        <f>IF((1-($DI$2-BC$2)/$C33)&gt;0,(1-($DI$2-BC$2)/$C33),0)</f>
        <v>0.76666666666666661</v>
      </c>
      <c r="DA33" s="333">
        <f>IF(BG33=0,0,1-($DI$2-(2014.5-(BG33-BI33)*C33/BG33))/C33)</f>
        <v>0.53745741249573098</v>
      </c>
      <c r="DB33" s="333">
        <f>IF((1-($DI$2-BJ$2)/$C33)&gt;0,(1-($DI$2-BJ$2)/$C33),0)</f>
        <v>0.8</v>
      </c>
      <c r="DC33" s="333">
        <f>IF((1-($DI$2-BN$2)/$C33)&gt;0,(1-($DI$2-BN$2)/$C33),0)</f>
        <v>0.83333333333333337</v>
      </c>
      <c r="DD33" s="333">
        <f>IF((1-($DI$2-BR$2)/$C33)&gt;0,(1-($DI$2-BR$2)/$C33),0)</f>
        <v>0.8666666666666667</v>
      </c>
      <c r="DE33" s="333">
        <f>IF((1-($DI$2-BV$2)/$C33)&gt;0,(1-($DI$2-BV$2)/$C33),0)</f>
        <v>0.9</v>
      </c>
      <c r="DF33" s="333">
        <f>IF((1-($DI$2-BZ$2)/$C33)&gt;0,(1-($DI$2-BZ$2)/$C33),0)</f>
        <v>0.93333333333333335</v>
      </c>
      <c r="DG33" s="333">
        <f>IF((1-($DI$2-CD$2)/$C33)&gt;0,(1-($DI$2-CD$2)/$C33),0)</f>
        <v>0.96666666666666667</v>
      </c>
      <c r="DH33" s="333">
        <f>IF((1-($DI$2-CH$2)/$C33)&gt;0,(1-($DI$2-CH$2)/$C33),0)</f>
        <v>1</v>
      </c>
      <c r="DI33" s="334">
        <f t="shared" si="28"/>
        <v>27658291.096144002</v>
      </c>
      <c r="DJ33" s="334">
        <f t="shared" si="29"/>
        <v>0</v>
      </c>
      <c r="DK33" s="334">
        <f>(D33-E33)*CM33+((G33-H33-(I33-J33))*G$61)*CN33+((K33-L33-(M33-N33))*K$61)*CO33+((O33-P33-(Q33-R33))*O$61)*CP33+((S33-T33-(U33-V33))*S$61)*CQ33+((W33-X33-(Y33-Z33))*W$61)*CR33+((AA33-AB33-(AC33-AD33))*AA$61)*CS33+((AE33-AF33-(AG33-AH33))*AE$61)*CT33+((AI33-AJ33-(AK33-AL33))*AI$61)*CU33+((AM33-AN33-(AO33-AP33))*$AM$61)*CV33+((AQ33-AR33-(AS33-AT33))*$AQ$61)*CW33+((AU33-AV33-(AW33-AX33))*$AU$61)*CX33+((AY33-AZ33-(BA33-BB33))*$AY$61)*CY33+((BC33-BD33-(BE33-BF33))*$BC$61)*CZ33+((BJ33-BK33-(BL33-BM33))*$BJ$61)*DB33+(BG33-BH33)*DA33+((BN33-BO33-(BP33-BQ33))*$BN$61)*DC33+((BR33-BS33-(BT33-BU33))*$BR$61)*DD33+((BV33-BW33-(BX33-BY33))*$BV$61)*DE33+((BZ33-CA33-(CB33-CC33))*$BZ$61)*DF33+((CD33-CE33-(CF33-CG33))*$CD$61)*DG33+((CH33-CI33-(CJ33-CK33))*$CH$61*DH33)</f>
        <v>21631747.335310079</v>
      </c>
    </row>
    <row r="34" spans="1:115" ht="12.75" customHeight="1" x14ac:dyDescent="0.25">
      <c r="A34" s="335"/>
      <c r="B34" s="315" t="s">
        <v>31</v>
      </c>
      <c r="C34" s="316">
        <v>30</v>
      </c>
      <c r="D34" s="317">
        <v>0</v>
      </c>
      <c r="E34" s="318"/>
      <c r="F34" s="319">
        <v>0</v>
      </c>
      <c r="G34" s="320">
        <v>20855.34</v>
      </c>
      <c r="H34" s="321"/>
      <c r="I34" s="322"/>
      <c r="J34" s="321"/>
      <c r="K34" s="320">
        <v>31716.79</v>
      </c>
      <c r="L34" s="323">
        <v>0</v>
      </c>
      <c r="M34" s="318"/>
      <c r="N34" s="321"/>
      <c r="O34" s="320">
        <v>45392.1</v>
      </c>
      <c r="P34" s="321"/>
      <c r="Q34" s="322"/>
      <c r="R34" s="321"/>
      <c r="S34" s="319">
        <v>55532</v>
      </c>
      <c r="T34" s="323"/>
      <c r="U34" s="319"/>
      <c r="V34" s="325"/>
      <c r="W34" s="326">
        <v>21527.58</v>
      </c>
      <c r="X34" s="326">
        <v>0</v>
      </c>
      <c r="Y34" s="326"/>
      <c r="Z34" s="327"/>
      <c r="AA34" s="326">
        <v>69879.69</v>
      </c>
      <c r="AB34" s="329">
        <v>0</v>
      </c>
      <c r="AC34" s="319"/>
      <c r="AD34" s="327"/>
      <c r="AE34" s="326">
        <v>167603.6</v>
      </c>
      <c r="AF34" s="326">
        <v>0</v>
      </c>
      <c r="AG34" s="330"/>
      <c r="AH34" s="327"/>
      <c r="AI34" s="319">
        <v>114363.29</v>
      </c>
      <c r="AJ34" s="319">
        <v>0</v>
      </c>
      <c r="AK34" s="319"/>
      <c r="AL34" s="325"/>
      <c r="AM34" s="326">
        <v>128319.80999999997</v>
      </c>
      <c r="AN34" s="326">
        <v>0</v>
      </c>
      <c r="AO34" s="326"/>
      <c r="AP34" s="327"/>
      <c r="AQ34" s="326">
        <v>45878.89</v>
      </c>
      <c r="AR34" s="331">
        <v>0</v>
      </c>
      <c r="AS34" s="331"/>
      <c r="AT34" s="331"/>
      <c r="AU34" s="331">
        <v>78988.76999999999</v>
      </c>
      <c r="AV34" s="331">
        <v>0</v>
      </c>
      <c r="AW34" s="331"/>
      <c r="AX34" s="331"/>
      <c r="AY34" s="331">
        <v>165321.32</v>
      </c>
      <c r="AZ34" s="331">
        <v>0</v>
      </c>
      <c r="BA34" s="331"/>
      <c r="BB34" s="331"/>
      <c r="BC34" s="356">
        <v>329359.53999999998</v>
      </c>
      <c r="BD34" s="331"/>
      <c r="BE34" s="331"/>
      <c r="BF34" s="331"/>
      <c r="BG34" s="331"/>
      <c r="BH34" s="331"/>
      <c r="BI34" s="331"/>
      <c r="BJ34" s="331">
        <v>502319.06999999995</v>
      </c>
      <c r="BK34" s="331"/>
      <c r="BL34" s="331"/>
      <c r="BM34" s="331"/>
      <c r="BN34" s="290">
        <v>584095.52000000014</v>
      </c>
      <c r="BO34" s="290"/>
      <c r="BP34" s="290"/>
      <c r="BQ34" s="290"/>
      <c r="BR34" s="290">
        <v>1656958.05</v>
      </c>
      <c r="BS34" s="290">
        <v>7315.6100000000006</v>
      </c>
      <c r="BT34" s="290"/>
      <c r="BU34" s="290"/>
      <c r="BV34" s="290">
        <v>3269374.2899999991</v>
      </c>
      <c r="BW34" s="290">
        <v>2122.3768488076898</v>
      </c>
      <c r="BX34" s="290"/>
      <c r="BY34" s="290"/>
      <c r="BZ34" s="290">
        <v>871104.22999999975</v>
      </c>
      <c r="CA34" s="290">
        <v>7083.0692522993304</v>
      </c>
      <c r="CB34" s="290"/>
      <c r="CC34" s="290"/>
      <c r="CD34" s="290">
        <v>927944.37999999977</v>
      </c>
      <c r="CE34" s="290">
        <v>0</v>
      </c>
      <c r="CF34" s="290"/>
      <c r="CG34" s="290"/>
      <c r="CH34" s="290">
        <v>565782.81999999995</v>
      </c>
      <c r="CI34" s="290">
        <v>10213.723609999999</v>
      </c>
      <c r="CJ34" s="290"/>
      <c r="CK34" s="290"/>
      <c r="CL34" s="321">
        <f>IF(D34=0,0,2001-(D34-F34)*C34/D34)</f>
        <v>0</v>
      </c>
      <c r="CM34" s="333">
        <f>IF((1-($DI$2-$CL34)/$C34)&gt;0,(1-($DI$2-$CL34)/$C34),0)</f>
        <v>0</v>
      </c>
      <c r="CN34" s="333">
        <f>IF((1-($DI$2-G$2)/$C34)&gt;0,(1-($DI$2-G$2)/$C34),0)</f>
        <v>0.3666666666666667</v>
      </c>
      <c r="CO34" s="333">
        <f>IF((1-($DI$2-K$2)/$C34)&gt;0,(1-($DI$2-K$2)/$C34),0)</f>
        <v>0.4</v>
      </c>
      <c r="CP34" s="333">
        <f>IF((1-($DI$2-O$2)/$C34)&gt;0,(1-($DI$2-O$2)/$C34),0)</f>
        <v>0.43333333333333335</v>
      </c>
      <c r="CQ34" s="333">
        <f>IF((1-($DI$2-S$2)/$C34)&gt;0,(1-($DI$2-S$2)/$C34),0)</f>
        <v>0.46666666666666667</v>
      </c>
      <c r="CR34" s="333">
        <f>IF((1-($DI$2-W$2)/$C34)&gt;0,(1-($DI$2-W$2)/$C34),0)</f>
        <v>0.5</v>
      </c>
      <c r="CS34" s="333">
        <f>IF((1-($DI$2-AA$2)/$C34)&gt;0,(1-($DI$2-AA$2)/$C34),0)</f>
        <v>0.53333333333333333</v>
      </c>
      <c r="CT34" s="333">
        <f>IF((1-($DI$2-AE$2)/$C34)&gt;0,(1-($DI$2-AE$2)/$C34),0)</f>
        <v>0.56666666666666665</v>
      </c>
      <c r="CU34" s="333">
        <f>IF((1-($DI$2-AI$2)/$C34)&gt;0,(1-($DI$2-AI$2)/$C34),0)</f>
        <v>0.6</v>
      </c>
      <c r="CV34" s="333">
        <f>IF((1-($DI$2-AM$2)/$C34)&gt;0,(1-($DI$2-AM$2)/$C34),0)</f>
        <v>0.6333333333333333</v>
      </c>
      <c r="CW34" s="333">
        <f>IF((1-($DI$2-AQ$2)/$C34)&gt;0,(1-($DI$2-AQ$2)/$C34),0)</f>
        <v>0.66666666666666674</v>
      </c>
      <c r="CX34" s="333">
        <f>IF((1-($DI$2-AU$2)/$C34)&gt;0,(1-($DI$2-AU$2)/$C34),0)</f>
        <v>0.7</v>
      </c>
      <c r="CY34" s="333">
        <f>IF((1-($DI$2-AY$2)/$C34)&gt;0,(1-($DI$2-AY$2)/$C34),0)</f>
        <v>0.73333333333333339</v>
      </c>
      <c r="CZ34" s="333">
        <f>IF((1-($DI$2-BC$2)/$C34)&gt;0,(1-($DI$2-BC$2)/$C34),0)</f>
        <v>0.76666666666666661</v>
      </c>
      <c r="DA34" s="333">
        <f>IF(BG34=0,0,1-($DI$2-(2014.5-(BG34-BI34)*C34/BG34))/C34)</f>
        <v>0</v>
      </c>
      <c r="DB34" s="333">
        <f>IF((1-($DI$2-BJ$2)/$C34)&gt;0,(1-($DI$2-BJ$2)/$C34),0)</f>
        <v>0.8</v>
      </c>
      <c r="DC34" s="333">
        <f>IF((1-($DI$2-BN$2)/$C34)&gt;0,(1-($DI$2-BN$2)/$C34),0)</f>
        <v>0.83333333333333337</v>
      </c>
      <c r="DD34" s="333">
        <f>IF((1-($DI$2-BR$2)/$C34)&gt;0,(1-($DI$2-BR$2)/$C34),0)</f>
        <v>0.8666666666666667</v>
      </c>
      <c r="DE34" s="333">
        <f>IF((1-($DI$2-BV$2)/$C34)&gt;0,(1-($DI$2-BV$2)/$C34),0)</f>
        <v>0.9</v>
      </c>
      <c r="DF34" s="333">
        <f>IF((1-($DI$2-BZ$2)/$C34)&gt;0,(1-($DI$2-BZ$2)/$C34),0)</f>
        <v>0.93333333333333335</v>
      </c>
      <c r="DG34" s="333">
        <f>IF((1-($DI$2-CD$2)/$C34)&gt;0,(1-($DI$2-CD$2)/$C34),0)</f>
        <v>0.96666666666666667</v>
      </c>
      <c r="DH34" s="333">
        <f>IF((1-($DI$2-CH$2)/$C34)&gt;0,(1-($DI$2-CH$2)/$C34),0)</f>
        <v>1</v>
      </c>
      <c r="DI34" s="334">
        <f t="shared" si="28"/>
        <v>8311450.259930416</v>
      </c>
      <c r="DJ34" s="334">
        <f t="shared" si="29"/>
        <v>0</v>
      </c>
      <c r="DK34" s="334">
        <f>(D34-E34)*CM34+((G34-H34-(I34-J34))*G$61)*CN34+((K34-L34-(M34-N34))*K$61)*CO34+((O34-P34-(Q34-R34))*O$61)*CP34+((S34-T34-(U34-V34))*S$61)*CQ34+((W34-X34-(Y34-Z34))*W$61)*CR34+((AA34-AB34-(AC34-AD34))*AA$61)*CS34+((AE34-AF34-(AG34-AH34))*AE$61)*CT34+((AI34-AJ34-(AK34-AL34))*AI$61)*CU34+((AM34-AN34-(AO34-AP34))*$AM$61)*CV34+((AQ34-AR34-(AS34-AT34))*$AQ$61)*CW34+((AU34-AV34-(AW34-AX34))*$AU$61)*CX34+((AY34-AZ34-(BA34-BB34))*$AY$61)*CY34+((BC34-BD34-(BE34-BF34))*$BC$61)*CZ34+((BJ34-BK34-(BL34-BM34))*$BJ$61)*DB34+(BG34-BH34)*DA34+((BN34-BO34-(BP34-BQ34))*$BN$61)*DC34+((BR34-BS34-(BT34-BU34))*$BR$61)*DD34+((BV34-BW34-(BX34-BY34))*$BV$61)*DE34+((BZ34-CA34-(CB34-CC34))*$BZ$61)*DF34+((CD34-CE34-(CF34-CG34))*$CD$61)*DG34+((CH34-CI34-(CJ34-CK34))*$CH$61*DH34)</f>
        <v>7216987.0519959433</v>
      </c>
    </row>
    <row r="35" spans="1:115" ht="12.75" customHeight="1" x14ac:dyDescent="0.25">
      <c r="A35" s="335"/>
      <c r="B35" s="315" t="s">
        <v>50</v>
      </c>
      <c r="C35" s="316">
        <v>30</v>
      </c>
      <c r="D35" s="317">
        <v>10109999.26940603</v>
      </c>
      <c r="E35" s="318"/>
      <c r="F35" s="319">
        <v>6944775.122452748</v>
      </c>
      <c r="G35" s="320">
        <v>110095.16</v>
      </c>
      <c r="H35" s="321"/>
      <c r="I35" s="322"/>
      <c r="J35" s="321"/>
      <c r="K35" s="320">
        <v>147527.42000000001</v>
      </c>
      <c r="L35" s="323">
        <v>20984</v>
      </c>
      <c r="M35" s="318"/>
      <c r="N35" s="321"/>
      <c r="O35" s="320">
        <v>202095.11</v>
      </c>
      <c r="P35" s="321"/>
      <c r="Q35" s="322"/>
      <c r="R35" s="321"/>
      <c r="S35" s="319">
        <v>159017</v>
      </c>
      <c r="T35" s="323"/>
      <c r="U35" s="319"/>
      <c r="V35" s="325"/>
      <c r="W35" s="326">
        <v>103233.12</v>
      </c>
      <c r="X35" s="326">
        <v>0</v>
      </c>
      <c r="Y35" s="326"/>
      <c r="Z35" s="327"/>
      <c r="AA35" s="326">
        <v>228601</v>
      </c>
      <c r="AB35" s="329">
        <v>0</v>
      </c>
      <c r="AC35" s="319"/>
      <c r="AD35" s="327"/>
      <c r="AE35" s="326">
        <v>200982</v>
      </c>
      <c r="AF35" s="326">
        <v>0</v>
      </c>
      <c r="AG35" s="330"/>
      <c r="AH35" s="327"/>
      <c r="AI35" s="319">
        <v>317412.78999999998</v>
      </c>
      <c r="AJ35" s="319">
        <v>0</v>
      </c>
      <c r="AK35" s="319"/>
      <c r="AL35" s="325"/>
      <c r="AM35" s="326">
        <v>385355</v>
      </c>
      <c r="AN35" s="326">
        <v>0</v>
      </c>
      <c r="AO35" s="326"/>
      <c r="AP35" s="327"/>
      <c r="AQ35" s="326">
        <v>616660.66</v>
      </c>
      <c r="AR35" s="331">
        <v>0</v>
      </c>
      <c r="AS35" s="331"/>
      <c r="AT35" s="331"/>
      <c r="AU35" s="331">
        <v>343937.51999999996</v>
      </c>
      <c r="AV35" s="331">
        <v>0</v>
      </c>
      <c r="AW35" s="331"/>
      <c r="AX35" s="331"/>
      <c r="AY35" s="331">
        <v>322760.92000000004</v>
      </c>
      <c r="AZ35" s="331">
        <v>0</v>
      </c>
      <c r="BA35" s="331"/>
      <c r="BB35" s="331"/>
      <c r="BC35" s="356">
        <v>379311.01</v>
      </c>
      <c r="BD35" s="331"/>
      <c r="BE35" s="331"/>
      <c r="BF35" s="331"/>
      <c r="BG35" s="331">
        <f>+BH35</f>
        <v>173846.80269805776</v>
      </c>
      <c r="BH35" s="331">
        <v>173846.80269805776</v>
      </c>
      <c r="BI35" s="331">
        <f>0.4*327755.15</f>
        <v>131102.06000000003</v>
      </c>
      <c r="BJ35" s="331">
        <v>336121.92999999993</v>
      </c>
      <c r="BK35" s="331"/>
      <c r="BL35" s="331"/>
      <c r="BM35" s="331"/>
      <c r="BN35" s="290">
        <v>292721.17</v>
      </c>
      <c r="BO35" s="290"/>
      <c r="BP35" s="290"/>
      <c r="BQ35" s="290"/>
      <c r="BR35" s="290">
        <v>265021.26</v>
      </c>
      <c r="BS35" s="290"/>
      <c r="BT35" s="290"/>
      <c r="BU35" s="290"/>
      <c r="BV35" s="290">
        <v>348152.55000000005</v>
      </c>
      <c r="BW35" s="290">
        <v>0</v>
      </c>
      <c r="BX35" s="290"/>
      <c r="BY35" s="290"/>
      <c r="BZ35" s="290">
        <v>246813.81</v>
      </c>
      <c r="CA35" s="290">
        <v>0</v>
      </c>
      <c r="CB35" s="290"/>
      <c r="CC35" s="290"/>
      <c r="CD35" s="290">
        <v>162283.13</v>
      </c>
      <c r="CE35" s="290">
        <v>0</v>
      </c>
      <c r="CF35" s="290"/>
      <c r="CG35" s="290"/>
      <c r="CH35" s="290">
        <v>295989.71999999997</v>
      </c>
      <c r="CI35" s="290">
        <v>0</v>
      </c>
      <c r="CJ35" s="290"/>
      <c r="CK35" s="290"/>
      <c r="CL35" s="321">
        <f>IF(D35=0,0,2001-(D35-F35)*C35/D35)</f>
        <v>1991.607642802117</v>
      </c>
      <c r="CM35" s="333">
        <f>IF((1-($DI$2-$CL35)/$C35)&gt;0,(1-($DI$2-$CL35)/$C35),0)</f>
        <v>2.0254760070565703E-2</v>
      </c>
      <c r="CN35" s="333">
        <f>IF((1-($DI$2-G$2)/$C35)&gt;0,(1-($DI$2-G$2)/$C35),0)</f>
        <v>0.3666666666666667</v>
      </c>
      <c r="CO35" s="333">
        <f>IF((1-($DI$2-K$2)/$C35)&gt;0,(1-($DI$2-K$2)/$C35),0)</f>
        <v>0.4</v>
      </c>
      <c r="CP35" s="333">
        <f>IF((1-($DI$2-O$2)/$C35)&gt;0,(1-($DI$2-O$2)/$C35),0)</f>
        <v>0.43333333333333335</v>
      </c>
      <c r="CQ35" s="333">
        <f>IF((1-($DI$2-S$2)/$C35)&gt;0,(1-($DI$2-S$2)/$C35),0)</f>
        <v>0.46666666666666667</v>
      </c>
      <c r="CR35" s="333">
        <f>IF((1-($DI$2-W$2)/$C35)&gt;0,(1-($DI$2-W$2)/$C35),0)</f>
        <v>0.5</v>
      </c>
      <c r="CS35" s="333">
        <f>IF((1-($DI$2-AA$2)/$C35)&gt;0,(1-($DI$2-AA$2)/$C35),0)</f>
        <v>0.53333333333333333</v>
      </c>
      <c r="CT35" s="333">
        <f>IF((1-($DI$2-AE$2)/$C35)&gt;0,(1-($DI$2-AE$2)/$C35),0)</f>
        <v>0.56666666666666665</v>
      </c>
      <c r="CU35" s="333">
        <f>IF((1-($DI$2-AI$2)/$C35)&gt;0,(1-($DI$2-AI$2)/$C35),0)</f>
        <v>0.6</v>
      </c>
      <c r="CV35" s="333">
        <f>IF((1-($DI$2-AM$2)/$C35)&gt;0,(1-($DI$2-AM$2)/$C35),0)</f>
        <v>0.6333333333333333</v>
      </c>
      <c r="CW35" s="333">
        <f>IF((1-($DI$2-AQ$2)/$C35)&gt;0,(1-($DI$2-AQ$2)/$C35),0)</f>
        <v>0.66666666666666674</v>
      </c>
      <c r="CX35" s="333">
        <f>IF((1-($DI$2-AU$2)/$C35)&gt;0,(1-($DI$2-AU$2)/$C35),0)</f>
        <v>0.7</v>
      </c>
      <c r="CY35" s="333">
        <f>IF((1-($DI$2-AY$2)/$C35)&gt;0,(1-($DI$2-AY$2)/$C35),0)</f>
        <v>0.73333333333333339</v>
      </c>
      <c r="CZ35" s="333">
        <f>IF((1-($DI$2-BC$2)/$C35)&gt;0,(1-($DI$2-BC$2)/$C35),0)</f>
        <v>0.76666666666666661</v>
      </c>
      <c r="DA35" s="333">
        <f>IF(BG35=0,0,1-($DI$2-(2014.5-(BG35-BI35)*C35/BG35))/C35)</f>
        <v>0.53745741249573098</v>
      </c>
      <c r="DB35" s="333">
        <f>IF((1-($DI$2-BJ$2)/$C35)&gt;0,(1-($DI$2-BJ$2)/$C35),0)</f>
        <v>0.8</v>
      </c>
      <c r="DC35" s="333">
        <f>IF((1-($DI$2-BN$2)/$C35)&gt;0,(1-($DI$2-BN$2)/$C35),0)</f>
        <v>0.83333333333333337</v>
      </c>
      <c r="DD35" s="333">
        <f>IF((1-($DI$2-BR$2)/$C35)&gt;0,(1-($DI$2-BR$2)/$C35),0)</f>
        <v>0.8666666666666667</v>
      </c>
      <c r="DE35" s="333">
        <f>IF((1-($DI$2-BV$2)/$C35)&gt;0,(1-($DI$2-BV$2)/$C35),0)</f>
        <v>0.9</v>
      </c>
      <c r="DF35" s="333">
        <f>IF((1-($DI$2-BZ$2)/$C35)&gt;0,(1-($DI$2-BZ$2)/$C35),0)</f>
        <v>0.93333333333333335</v>
      </c>
      <c r="DG35" s="333">
        <f>IF((1-($DI$2-CD$2)/$C35)&gt;0,(1-($DI$2-CD$2)/$C35),0)</f>
        <v>0.96666666666666667</v>
      </c>
      <c r="DH35" s="333">
        <f>IF((1-($DI$2-CH$2)/$C35)&gt;0,(1-($DI$2-CH$2)/$C35),0)</f>
        <v>1</v>
      </c>
      <c r="DI35" s="334">
        <f t="shared" si="28"/>
        <v>14767694.206653068</v>
      </c>
      <c r="DJ35" s="334">
        <f t="shared" si="29"/>
        <v>0</v>
      </c>
      <c r="DK35" s="334">
        <f>(D35-E35)*CM35+((G35-H35-(I35-J35))*G$61)*CN35+((K35-L35-(M35-N35))*K$61)*CO35+((O35-P35-(Q35-R35))*O$61)*CP35+((S35-T35-(U35-V35))*S$61)*CQ35+((W35-X35-(Y35-Z35))*W$61)*CR35+((AA35-AB35-(AC35-AD35))*AA$61)*CS35+((AE35-AF35-(AG35-AH35))*AE$61)*CT35+((AI35-AJ35-(AK35-AL35))*AI$61)*CU35+((AM35-AN35-(AO35-AP35))*$AM$61)*CV35+((AQ35-AR35-(AS35-AT35))*$AQ$61)*CW35+((AU35-AV35-(AW35-AX35))*$AU$61)*CX35+((AY35-AZ35-(BA35-BB35))*$AY$61)*CY35+((BC35-BD35-(BE35-BF35))*$BC$61)*CZ35+((BJ35-BK35-(BL35-BM35))*$BJ$61)*DB35+(BG35-BH35)*DA35+((BN35-BO35-(BP35-BQ35))*$BN$61)*DC35+((BR35-BS35-(BT35-BU35))*$BR$61)*DD35+((BV35-BW35-(BX35-BY35))*$BV$61)*DE35+((BZ35-CA35-(CB35-CC35))*$BZ$61)*DF35+((CD35-CE35-(CF35-CG35))*$CD$61)*DG35+((CH35-CI35-(CJ35-CK35))*$CH$61*DH35)</f>
        <v>3418169.1323079998</v>
      </c>
    </row>
    <row r="36" spans="1:115" ht="12.75" customHeight="1" x14ac:dyDescent="0.35">
      <c r="A36" s="335"/>
      <c r="B36" s="357" t="s">
        <v>32</v>
      </c>
      <c r="C36" s="358"/>
      <c r="D36" s="337">
        <v>0</v>
      </c>
      <c r="E36" s="321"/>
      <c r="F36" s="337">
        <v>0</v>
      </c>
      <c r="G36" s="321"/>
      <c r="H36" s="321"/>
      <c r="I36" s="321"/>
      <c r="J36" s="321"/>
      <c r="K36" s="321"/>
      <c r="L36" s="323">
        <v>0</v>
      </c>
      <c r="M36" s="323"/>
      <c r="N36" s="321"/>
      <c r="O36" s="321"/>
      <c r="P36" s="321"/>
      <c r="Q36" s="321"/>
      <c r="R36" s="321"/>
      <c r="S36" s="319"/>
      <c r="T36" s="319"/>
      <c r="U36" s="329"/>
      <c r="V36" s="325"/>
      <c r="W36" s="326"/>
      <c r="X36" s="327"/>
      <c r="Y36" s="326"/>
      <c r="Z36" s="327"/>
      <c r="AA36" s="327"/>
      <c r="AB36" s="327"/>
      <c r="AC36" s="325"/>
      <c r="AD36" s="327"/>
      <c r="AE36" s="327"/>
      <c r="AF36" s="327"/>
      <c r="AG36" s="337"/>
      <c r="AH36" s="327"/>
      <c r="AI36" s="329"/>
      <c r="AJ36" s="325"/>
      <c r="AK36" s="325"/>
      <c r="AL36" s="325"/>
      <c r="AM36" s="337">
        <v>0</v>
      </c>
      <c r="AN36" s="326">
        <v>0</v>
      </c>
      <c r="AO36" s="326"/>
      <c r="AP36" s="327"/>
      <c r="AQ36" s="352">
        <v>0</v>
      </c>
      <c r="AR36" s="331">
        <v>0</v>
      </c>
      <c r="AS36" s="331"/>
      <c r="AT36" s="331"/>
      <c r="AU36" s="353">
        <v>0</v>
      </c>
      <c r="AV36" s="354">
        <v>0</v>
      </c>
      <c r="AW36" s="354"/>
      <c r="AX36" s="355"/>
      <c r="AY36" s="331">
        <v>0</v>
      </c>
      <c r="AZ36" s="331">
        <v>0</v>
      </c>
      <c r="BA36" s="331"/>
      <c r="BB36" s="331"/>
      <c r="BC36" s="332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>
        <v>0</v>
      </c>
      <c r="CJ36" s="290"/>
      <c r="CK36" s="290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4">
        <f t="shared" si="28"/>
        <v>0</v>
      </c>
      <c r="DJ36" s="334">
        <f t="shared" si="29"/>
        <v>0</v>
      </c>
      <c r="DK36" s="334"/>
    </row>
    <row r="37" spans="1:115" ht="12.75" customHeight="1" x14ac:dyDescent="0.25">
      <c r="A37" s="335"/>
      <c r="B37" s="359" t="s">
        <v>59</v>
      </c>
      <c r="C37" s="316">
        <v>10</v>
      </c>
      <c r="D37" s="317">
        <v>0</v>
      </c>
      <c r="E37" s="318"/>
      <c r="F37" s="317">
        <v>0</v>
      </c>
      <c r="G37" s="320">
        <v>0</v>
      </c>
      <c r="H37" s="320"/>
      <c r="I37" s="322"/>
      <c r="J37" s="320"/>
      <c r="K37" s="320">
        <v>0</v>
      </c>
      <c r="L37" s="322">
        <v>0</v>
      </c>
      <c r="M37" s="318"/>
      <c r="N37" s="320"/>
      <c r="O37" s="320">
        <v>0</v>
      </c>
      <c r="P37" s="318"/>
      <c r="Q37" s="322"/>
      <c r="R37" s="318"/>
      <c r="S37" s="319">
        <v>0</v>
      </c>
      <c r="T37" s="323"/>
      <c r="U37" s="319"/>
      <c r="V37" s="325"/>
      <c r="W37" s="326">
        <v>0</v>
      </c>
      <c r="X37" s="326">
        <v>0</v>
      </c>
      <c r="Y37" s="326"/>
      <c r="Z37" s="327"/>
      <c r="AA37" s="326">
        <v>0</v>
      </c>
      <c r="AB37" s="329">
        <v>0</v>
      </c>
      <c r="AC37" s="319"/>
      <c r="AD37" s="327"/>
      <c r="AE37" s="326">
        <v>0</v>
      </c>
      <c r="AF37" s="326">
        <v>0</v>
      </c>
      <c r="AG37" s="330"/>
      <c r="AH37" s="327"/>
      <c r="AI37" s="319">
        <v>0</v>
      </c>
      <c r="AJ37" s="319">
        <v>0</v>
      </c>
      <c r="AK37" s="319"/>
      <c r="AL37" s="325"/>
      <c r="AM37" s="326">
        <v>0</v>
      </c>
      <c r="AN37" s="326">
        <v>0</v>
      </c>
      <c r="AO37" s="326"/>
      <c r="AP37" s="327"/>
      <c r="AQ37" s="326">
        <v>0</v>
      </c>
      <c r="AR37" s="331">
        <v>0</v>
      </c>
      <c r="AS37" s="331"/>
      <c r="AT37" s="331"/>
      <c r="AU37" s="331">
        <v>0</v>
      </c>
      <c r="AV37" s="331">
        <v>0</v>
      </c>
      <c r="AW37" s="331"/>
      <c r="AX37" s="331"/>
      <c r="AY37" s="331">
        <v>0</v>
      </c>
      <c r="AZ37" s="331">
        <v>0</v>
      </c>
      <c r="BA37" s="331"/>
      <c r="BB37" s="331"/>
      <c r="BC37" s="356">
        <v>0</v>
      </c>
      <c r="BD37" s="331"/>
      <c r="BE37" s="331"/>
      <c r="BF37" s="331"/>
      <c r="BG37" s="331"/>
      <c r="BH37" s="331"/>
      <c r="BI37" s="331"/>
      <c r="BJ37" s="331">
        <v>0</v>
      </c>
      <c r="BK37" s="331"/>
      <c r="BL37" s="331"/>
      <c r="BM37" s="331"/>
      <c r="BN37" s="290">
        <v>0</v>
      </c>
      <c r="BO37" s="290"/>
      <c r="BP37" s="290"/>
      <c r="BQ37" s="290"/>
      <c r="BR37" s="290">
        <v>0</v>
      </c>
      <c r="BS37" s="290"/>
      <c r="BT37" s="290"/>
      <c r="BU37" s="290"/>
      <c r="BV37" s="290">
        <v>0</v>
      </c>
      <c r="BW37" s="290">
        <v>0</v>
      </c>
      <c r="BX37" s="290"/>
      <c r="BY37" s="290"/>
      <c r="BZ37" s="290">
        <v>0</v>
      </c>
      <c r="CA37" s="290">
        <v>0</v>
      </c>
      <c r="CB37" s="290"/>
      <c r="CC37" s="290"/>
      <c r="CD37" s="290">
        <v>0</v>
      </c>
      <c r="CE37" s="290">
        <v>0</v>
      </c>
      <c r="CF37" s="290"/>
      <c r="CG37" s="290"/>
      <c r="CH37" s="290">
        <v>0</v>
      </c>
      <c r="CI37" s="290">
        <v>0</v>
      </c>
      <c r="CJ37" s="290"/>
      <c r="CK37" s="290"/>
      <c r="CL37" s="321">
        <f t="shared" ref="CL37:CL44" si="54">IF(D37=0,0,2001-(D37-F37)*C37/D37)</f>
        <v>0</v>
      </c>
      <c r="CM37" s="333">
        <f t="shared" ref="CM37:CM44" si="55">IF((1-($DI$2-$CL37)/$C37)&gt;0,(1-($DI$2-$CL37)/$C37),0)</f>
        <v>0</v>
      </c>
      <c r="CN37" s="333">
        <f t="shared" ref="CN37:CN44" si="56">IF((1-($DI$2-G$2)/$C37)&gt;0,(1-($DI$2-G$2)/$C37),0)</f>
        <v>0</v>
      </c>
      <c r="CO37" s="333">
        <f t="shared" ref="CO37:CO44" si="57">IF((1-($DI$2-K$2)/$C37)&gt;0,(1-($DI$2-K$2)/$C37),0)</f>
        <v>0</v>
      </c>
      <c r="CP37" s="333">
        <f t="shared" ref="CP37:CP44" si="58">IF((1-($DI$2-O$2)/$C37)&gt;0,(1-($DI$2-O$2)/$C37),0)</f>
        <v>0</v>
      </c>
      <c r="CQ37" s="333">
        <f t="shared" ref="CQ37:CQ44" si="59">IF((1-($DI$2-S$2)/$C37)&gt;0,(1-($DI$2-S$2)/$C37),0)</f>
        <v>0</v>
      </c>
      <c r="CR37" s="333">
        <f t="shared" ref="CR37:CR44" si="60">IF((1-($DI$2-W$2)/$C37)&gt;0,(1-($DI$2-W$2)/$C37),0)</f>
        <v>0</v>
      </c>
      <c r="CS37" s="333">
        <f t="shared" ref="CS37:CS44" si="61">IF((1-($DI$2-AA$2)/$C37)&gt;0,(1-($DI$2-AA$2)/$C37),0)</f>
        <v>0</v>
      </c>
      <c r="CT37" s="333">
        <f t="shared" ref="CT37:CT44" si="62">IF((1-($DI$2-AE$2)/$C37)&gt;0,(1-($DI$2-AE$2)/$C37),0)</f>
        <v>0</v>
      </c>
      <c r="CU37" s="333">
        <f t="shared" ref="CU37:CU44" si="63">IF((1-($DI$2-AI$2)/$C37)&gt;0,(1-($DI$2-AI$2)/$C37),0)</f>
        <v>0</v>
      </c>
      <c r="CV37" s="333">
        <f t="shared" ref="CV37:CV44" si="64">IF((1-($DI$2-AM$2)/$C37)&gt;0,(1-($DI$2-AM$2)/$C37),0)</f>
        <v>0</v>
      </c>
      <c r="CW37" s="333">
        <f t="shared" ref="CW37:CW44" si="65">IF((1-($DI$2-AQ$2)/$C37)&gt;0,(1-($DI$2-AQ$2)/$C37),0)</f>
        <v>0</v>
      </c>
      <c r="CX37" s="333">
        <f t="shared" ref="CX37:CX44" si="66">IF((1-($DI$2-AU$2)/$C37)&gt;0,(1-($DI$2-AU$2)/$C37),0)</f>
        <v>9.9999999999999978E-2</v>
      </c>
      <c r="CY37" s="333">
        <f t="shared" ref="CY37:CY44" si="67">IF((1-($DI$2-AY$2)/$C37)&gt;0,(1-($DI$2-AY$2)/$C37),0)</f>
        <v>0.19999999999999996</v>
      </c>
      <c r="CZ37" s="333">
        <f t="shared" ref="CZ37:CZ44" si="68">IF((1-($DI$2-BC$2)/$C37)&gt;0,(1-($DI$2-BC$2)/$C37),0)</f>
        <v>0.30000000000000004</v>
      </c>
      <c r="DA37" s="333">
        <f t="shared" ref="DA37:DA44" si="69">IF(BG37=0,0,1-($DI$2-(2014.5-(BG37-BI37)*C37/BG37))/C37)</f>
        <v>0</v>
      </c>
      <c r="DB37" s="333">
        <f t="shared" ref="DB37:DB44" si="70">IF((1-($DI$2-BJ$2)/$C37)&gt;0,(1-($DI$2-BJ$2)/$C37),0)</f>
        <v>0.4</v>
      </c>
      <c r="DC37" s="333">
        <f t="shared" ref="DC37:DC44" si="71">IF((1-($DI$2-BN$2)/$C37)&gt;0,(1-($DI$2-BN$2)/$C37),0)</f>
        <v>0.5</v>
      </c>
      <c r="DD37" s="333">
        <f t="shared" ref="DD37:DD44" si="72">IF((1-($DI$2-BR$2)/$C37)&gt;0,(1-($DI$2-BR$2)/$C37),0)</f>
        <v>0.6</v>
      </c>
      <c r="DE37" s="333">
        <f t="shared" ref="DE37:DE44" si="73">IF((1-($DI$2-BV$2)/$C37)&gt;0,(1-($DI$2-BV$2)/$C37),0)</f>
        <v>0.7</v>
      </c>
      <c r="DF37" s="333">
        <f t="shared" ref="DF37:DF44" si="74">IF((1-($DI$2-BZ$2)/$C37)&gt;0,(1-($DI$2-BZ$2)/$C37),0)</f>
        <v>0.8</v>
      </c>
      <c r="DG37" s="333">
        <f t="shared" ref="DG37:DG44" si="75">IF((1-($DI$2-CD$2)/$C37)&gt;0,(1-($DI$2-CD$2)/$C37),0)</f>
        <v>0.9</v>
      </c>
      <c r="DH37" s="333">
        <f t="shared" ref="DH37:DH44" si="76">IF((1-($DI$2-CH$2)/$C37)&gt;0,(1-($DI$2-CH$2)/$C37),0)</f>
        <v>1</v>
      </c>
      <c r="DI37" s="334">
        <f t="shared" si="28"/>
        <v>0</v>
      </c>
      <c r="DJ37" s="334">
        <f t="shared" si="29"/>
        <v>0</v>
      </c>
      <c r="DK37" s="334">
        <f>(D37-E37)*CM37+((G37-H37-(I37-J37))*G$61)*CN37+((K37-L37-(M37-N37))*K$61)*CO37+((O37-P37-(Q37-R37))*O$61)*CP37+((S37-T37-(U37-V37))*S$61)*CQ37+((W37-X37-(Y37-Z37))*W$61)*CR37+((AA37-AB37-(AC37-AD37))*AA$61)*CS37+((AE37-AF37-(AG37-AH37))*AE$61)*CT37+((AI37-AJ37-(AK37-AL37))*AI$61)*CU37+((AM37-AN37-(AO37-AP37))*$AM$61)*CV37+((AQ37-AR37-(AS37-AT37))*$AQ$61)*CW37+((AU37-AV37-(AW37-AX37))*$AU$61)*CX37+((AY37-AZ37-(BA37-BB37))*$AY$61)*CY37+((BC37-BD37-(BE37-BF37))*$BC$61)*CZ37+((BJ37-BK37-(BL37-BM37))*$BJ$61)*DB37+(BG37-BH37)*DA37+((BN37-BO37-(BP37-BQ37))*$BN$61)*DC37+((BR37-BS37-(BT37-BU37))*$BR$61)*DD37+((BV37-BW37-(BX37-BY37))*$BV$61)*DE37+((BZ37-CA37-(CB37-CC37))*$BZ$61)*DF37+((CD37-CE37-(CF37-CG37))*$CD$61)*DG37+((CH37-CI37-(CJ37-CK37))*$CH$61*DH37)</f>
        <v>0</v>
      </c>
    </row>
    <row r="38" spans="1:115" ht="12.75" customHeight="1" x14ac:dyDescent="0.25">
      <c r="A38" s="335"/>
      <c r="B38" s="359" t="s">
        <v>12</v>
      </c>
      <c r="C38" s="316">
        <v>5</v>
      </c>
      <c r="D38" s="317">
        <v>0</v>
      </c>
      <c r="E38" s="318"/>
      <c r="F38" s="317">
        <v>0</v>
      </c>
      <c r="G38" s="320">
        <v>0</v>
      </c>
      <c r="H38" s="320"/>
      <c r="I38" s="322"/>
      <c r="J38" s="320"/>
      <c r="K38" s="320">
        <v>0</v>
      </c>
      <c r="L38" s="322">
        <v>0</v>
      </c>
      <c r="M38" s="318"/>
      <c r="N38" s="320"/>
      <c r="O38" s="320">
        <v>0</v>
      </c>
      <c r="P38" s="318"/>
      <c r="Q38" s="322"/>
      <c r="R38" s="318"/>
      <c r="S38" s="319">
        <v>0</v>
      </c>
      <c r="T38" s="323"/>
      <c r="U38" s="319"/>
      <c r="V38" s="325"/>
      <c r="W38" s="326">
        <v>0</v>
      </c>
      <c r="X38" s="326">
        <v>0</v>
      </c>
      <c r="Y38" s="326"/>
      <c r="Z38" s="327"/>
      <c r="AA38" s="326">
        <v>0</v>
      </c>
      <c r="AB38" s="329">
        <v>0</v>
      </c>
      <c r="AC38" s="319"/>
      <c r="AD38" s="327"/>
      <c r="AE38" s="326">
        <v>0</v>
      </c>
      <c r="AF38" s="326">
        <v>0</v>
      </c>
      <c r="AG38" s="330"/>
      <c r="AH38" s="327"/>
      <c r="AI38" s="319">
        <v>0</v>
      </c>
      <c r="AJ38" s="319">
        <v>0</v>
      </c>
      <c r="AK38" s="319"/>
      <c r="AL38" s="325"/>
      <c r="AM38" s="326">
        <v>0</v>
      </c>
      <c r="AN38" s="326">
        <v>0</v>
      </c>
      <c r="AO38" s="326"/>
      <c r="AP38" s="327"/>
      <c r="AQ38" s="326">
        <v>0</v>
      </c>
      <c r="AR38" s="331">
        <v>0</v>
      </c>
      <c r="AS38" s="331"/>
      <c r="AT38" s="331"/>
      <c r="AU38" s="331">
        <v>0</v>
      </c>
      <c r="AV38" s="331">
        <v>0</v>
      </c>
      <c r="AW38" s="331"/>
      <c r="AX38" s="331"/>
      <c r="AY38" s="331">
        <v>13307.93</v>
      </c>
      <c r="AZ38" s="331">
        <v>0</v>
      </c>
      <c r="BA38" s="331"/>
      <c r="BB38" s="331"/>
      <c r="BC38" s="356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/>
      <c r="CJ38" s="290"/>
      <c r="CK38" s="290"/>
      <c r="CL38" s="321">
        <f t="shared" si="54"/>
        <v>0</v>
      </c>
      <c r="CM38" s="333">
        <f t="shared" si="55"/>
        <v>0</v>
      </c>
      <c r="CN38" s="333">
        <f t="shared" si="56"/>
        <v>0</v>
      </c>
      <c r="CO38" s="333">
        <f t="shared" si="57"/>
        <v>0</v>
      </c>
      <c r="CP38" s="333">
        <f t="shared" si="58"/>
        <v>0</v>
      </c>
      <c r="CQ38" s="333">
        <f t="shared" si="59"/>
        <v>0</v>
      </c>
      <c r="CR38" s="333">
        <f t="shared" si="60"/>
        <v>0</v>
      </c>
      <c r="CS38" s="333">
        <f t="shared" si="61"/>
        <v>0</v>
      </c>
      <c r="CT38" s="333">
        <f t="shared" si="62"/>
        <v>0</v>
      </c>
      <c r="CU38" s="333">
        <f t="shared" si="63"/>
        <v>0</v>
      </c>
      <c r="CV38" s="333">
        <f t="shared" si="64"/>
        <v>0</v>
      </c>
      <c r="CW38" s="333">
        <f t="shared" si="65"/>
        <v>0</v>
      </c>
      <c r="CX38" s="333">
        <f t="shared" si="66"/>
        <v>0</v>
      </c>
      <c r="CY38" s="333">
        <f t="shared" si="67"/>
        <v>0</v>
      </c>
      <c r="CZ38" s="333">
        <f t="shared" si="68"/>
        <v>0</v>
      </c>
      <c r="DA38" s="333">
        <f t="shared" si="69"/>
        <v>0</v>
      </c>
      <c r="DB38" s="333">
        <f t="shared" si="70"/>
        <v>0</v>
      </c>
      <c r="DC38" s="333">
        <f t="shared" si="71"/>
        <v>0</v>
      </c>
      <c r="DD38" s="333">
        <f t="shared" si="72"/>
        <v>0.19999999999999996</v>
      </c>
      <c r="DE38" s="333">
        <f t="shared" si="73"/>
        <v>0.4</v>
      </c>
      <c r="DF38" s="333">
        <f t="shared" si="74"/>
        <v>0.6</v>
      </c>
      <c r="DG38" s="333">
        <f t="shared" si="75"/>
        <v>0.8</v>
      </c>
      <c r="DH38" s="333">
        <f t="shared" si="76"/>
        <v>1</v>
      </c>
      <c r="DI38" s="334">
        <f t="shared" si="28"/>
        <v>7670.8689809675761</v>
      </c>
      <c r="DJ38" s="334">
        <f t="shared" si="29"/>
        <v>7670.8689809675761</v>
      </c>
      <c r="DK38" s="334">
        <f t="shared" ref="DK38:DK44" si="77">(D38-E38)*CM38+((G38-H38-(I38-J38))*G$61)*CN38+((K38-L38-(M38-N38))*K$61)*CO38+((O38-P38-(Q38-R38))*O$61)*CP38+((S38-T38-(U38-V38))*S$61)*CQ38+((W38-X38-(Y38-Z38))*W$61)*CR38+((AA38-AB38-(AC38-AD38))*AA$61)*CS38+((AE38-AF38-(AG38-AH38))*AE$61)*CT38+((AI38-AJ38-(AK38-AL38))*AI$61)*CU38+((AM38-AN38-(AO38-AP38))*$AM$61)*CV38+((AQ38-AR38-(AS38-AT38))*$AQ$61)*CW38+((AU38-AV38-(AW38-AX38))*$AU$61)*CX38+((AY38-AZ38-(BA38-BB38))*$AY$61)*CY38+((BC38-BD38-(BE38-BF38))*$BC$61)*CZ38+((BJ38-BK38-(BL38-BM38))*$BJ$61)*DB38+(BG38-BH38)*DA38+((BN38-BO38-(BP38-BQ38))*$BN$61)*DC38+((BR38-BS38-(BT38-BU38))*$BR$61)*DD38+((BV38-BW38-(BX38-BY38))*$BV$61)*DE38+((BZ38-CA38-(CB38-CC38))*$BZ$61)*DF38+((CD38-CE38-(CF38-CG38))*$CD$61)*DG38+((CH38-CI38-(CJ38-CK38))*$CH$61*DH38)</f>
        <v>0</v>
      </c>
    </row>
    <row r="39" spans="1:115" ht="12.75" customHeight="1" x14ac:dyDescent="0.25">
      <c r="A39" s="335"/>
      <c r="B39" s="359" t="s">
        <v>39</v>
      </c>
      <c r="C39" s="316">
        <v>1000</v>
      </c>
      <c r="D39" s="317">
        <v>0</v>
      </c>
      <c r="E39" s="318"/>
      <c r="F39" s="317">
        <v>0</v>
      </c>
      <c r="G39" s="320">
        <v>0</v>
      </c>
      <c r="H39" s="320"/>
      <c r="I39" s="322"/>
      <c r="J39" s="320"/>
      <c r="K39" s="320">
        <v>0</v>
      </c>
      <c r="L39" s="322">
        <v>0</v>
      </c>
      <c r="M39" s="318"/>
      <c r="N39" s="320"/>
      <c r="O39" s="320">
        <v>0</v>
      </c>
      <c r="P39" s="318"/>
      <c r="Q39" s="322"/>
      <c r="R39" s="318"/>
      <c r="S39" s="319">
        <v>0</v>
      </c>
      <c r="T39" s="323"/>
      <c r="U39" s="319"/>
      <c r="V39" s="325"/>
      <c r="W39" s="326">
        <v>0</v>
      </c>
      <c r="X39" s="326">
        <v>0</v>
      </c>
      <c r="Y39" s="326"/>
      <c r="Z39" s="327"/>
      <c r="AA39" s="326">
        <v>0</v>
      </c>
      <c r="AB39" s="329">
        <v>0</v>
      </c>
      <c r="AC39" s="319"/>
      <c r="AD39" s="327"/>
      <c r="AE39" s="326">
        <v>0</v>
      </c>
      <c r="AF39" s="326">
        <v>0</v>
      </c>
      <c r="AG39" s="330"/>
      <c r="AH39" s="327"/>
      <c r="AI39" s="319">
        <v>0</v>
      </c>
      <c r="AJ39" s="319">
        <v>0</v>
      </c>
      <c r="AK39" s="319"/>
      <c r="AL39" s="325"/>
      <c r="AM39" s="326">
        <v>0</v>
      </c>
      <c r="AN39" s="326">
        <v>0</v>
      </c>
      <c r="AO39" s="326"/>
      <c r="AP39" s="327"/>
      <c r="AQ39" s="326">
        <v>0</v>
      </c>
      <c r="AR39" s="331">
        <v>0</v>
      </c>
      <c r="AS39" s="331"/>
      <c r="AT39" s="331"/>
      <c r="AU39" s="331">
        <v>0</v>
      </c>
      <c r="AV39" s="331">
        <v>0</v>
      </c>
      <c r="AW39" s="331"/>
      <c r="AX39" s="331"/>
      <c r="AY39" s="331">
        <v>0</v>
      </c>
      <c r="AZ39" s="331">
        <v>0</v>
      </c>
      <c r="BA39" s="331"/>
      <c r="BB39" s="331"/>
      <c r="BC39" s="356"/>
      <c r="BD39" s="331"/>
      <c r="BE39" s="331"/>
      <c r="BF39" s="331"/>
      <c r="BG39" s="331"/>
      <c r="BH39" s="331"/>
      <c r="BI39" s="331"/>
      <c r="BJ39" s="331"/>
      <c r="BK39" s="331"/>
      <c r="BL39" s="331"/>
      <c r="BM39" s="331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/>
      <c r="CJ39" s="290"/>
      <c r="CK39" s="290"/>
      <c r="CL39" s="321">
        <f t="shared" si="54"/>
        <v>0</v>
      </c>
      <c r="CM39" s="333">
        <f t="shared" si="55"/>
        <v>0</v>
      </c>
      <c r="CN39" s="333">
        <f t="shared" si="56"/>
        <v>0.98099999999999998</v>
      </c>
      <c r="CO39" s="333">
        <f t="shared" si="57"/>
        <v>0.98199999999999998</v>
      </c>
      <c r="CP39" s="333">
        <f t="shared" si="58"/>
        <v>0.98299999999999998</v>
      </c>
      <c r="CQ39" s="333">
        <f t="shared" si="59"/>
        <v>0.98399999999999999</v>
      </c>
      <c r="CR39" s="333">
        <f t="shared" si="60"/>
        <v>0.98499999999999999</v>
      </c>
      <c r="CS39" s="333">
        <f t="shared" si="61"/>
        <v>0.98599999999999999</v>
      </c>
      <c r="CT39" s="333">
        <f t="shared" si="62"/>
        <v>0.98699999999999999</v>
      </c>
      <c r="CU39" s="333">
        <f t="shared" si="63"/>
        <v>0.98799999999999999</v>
      </c>
      <c r="CV39" s="333">
        <f t="shared" si="64"/>
        <v>0.98899999999999999</v>
      </c>
      <c r="CW39" s="333">
        <f t="shared" si="65"/>
        <v>0.99</v>
      </c>
      <c r="CX39" s="333">
        <f t="shared" si="66"/>
        <v>0.99099999999999999</v>
      </c>
      <c r="CY39" s="333">
        <f t="shared" si="67"/>
        <v>0.99199999999999999</v>
      </c>
      <c r="CZ39" s="333">
        <f t="shared" si="68"/>
        <v>0.99299999999999999</v>
      </c>
      <c r="DA39" s="333">
        <f t="shared" si="69"/>
        <v>0</v>
      </c>
      <c r="DB39" s="333">
        <f t="shared" si="70"/>
        <v>0.99399999999999999</v>
      </c>
      <c r="DC39" s="333">
        <f t="shared" si="71"/>
        <v>0.995</v>
      </c>
      <c r="DD39" s="333">
        <f t="shared" si="72"/>
        <v>0.996</v>
      </c>
      <c r="DE39" s="333">
        <f t="shared" si="73"/>
        <v>0.997</v>
      </c>
      <c r="DF39" s="333">
        <f t="shared" si="74"/>
        <v>0.998</v>
      </c>
      <c r="DG39" s="333">
        <f t="shared" si="75"/>
        <v>0.999</v>
      </c>
      <c r="DH39" s="333">
        <f t="shared" si="76"/>
        <v>1</v>
      </c>
      <c r="DI39" s="334">
        <f t="shared" si="28"/>
        <v>0</v>
      </c>
      <c r="DJ39" s="334">
        <f t="shared" si="29"/>
        <v>0</v>
      </c>
      <c r="DK39" s="334">
        <f t="shared" si="77"/>
        <v>0</v>
      </c>
    </row>
    <row r="40" spans="1:115" ht="12.75" customHeight="1" x14ac:dyDescent="0.25">
      <c r="A40" s="335"/>
      <c r="B40" s="359" t="s">
        <v>9</v>
      </c>
      <c r="C40" s="316">
        <v>40</v>
      </c>
      <c r="D40" s="317">
        <v>0</v>
      </c>
      <c r="E40" s="318"/>
      <c r="F40" s="317">
        <v>0</v>
      </c>
      <c r="G40" s="320">
        <v>0</v>
      </c>
      <c r="H40" s="320"/>
      <c r="I40" s="322"/>
      <c r="J40" s="320"/>
      <c r="K40" s="320">
        <v>0</v>
      </c>
      <c r="L40" s="322">
        <v>0</v>
      </c>
      <c r="M40" s="318"/>
      <c r="N40" s="320"/>
      <c r="O40" s="320">
        <v>0</v>
      </c>
      <c r="P40" s="318"/>
      <c r="Q40" s="322"/>
      <c r="R40" s="318"/>
      <c r="S40" s="319">
        <v>0</v>
      </c>
      <c r="T40" s="323"/>
      <c r="U40" s="319"/>
      <c r="V40" s="325"/>
      <c r="W40" s="326">
        <v>0</v>
      </c>
      <c r="X40" s="326">
        <v>0</v>
      </c>
      <c r="Y40" s="326"/>
      <c r="Z40" s="327"/>
      <c r="AA40" s="326">
        <v>0</v>
      </c>
      <c r="AB40" s="329">
        <v>0</v>
      </c>
      <c r="AC40" s="319"/>
      <c r="AD40" s="327"/>
      <c r="AE40" s="326">
        <v>0</v>
      </c>
      <c r="AF40" s="326">
        <v>0</v>
      </c>
      <c r="AG40" s="330"/>
      <c r="AH40" s="327"/>
      <c r="AI40" s="319">
        <v>0</v>
      </c>
      <c r="AJ40" s="319">
        <v>0</v>
      </c>
      <c r="AK40" s="319"/>
      <c r="AL40" s="325"/>
      <c r="AM40" s="326">
        <v>0</v>
      </c>
      <c r="AN40" s="326">
        <v>0</v>
      </c>
      <c r="AO40" s="326"/>
      <c r="AP40" s="327"/>
      <c r="AQ40" s="326">
        <v>0</v>
      </c>
      <c r="AR40" s="331">
        <v>0</v>
      </c>
      <c r="AS40" s="331"/>
      <c r="AT40" s="331"/>
      <c r="AU40" s="331">
        <v>0</v>
      </c>
      <c r="AV40" s="331">
        <v>0</v>
      </c>
      <c r="AW40" s="331"/>
      <c r="AX40" s="331"/>
      <c r="AY40" s="331">
        <v>0</v>
      </c>
      <c r="AZ40" s="331">
        <v>0</v>
      </c>
      <c r="BA40" s="331"/>
      <c r="BB40" s="331"/>
      <c r="BC40" s="356"/>
      <c r="BD40" s="331"/>
      <c r="BE40" s="331"/>
      <c r="BF40" s="331"/>
      <c r="BG40" s="331"/>
      <c r="BH40" s="331"/>
      <c r="BI40" s="331"/>
      <c r="BJ40" s="331"/>
      <c r="BK40" s="331"/>
      <c r="BL40" s="331"/>
      <c r="BM40" s="331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/>
      <c r="CJ40" s="290"/>
      <c r="CK40" s="290"/>
      <c r="CL40" s="321">
        <f t="shared" si="54"/>
        <v>0</v>
      </c>
      <c r="CM40" s="333">
        <f t="shared" si="55"/>
        <v>0</v>
      </c>
      <c r="CN40" s="333">
        <f t="shared" si="56"/>
        <v>0.52500000000000002</v>
      </c>
      <c r="CO40" s="333">
        <f t="shared" si="57"/>
        <v>0.55000000000000004</v>
      </c>
      <c r="CP40" s="333">
        <f t="shared" si="58"/>
        <v>0.57499999999999996</v>
      </c>
      <c r="CQ40" s="333">
        <f t="shared" si="59"/>
        <v>0.6</v>
      </c>
      <c r="CR40" s="333">
        <f t="shared" si="60"/>
        <v>0.625</v>
      </c>
      <c r="CS40" s="333">
        <f t="shared" si="61"/>
        <v>0.65</v>
      </c>
      <c r="CT40" s="333">
        <f t="shared" si="62"/>
        <v>0.67500000000000004</v>
      </c>
      <c r="CU40" s="333">
        <f t="shared" si="63"/>
        <v>0.7</v>
      </c>
      <c r="CV40" s="333">
        <f t="shared" si="64"/>
        <v>0.72499999999999998</v>
      </c>
      <c r="CW40" s="333">
        <f t="shared" si="65"/>
        <v>0.75</v>
      </c>
      <c r="CX40" s="333">
        <f t="shared" si="66"/>
        <v>0.77500000000000002</v>
      </c>
      <c r="CY40" s="333">
        <f t="shared" si="67"/>
        <v>0.8</v>
      </c>
      <c r="CZ40" s="333">
        <f t="shared" si="68"/>
        <v>0.82499999999999996</v>
      </c>
      <c r="DA40" s="333">
        <f t="shared" si="69"/>
        <v>0</v>
      </c>
      <c r="DB40" s="333">
        <f t="shared" si="70"/>
        <v>0.85</v>
      </c>
      <c r="DC40" s="333">
        <f t="shared" si="71"/>
        <v>0.875</v>
      </c>
      <c r="DD40" s="333">
        <f t="shared" si="72"/>
        <v>0.9</v>
      </c>
      <c r="DE40" s="333">
        <f t="shared" si="73"/>
        <v>0.92500000000000004</v>
      </c>
      <c r="DF40" s="333">
        <f t="shared" si="74"/>
        <v>0.95</v>
      </c>
      <c r="DG40" s="333">
        <f t="shared" si="75"/>
        <v>0.97499999999999998</v>
      </c>
      <c r="DH40" s="333">
        <f t="shared" si="76"/>
        <v>1</v>
      </c>
      <c r="DI40" s="334">
        <f t="shared" si="28"/>
        <v>0</v>
      </c>
      <c r="DJ40" s="334">
        <f t="shared" si="29"/>
        <v>0</v>
      </c>
      <c r="DK40" s="334">
        <f t="shared" si="77"/>
        <v>0</v>
      </c>
    </row>
    <row r="41" spans="1:115" ht="12.75" customHeight="1" x14ac:dyDescent="0.25">
      <c r="A41" s="335"/>
      <c r="B41" s="315" t="s">
        <v>51</v>
      </c>
      <c r="C41" s="316">
        <v>10</v>
      </c>
      <c r="D41" s="317">
        <v>68012.532297795682</v>
      </c>
      <c r="E41" s="318"/>
      <c r="F41" s="319">
        <v>0</v>
      </c>
      <c r="G41" s="320">
        <v>8156.81</v>
      </c>
      <c r="H41" s="321"/>
      <c r="I41" s="322"/>
      <c r="J41" s="321"/>
      <c r="K41" s="320">
        <v>72957</v>
      </c>
      <c r="L41" s="323">
        <v>0</v>
      </c>
      <c r="M41" s="318"/>
      <c r="N41" s="321"/>
      <c r="O41" s="320">
        <v>70981</v>
      </c>
      <c r="P41" s="321"/>
      <c r="Q41" s="322"/>
      <c r="R41" s="321"/>
      <c r="S41" s="319">
        <v>43325</v>
      </c>
      <c r="T41" s="323"/>
      <c r="U41" s="319"/>
      <c r="V41" s="325"/>
      <c r="W41" s="326">
        <v>0</v>
      </c>
      <c r="X41" s="326">
        <v>0</v>
      </c>
      <c r="Y41" s="326"/>
      <c r="Z41" s="327"/>
      <c r="AA41" s="326">
        <v>0</v>
      </c>
      <c r="AB41" s="329">
        <v>0</v>
      </c>
      <c r="AC41" s="319"/>
      <c r="AD41" s="327"/>
      <c r="AE41" s="326">
        <v>48894</v>
      </c>
      <c r="AF41" s="326">
        <v>0</v>
      </c>
      <c r="AG41" s="330"/>
      <c r="AH41" s="327"/>
      <c r="AI41" s="319">
        <v>43891.280000000006</v>
      </c>
      <c r="AJ41" s="319">
        <v>0</v>
      </c>
      <c r="AK41" s="319"/>
      <c r="AL41" s="325"/>
      <c r="AM41" s="326">
        <v>15184</v>
      </c>
      <c r="AN41" s="326">
        <v>0</v>
      </c>
      <c r="AO41" s="326"/>
      <c r="AP41" s="327"/>
      <c r="AQ41" s="326">
        <v>15539.74</v>
      </c>
      <c r="AR41" s="331">
        <v>0</v>
      </c>
      <c r="AS41" s="331"/>
      <c r="AT41" s="331"/>
      <c r="AU41" s="331">
        <v>11462.5</v>
      </c>
      <c r="AV41" s="331">
        <v>0</v>
      </c>
      <c r="AW41" s="331"/>
      <c r="AX41" s="331"/>
      <c r="AY41" s="331">
        <v>13307.93</v>
      </c>
      <c r="AZ41" s="331">
        <v>0</v>
      </c>
      <c r="BA41" s="331"/>
      <c r="BB41" s="331"/>
      <c r="BC41" s="356">
        <v>326558.83</v>
      </c>
      <c r="BD41" s="331"/>
      <c r="BE41" s="331"/>
      <c r="BF41" s="331"/>
      <c r="BG41" s="331"/>
      <c r="BH41" s="331"/>
      <c r="BI41" s="331"/>
      <c r="BJ41" s="331">
        <v>848385</v>
      </c>
      <c r="BK41" s="331"/>
      <c r="BL41" s="331"/>
      <c r="BM41" s="331"/>
      <c r="BN41" s="290">
        <v>1423195.31</v>
      </c>
      <c r="BO41" s="290"/>
      <c r="BP41" s="290"/>
      <c r="BQ41" s="290"/>
      <c r="BR41" s="290">
        <v>894955.95</v>
      </c>
      <c r="BS41" s="290"/>
      <c r="BT41" s="290"/>
      <c r="BU41" s="290"/>
      <c r="BV41" s="290">
        <v>463708.69999999995</v>
      </c>
      <c r="BW41" s="290">
        <v>0</v>
      </c>
      <c r="BX41" s="290"/>
      <c r="BY41" s="290"/>
      <c r="BZ41" s="290">
        <v>751857.28</v>
      </c>
      <c r="CA41" s="290">
        <v>0</v>
      </c>
      <c r="CB41" s="290"/>
      <c r="CC41" s="290"/>
      <c r="CD41" s="290">
        <v>935191.96000000008</v>
      </c>
      <c r="CE41" s="290">
        <v>0</v>
      </c>
      <c r="CF41" s="290"/>
      <c r="CG41" s="290"/>
      <c r="CH41" s="290">
        <v>1564664.1</v>
      </c>
      <c r="CI41" s="290">
        <v>0</v>
      </c>
      <c r="CJ41" s="290"/>
      <c r="CK41" s="290"/>
      <c r="CL41" s="321">
        <f t="shared" si="54"/>
        <v>1991</v>
      </c>
      <c r="CM41" s="333">
        <f t="shared" si="55"/>
        <v>0</v>
      </c>
      <c r="CN41" s="333">
        <f t="shared" si="56"/>
        <v>0</v>
      </c>
      <c r="CO41" s="333">
        <f t="shared" si="57"/>
        <v>0</v>
      </c>
      <c r="CP41" s="333">
        <f t="shared" si="58"/>
        <v>0</v>
      </c>
      <c r="CQ41" s="333">
        <f t="shared" si="59"/>
        <v>0</v>
      </c>
      <c r="CR41" s="333">
        <f t="shared" si="60"/>
        <v>0</v>
      </c>
      <c r="CS41" s="333">
        <f t="shared" si="61"/>
        <v>0</v>
      </c>
      <c r="CT41" s="333">
        <f t="shared" si="62"/>
        <v>0</v>
      </c>
      <c r="CU41" s="333">
        <f t="shared" si="63"/>
        <v>0</v>
      </c>
      <c r="CV41" s="333">
        <f t="shared" si="64"/>
        <v>0</v>
      </c>
      <c r="CW41" s="333">
        <f t="shared" si="65"/>
        <v>0</v>
      </c>
      <c r="CX41" s="333">
        <f t="shared" si="66"/>
        <v>9.9999999999999978E-2</v>
      </c>
      <c r="CY41" s="333">
        <f t="shared" si="67"/>
        <v>0.19999999999999996</v>
      </c>
      <c r="CZ41" s="333">
        <f t="shared" si="68"/>
        <v>0.30000000000000004</v>
      </c>
      <c r="DA41" s="333">
        <f t="shared" si="69"/>
        <v>0</v>
      </c>
      <c r="DB41" s="333">
        <f t="shared" si="70"/>
        <v>0.4</v>
      </c>
      <c r="DC41" s="333">
        <f t="shared" si="71"/>
        <v>0.5</v>
      </c>
      <c r="DD41" s="333">
        <f t="shared" si="72"/>
        <v>0.6</v>
      </c>
      <c r="DE41" s="333">
        <f t="shared" si="73"/>
        <v>0.7</v>
      </c>
      <c r="DF41" s="333">
        <f t="shared" si="74"/>
        <v>0.8</v>
      </c>
      <c r="DG41" s="333">
        <f t="shared" si="75"/>
        <v>0.9</v>
      </c>
      <c r="DH41" s="333">
        <f t="shared" si="76"/>
        <v>1</v>
      </c>
      <c r="DI41" s="334">
        <f t="shared" si="28"/>
        <v>6593280.8474848522</v>
      </c>
      <c r="DJ41" s="334">
        <f t="shared" si="29"/>
        <v>340620.83336685458</v>
      </c>
      <c r="DK41" s="334">
        <f t="shared" si="77"/>
        <v>4357845.5687408652</v>
      </c>
    </row>
    <row r="42" spans="1:115" ht="12.75" customHeight="1" x14ac:dyDescent="0.25">
      <c r="A42" s="335"/>
      <c r="B42" s="315" t="s">
        <v>52</v>
      </c>
      <c r="C42" s="316">
        <v>22</v>
      </c>
      <c r="D42" s="317">
        <v>0</v>
      </c>
      <c r="E42" s="318"/>
      <c r="F42" s="337">
        <v>0</v>
      </c>
      <c r="G42" s="320">
        <v>0</v>
      </c>
      <c r="H42" s="321"/>
      <c r="I42" s="322"/>
      <c r="J42" s="321"/>
      <c r="K42" s="320">
        <v>0</v>
      </c>
      <c r="L42" s="323">
        <v>0</v>
      </c>
      <c r="M42" s="318"/>
      <c r="N42" s="321"/>
      <c r="O42" s="320">
        <v>0</v>
      </c>
      <c r="P42" s="321"/>
      <c r="Q42" s="322"/>
      <c r="R42" s="321"/>
      <c r="S42" s="319">
        <v>0</v>
      </c>
      <c r="T42" s="323"/>
      <c r="U42" s="319"/>
      <c r="V42" s="325"/>
      <c r="W42" s="326">
        <v>0</v>
      </c>
      <c r="X42" s="326">
        <v>0</v>
      </c>
      <c r="Y42" s="326"/>
      <c r="Z42" s="327"/>
      <c r="AA42" s="326">
        <v>0</v>
      </c>
      <c r="AB42" s="329">
        <v>0</v>
      </c>
      <c r="AC42" s="319"/>
      <c r="AD42" s="327"/>
      <c r="AE42" s="326">
        <v>21889</v>
      </c>
      <c r="AF42" s="326">
        <v>0</v>
      </c>
      <c r="AG42" s="330"/>
      <c r="AH42" s="327"/>
      <c r="AI42" s="319">
        <v>0</v>
      </c>
      <c r="AJ42" s="319">
        <v>0</v>
      </c>
      <c r="AK42" s="319"/>
      <c r="AL42" s="325"/>
      <c r="AM42" s="326">
        <v>0</v>
      </c>
      <c r="AN42" s="326">
        <v>0</v>
      </c>
      <c r="AO42" s="326"/>
      <c r="AP42" s="327"/>
      <c r="AQ42" s="326">
        <v>0</v>
      </c>
      <c r="AR42" s="331">
        <v>0</v>
      </c>
      <c r="AS42" s="331"/>
      <c r="AT42" s="331"/>
      <c r="AU42" s="331">
        <v>2142</v>
      </c>
      <c r="AV42" s="331">
        <v>0</v>
      </c>
      <c r="AW42" s="331"/>
      <c r="AX42" s="331"/>
      <c r="AY42" s="331">
        <v>48264.98</v>
      </c>
      <c r="AZ42" s="331">
        <v>0</v>
      </c>
      <c r="BA42" s="331"/>
      <c r="BB42" s="331"/>
      <c r="BC42" s="356">
        <v>285524.53000000003</v>
      </c>
      <c r="BD42" s="331"/>
      <c r="BE42" s="331"/>
      <c r="BF42" s="331"/>
      <c r="BG42" s="331"/>
      <c r="BH42" s="331"/>
      <c r="BI42" s="331"/>
      <c r="BJ42" s="331">
        <v>23834.440000000002</v>
      </c>
      <c r="BK42" s="331"/>
      <c r="BL42" s="331"/>
      <c r="BM42" s="331"/>
      <c r="BN42" s="290">
        <v>77437.19</v>
      </c>
      <c r="BO42" s="290"/>
      <c r="BP42" s="290"/>
      <c r="BQ42" s="290"/>
      <c r="BR42" s="290">
        <v>167430</v>
      </c>
      <c r="BS42" s="290"/>
      <c r="BT42" s="290"/>
      <c r="BU42" s="290"/>
      <c r="BV42" s="290">
        <v>0</v>
      </c>
      <c r="BW42" s="290">
        <v>0</v>
      </c>
      <c r="BX42" s="290"/>
      <c r="BY42" s="290"/>
      <c r="BZ42" s="290">
        <v>10851.34</v>
      </c>
      <c r="CA42" s="290">
        <v>0</v>
      </c>
      <c r="CB42" s="290"/>
      <c r="CC42" s="290"/>
      <c r="CD42" s="290">
        <v>124090.44999999998</v>
      </c>
      <c r="CE42" s="290">
        <v>0</v>
      </c>
      <c r="CF42" s="290"/>
      <c r="CG42" s="290"/>
      <c r="CH42" s="290">
        <v>211466.45</v>
      </c>
      <c r="CI42" s="290">
        <v>0</v>
      </c>
      <c r="CJ42" s="290"/>
      <c r="CK42" s="290"/>
      <c r="CL42" s="321">
        <f t="shared" si="54"/>
        <v>0</v>
      </c>
      <c r="CM42" s="333">
        <f t="shared" si="55"/>
        <v>0</v>
      </c>
      <c r="CN42" s="333">
        <f t="shared" si="56"/>
        <v>0.13636363636363635</v>
      </c>
      <c r="CO42" s="333">
        <f t="shared" si="57"/>
        <v>0.18181818181818177</v>
      </c>
      <c r="CP42" s="333">
        <f t="shared" si="58"/>
        <v>0.22727272727272729</v>
      </c>
      <c r="CQ42" s="333">
        <f t="shared" si="59"/>
        <v>0.27272727272727271</v>
      </c>
      <c r="CR42" s="333">
        <f t="shared" si="60"/>
        <v>0.31818181818181823</v>
      </c>
      <c r="CS42" s="333">
        <f t="shared" si="61"/>
        <v>0.36363636363636365</v>
      </c>
      <c r="CT42" s="333">
        <f t="shared" si="62"/>
        <v>0.40909090909090906</v>
      </c>
      <c r="CU42" s="333">
        <f t="shared" si="63"/>
        <v>0.45454545454545459</v>
      </c>
      <c r="CV42" s="333">
        <f t="shared" si="64"/>
        <v>0.5</v>
      </c>
      <c r="CW42" s="333">
        <f t="shared" si="65"/>
        <v>0.54545454545454541</v>
      </c>
      <c r="CX42" s="333">
        <f t="shared" si="66"/>
        <v>0.59090909090909083</v>
      </c>
      <c r="CY42" s="333">
        <f t="shared" si="67"/>
        <v>0.63636363636363635</v>
      </c>
      <c r="CZ42" s="333">
        <f t="shared" si="68"/>
        <v>0.68181818181818188</v>
      </c>
      <c r="DA42" s="333">
        <f t="shared" si="69"/>
        <v>0</v>
      </c>
      <c r="DB42" s="333">
        <f t="shared" si="70"/>
        <v>0.72727272727272729</v>
      </c>
      <c r="DC42" s="333">
        <f t="shared" si="71"/>
        <v>0.77272727272727271</v>
      </c>
      <c r="DD42" s="333">
        <f t="shared" si="72"/>
        <v>0.81818181818181812</v>
      </c>
      <c r="DE42" s="333">
        <f t="shared" si="73"/>
        <v>0.86363636363636365</v>
      </c>
      <c r="DF42" s="333">
        <f t="shared" si="74"/>
        <v>0.90909090909090906</v>
      </c>
      <c r="DG42" s="333">
        <f t="shared" si="75"/>
        <v>0.95454545454545459</v>
      </c>
      <c r="DH42" s="333">
        <f t="shared" si="76"/>
        <v>1</v>
      </c>
      <c r="DI42" s="334">
        <f t="shared" si="28"/>
        <v>819627.12623604492</v>
      </c>
      <c r="DJ42" s="334">
        <f t="shared" si="29"/>
        <v>0</v>
      </c>
      <c r="DK42" s="334">
        <f t="shared" si="77"/>
        <v>669507.0646825413</v>
      </c>
    </row>
    <row r="43" spans="1:115" ht="12.75" customHeight="1" x14ac:dyDescent="0.25">
      <c r="A43" s="335"/>
      <c r="B43" s="315" t="s">
        <v>33</v>
      </c>
      <c r="C43" s="316">
        <v>4</v>
      </c>
      <c r="D43" s="317">
        <v>0</v>
      </c>
      <c r="E43" s="318"/>
      <c r="F43" s="319">
        <v>0</v>
      </c>
      <c r="G43" s="320">
        <v>0</v>
      </c>
      <c r="H43" s="321"/>
      <c r="I43" s="322"/>
      <c r="J43" s="321"/>
      <c r="K43" s="320">
        <v>0</v>
      </c>
      <c r="L43" s="323">
        <v>0</v>
      </c>
      <c r="M43" s="318"/>
      <c r="N43" s="321"/>
      <c r="O43" s="320">
        <v>0</v>
      </c>
      <c r="P43" s="321"/>
      <c r="Q43" s="322"/>
      <c r="R43" s="321"/>
      <c r="S43" s="319">
        <v>0</v>
      </c>
      <c r="T43" s="323"/>
      <c r="U43" s="319"/>
      <c r="V43" s="325"/>
      <c r="W43" s="326">
        <v>0</v>
      </c>
      <c r="X43" s="326">
        <v>0</v>
      </c>
      <c r="Y43" s="326"/>
      <c r="Z43" s="327"/>
      <c r="AA43" s="326">
        <v>0</v>
      </c>
      <c r="AB43" s="329">
        <v>0</v>
      </c>
      <c r="AC43" s="319"/>
      <c r="AD43" s="327"/>
      <c r="AE43" s="326">
        <v>0</v>
      </c>
      <c r="AF43" s="326">
        <v>0</v>
      </c>
      <c r="AG43" s="330"/>
      <c r="AH43" s="327"/>
      <c r="AI43" s="319">
        <v>0</v>
      </c>
      <c r="AJ43" s="319">
        <v>0</v>
      </c>
      <c r="AK43" s="319"/>
      <c r="AL43" s="325"/>
      <c r="AM43" s="326">
        <v>0</v>
      </c>
      <c r="AN43" s="326">
        <v>0</v>
      </c>
      <c r="AO43" s="326"/>
      <c r="AP43" s="327"/>
      <c r="AQ43" s="326">
        <v>0</v>
      </c>
      <c r="AR43" s="331">
        <v>0</v>
      </c>
      <c r="AS43" s="331"/>
      <c r="AT43" s="331"/>
      <c r="AU43" s="331">
        <v>0</v>
      </c>
      <c r="AV43" s="331">
        <v>0</v>
      </c>
      <c r="AW43" s="331"/>
      <c r="AX43" s="331"/>
      <c r="AY43" s="331">
        <v>0</v>
      </c>
      <c r="AZ43" s="331">
        <v>0</v>
      </c>
      <c r="BA43" s="331"/>
      <c r="BB43" s="331"/>
      <c r="BC43" s="356"/>
      <c r="BD43" s="331"/>
      <c r="BE43" s="331"/>
      <c r="BF43" s="331"/>
      <c r="BG43" s="331"/>
      <c r="BH43" s="331"/>
      <c r="BI43" s="331"/>
      <c r="BJ43" s="331"/>
      <c r="BK43" s="331"/>
      <c r="BL43" s="331"/>
      <c r="BM43" s="331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0"/>
      <c r="BY43" s="290"/>
      <c r="BZ43" s="290"/>
      <c r="CA43" s="290"/>
      <c r="CB43" s="290"/>
      <c r="CC43" s="290"/>
      <c r="CD43" s="290"/>
      <c r="CE43" s="290"/>
      <c r="CF43" s="290"/>
      <c r="CG43" s="290"/>
      <c r="CH43" s="290"/>
      <c r="CI43" s="290"/>
      <c r="CJ43" s="290"/>
      <c r="CK43" s="290"/>
      <c r="CL43" s="321">
        <f t="shared" si="54"/>
        <v>0</v>
      </c>
      <c r="CM43" s="333">
        <f t="shared" si="55"/>
        <v>0</v>
      </c>
      <c r="CN43" s="333">
        <f t="shared" si="56"/>
        <v>0</v>
      </c>
      <c r="CO43" s="333">
        <f t="shared" si="57"/>
        <v>0</v>
      </c>
      <c r="CP43" s="333">
        <f t="shared" si="58"/>
        <v>0</v>
      </c>
      <c r="CQ43" s="333">
        <f t="shared" si="59"/>
        <v>0</v>
      </c>
      <c r="CR43" s="333">
        <f t="shared" si="60"/>
        <v>0</v>
      </c>
      <c r="CS43" s="333">
        <f t="shared" si="61"/>
        <v>0</v>
      </c>
      <c r="CT43" s="333">
        <f t="shared" si="62"/>
        <v>0</v>
      </c>
      <c r="CU43" s="333">
        <f t="shared" si="63"/>
        <v>0</v>
      </c>
      <c r="CV43" s="333">
        <f t="shared" si="64"/>
        <v>0</v>
      </c>
      <c r="CW43" s="333">
        <f t="shared" si="65"/>
        <v>0</v>
      </c>
      <c r="CX43" s="333">
        <f t="shared" si="66"/>
        <v>0</v>
      </c>
      <c r="CY43" s="333">
        <f t="shared" si="67"/>
        <v>0</v>
      </c>
      <c r="CZ43" s="333">
        <f t="shared" si="68"/>
        <v>0</v>
      </c>
      <c r="DA43" s="333">
        <f t="shared" si="69"/>
        <v>0</v>
      </c>
      <c r="DB43" s="333">
        <f t="shared" si="70"/>
        <v>0</v>
      </c>
      <c r="DC43" s="333">
        <f t="shared" si="71"/>
        <v>0</v>
      </c>
      <c r="DD43" s="333">
        <f t="shared" si="72"/>
        <v>0</v>
      </c>
      <c r="DE43" s="333">
        <f t="shared" si="73"/>
        <v>0.25</v>
      </c>
      <c r="DF43" s="333">
        <f t="shared" si="74"/>
        <v>0.5</v>
      </c>
      <c r="DG43" s="333">
        <f t="shared" si="75"/>
        <v>0.75</v>
      </c>
      <c r="DH43" s="333">
        <f t="shared" si="76"/>
        <v>1</v>
      </c>
      <c r="DI43" s="334">
        <f t="shared" si="28"/>
        <v>0</v>
      </c>
      <c r="DJ43" s="334">
        <f t="shared" si="29"/>
        <v>0</v>
      </c>
      <c r="DK43" s="334">
        <f t="shared" si="77"/>
        <v>0</v>
      </c>
    </row>
    <row r="44" spans="1:115" ht="12.75" customHeight="1" thickBot="1" x14ac:dyDescent="0.3">
      <c r="A44" s="335"/>
      <c r="B44" s="338" t="s">
        <v>13</v>
      </c>
      <c r="C44" s="339">
        <v>8</v>
      </c>
      <c r="D44" s="360">
        <v>0</v>
      </c>
      <c r="E44" s="318"/>
      <c r="F44" s="341">
        <v>0</v>
      </c>
      <c r="G44" s="320">
        <v>28201.54</v>
      </c>
      <c r="H44" s="342"/>
      <c r="I44" s="322"/>
      <c r="J44" s="342"/>
      <c r="K44" s="320">
        <v>40330.749936</v>
      </c>
      <c r="L44" s="343">
        <v>0</v>
      </c>
      <c r="M44" s="318"/>
      <c r="N44" s="342"/>
      <c r="O44" s="324">
        <v>24699.62</v>
      </c>
      <c r="P44" s="342"/>
      <c r="Q44" s="322"/>
      <c r="R44" s="342"/>
      <c r="S44" s="341">
        <v>0</v>
      </c>
      <c r="T44" s="323"/>
      <c r="U44" s="319"/>
      <c r="V44" s="361"/>
      <c r="W44" s="326">
        <v>30771.72</v>
      </c>
      <c r="X44" s="326">
        <v>0</v>
      </c>
      <c r="Y44" s="326"/>
      <c r="Z44" s="346"/>
      <c r="AA44" s="362">
        <v>26890.07</v>
      </c>
      <c r="AB44" s="329">
        <v>0</v>
      </c>
      <c r="AC44" s="319"/>
      <c r="AD44" s="346"/>
      <c r="AE44" s="326">
        <v>24056.720000000001</v>
      </c>
      <c r="AF44" s="326">
        <v>0</v>
      </c>
      <c r="AG44" s="330"/>
      <c r="AH44" s="346"/>
      <c r="AI44" s="341">
        <v>0</v>
      </c>
      <c r="AJ44" s="319">
        <v>0</v>
      </c>
      <c r="AK44" s="319"/>
      <c r="AL44" s="361"/>
      <c r="AM44" s="326">
        <v>0</v>
      </c>
      <c r="AN44" s="326">
        <v>0</v>
      </c>
      <c r="AO44" s="326"/>
      <c r="AP44" s="346"/>
      <c r="AQ44" s="326">
        <v>0</v>
      </c>
      <c r="AR44" s="347">
        <v>0</v>
      </c>
      <c r="AS44" s="347"/>
      <c r="AT44" s="347"/>
      <c r="AU44" s="347">
        <v>0</v>
      </c>
      <c r="AV44" s="347">
        <v>0</v>
      </c>
      <c r="AW44" s="347"/>
      <c r="AX44" s="347"/>
      <c r="AY44" s="347">
        <v>0</v>
      </c>
      <c r="AZ44" s="347">
        <v>0</v>
      </c>
      <c r="BA44" s="347"/>
      <c r="BB44" s="347"/>
      <c r="BC44" s="356"/>
      <c r="BD44" s="347"/>
      <c r="BE44" s="347"/>
      <c r="BF44" s="347"/>
      <c r="BG44" s="347"/>
      <c r="BH44" s="347"/>
      <c r="BI44" s="347"/>
      <c r="BJ44" s="347"/>
      <c r="BK44" s="347"/>
      <c r="BL44" s="347"/>
      <c r="BM44" s="347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321">
        <f t="shared" si="54"/>
        <v>0</v>
      </c>
      <c r="CM44" s="348">
        <f t="shared" si="55"/>
        <v>0</v>
      </c>
      <c r="CN44" s="333">
        <f t="shared" si="56"/>
        <v>0</v>
      </c>
      <c r="CO44" s="333">
        <f t="shared" si="57"/>
        <v>0</v>
      </c>
      <c r="CP44" s="333">
        <f t="shared" si="58"/>
        <v>0</v>
      </c>
      <c r="CQ44" s="333">
        <f t="shared" si="59"/>
        <v>0</v>
      </c>
      <c r="CR44" s="333">
        <f t="shared" si="60"/>
        <v>0</v>
      </c>
      <c r="CS44" s="333">
        <f t="shared" si="61"/>
        <v>0</v>
      </c>
      <c r="CT44" s="333">
        <f t="shared" si="62"/>
        <v>0</v>
      </c>
      <c r="CU44" s="333">
        <f t="shared" si="63"/>
        <v>0</v>
      </c>
      <c r="CV44" s="333">
        <f t="shared" si="64"/>
        <v>0</v>
      </c>
      <c r="CW44" s="333">
        <f t="shared" si="65"/>
        <v>0</v>
      </c>
      <c r="CX44" s="333">
        <f t="shared" si="66"/>
        <v>0</v>
      </c>
      <c r="CY44" s="333">
        <f t="shared" si="67"/>
        <v>0</v>
      </c>
      <c r="CZ44" s="333">
        <f t="shared" si="68"/>
        <v>0.125</v>
      </c>
      <c r="DA44" s="333">
        <f t="shared" si="69"/>
        <v>0</v>
      </c>
      <c r="DB44" s="333">
        <f t="shared" si="70"/>
        <v>0.25</v>
      </c>
      <c r="DC44" s="333">
        <f t="shared" si="71"/>
        <v>0.375</v>
      </c>
      <c r="DD44" s="333">
        <f t="shared" si="72"/>
        <v>0.5</v>
      </c>
      <c r="DE44" s="333">
        <f t="shared" si="73"/>
        <v>0.625</v>
      </c>
      <c r="DF44" s="333">
        <f t="shared" si="74"/>
        <v>0.75</v>
      </c>
      <c r="DG44" s="333">
        <f t="shared" si="75"/>
        <v>0.875</v>
      </c>
      <c r="DH44" s="333">
        <f t="shared" si="76"/>
        <v>1</v>
      </c>
      <c r="DI44" s="334">
        <f t="shared" si="28"/>
        <v>153091.81329945009</v>
      </c>
      <c r="DJ44" s="334">
        <f t="shared" si="29"/>
        <v>153091.81329945009</v>
      </c>
      <c r="DK44" s="334">
        <f t="shared" si="77"/>
        <v>0</v>
      </c>
    </row>
    <row r="45" spans="1:115" s="1" customFormat="1" ht="12.75" customHeight="1" thickBot="1" x14ac:dyDescent="0.35">
      <c r="A45" s="300"/>
      <c r="B45" s="294" t="s">
        <v>34</v>
      </c>
      <c r="C45" s="301"/>
      <c r="D45" s="296">
        <f>SUM(D14:D44)</f>
        <v>64380215.578287996</v>
      </c>
      <c r="E45" s="296">
        <f t="shared" ref="E45:BP45" si="78">SUM(E14:E44)</f>
        <v>0</v>
      </c>
      <c r="F45" s="296">
        <f t="shared" si="78"/>
        <v>36745444.950886555</v>
      </c>
      <c r="G45" s="296">
        <f t="shared" si="78"/>
        <v>1262365.3598000002</v>
      </c>
      <c r="H45" s="296">
        <f t="shared" si="78"/>
        <v>0</v>
      </c>
      <c r="I45" s="296">
        <f t="shared" si="78"/>
        <v>0</v>
      </c>
      <c r="J45" s="296">
        <f t="shared" si="78"/>
        <v>0</v>
      </c>
      <c r="K45" s="296">
        <f t="shared" si="78"/>
        <v>2422005.5850740555</v>
      </c>
      <c r="L45" s="296">
        <f t="shared" si="78"/>
        <v>315949</v>
      </c>
      <c r="M45" s="296">
        <f t="shared" si="78"/>
        <v>0</v>
      </c>
      <c r="N45" s="296">
        <f t="shared" si="78"/>
        <v>0</v>
      </c>
      <c r="O45" s="296">
        <f t="shared" si="78"/>
        <v>2468106.6800000002</v>
      </c>
      <c r="P45" s="296">
        <f t="shared" si="78"/>
        <v>0</v>
      </c>
      <c r="Q45" s="296">
        <f t="shared" si="78"/>
        <v>0</v>
      </c>
      <c r="R45" s="296">
        <f t="shared" si="78"/>
        <v>0</v>
      </c>
      <c r="S45" s="296">
        <f t="shared" si="78"/>
        <v>2636963</v>
      </c>
      <c r="T45" s="296">
        <f t="shared" si="78"/>
        <v>0</v>
      </c>
      <c r="U45" s="296">
        <f t="shared" si="78"/>
        <v>0</v>
      </c>
      <c r="V45" s="296">
        <f t="shared" si="78"/>
        <v>0</v>
      </c>
      <c r="W45" s="296">
        <f t="shared" si="78"/>
        <v>2901614.0900000003</v>
      </c>
      <c r="X45" s="296">
        <f t="shared" si="78"/>
        <v>0</v>
      </c>
      <c r="Y45" s="296">
        <f t="shared" si="78"/>
        <v>0</v>
      </c>
      <c r="Z45" s="296">
        <f t="shared" si="78"/>
        <v>0</v>
      </c>
      <c r="AA45" s="296">
        <f t="shared" si="78"/>
        <v>4650052.8100000005</v>
      </c>
      <c r="AB45" s="296">
        <f t="shared" si="78"/>
        <v>556386.07000000007</v>
      </c>
      <c r="AC45" s="296">
        <f t="shared" si="78"/>
        <v>0</v>
      </c>
      <c r="AD45" s="296">
        <f t="shared" si="78"/>
        <v>0</v>
      </c>
      <c r="AE45" s="296">
        <f t="shared" si="78"/>
        <v>5437854.6999999993</v>
      </c>
      <c r="AF45" s="296">
        <f t="shared" si="78"/>
        <v>0</v>
      </c>
      <c r="AG45" s="296">
        <f t="shared" si="78"/>
        <v>0</v>
      </c>
      <c r="AH45" s="296">
        <f t="shared" si="78"/>
        <v>0</v>
      </c>
      <c r="AI45" s="296">
        <f t="shared" si="78"/>
        <v>7755169.0999999968</v>
      </c>
      <c r="AJ45" s="296">
        <f t="shared" si="78"/>
        <v>0</v>
      </c>
      <c r="AK45" s="296">
        <f t="shared" si="78"/>
        <v>0</v>
      </c>
      <c r="AL45" s="296">
        <f t="shared" si="78"/>
        <v>0</v>
      </c>
      <c r="AM45" s="296">
        <f t="shared" si="78"/>
        <v>5445007.6719999984</v>
      </c>
      <c r="AN45" s="296">
        <f t="shared" si="78"/>
        <v>0</v>
      </c>
      <c r="AO45" s="296">
        <f t="shared" si="78"/>
        <v>0</v>
      </c>
      <c r="AP45" s="296">
        <f t="shared" si="78"/>
        <v>0</v>
      </c>
      <c r="AQ45" s="296">
        <f t="shared" si="78"/>
        <v>6483412.9600000028</v>
      </c>
      <c r="AR45" s="296">
        <f t="shared" si="78"/>
        <v>0</v>
      </c>
      <c r="AS45" s="296">
        <f t="shared" si="78"/>
        <v>0</v>
      </c>
      <c r="AT45" s="296">
        <f t="shared" si="78"/>
        <v>0</v>
      </c>
      <c r="AU45" s="296">
        <f t="shared" si="78"/>
        <v>4744163.7299999967</v>
      </c>
      <c r="AV45" s="296">
        <f t="shared" si="78"/>
        <v>0</v>
      </c>
      <c r="AW45" s="296">
        <f t="shared" si="78"/>
        <v>0</v>
      </c>
      <c r="AX45" s="296">
        <f t="shared" si="78"/>
        <v>0</v>
      </c>
      <c r="AY45" s="296">
        <f t="shared" si="78"/>
        <v>8655575.7579999957</v>
      </c>
      <c r="AZ45" s="296">
        <f t="shared" si="78"/>
        <v>0</v>
      </c>
      <c r="BA45" s="296">
        <f t="shared" si="78"/>
        <v>0</v>
      </c>
      <c r="BB45" s="296">
        <f t="shared" si="78"/>
        <v>0</v>
      </c>
      <c r="BC45" s="296">
        <f t="shared" si="78"/>
        <v>8595478.4899999984</v>
      </c>
      <c r="BD45" s="296">
        <f t="shared" si="78"/>
        <v>0</v>
      </c>
      <c r="BE45" s="296">
        <f t="shared" si="78"/>
        <v>0</v>
      </c>
      <c r="BF45" s="296">
        <f t="shared" si="78"/>
        <v>0</v>
      </c>
      <c r="BG45" s="296">
        <f t="shared" si="78"/>
        <v>6931047.2479580687</v>
      </c>
      <c r="BH45" s="296">
        <f t="shared" si="78"/>
        <v>5763524.5579580693</v>
      </c>
      <c r="BI45" s="296">
        <f t="shared" si="78"/>
        <v>4907911.2199999988</v>
      </c>
      <c r="BJ45" s="296">
        <f t="shared" si="78"/>
        <v>10289030.280000001</v>
      </c>
      <c r="BK45" s="296">
        <f t="shared" si="78"/>
        <v>0</v>
      </c>
      <c r="BL45" s="296">
        <f t="shared" si="78"/>
        <v>0</v>
      </c>
      <c r="BM45" s="296">
        <f t="shared" si="78"/>
        <v>0</v>
      </c>
      <c r="BN45" s="296">
        <f t="shared" si="78"/>
        <v>23273467.399999995</v>
      </c>
      <c r="BO45" s="296">
        <f t="shared" si="78"/>
        <v>0</v>
      </c>
      <c r="BP45" s="296">
        <f t="shared" si="78"/>
        <v>0</v>
      </c>
      <c r="BQ45" s="296">
        <f t="shared" ref="BQ45:CK45" si="79">SUM(BQ14:BQ44)</f>
        <v>0</v>
      </c>
      <c r="BR45" s="296">
        <f t="shared" si="79"/>
        <v>16573617.789999997</v>
      </c>
      <c r="BS45" s="296">
        <f t="shared" si="79"/>
        <v>65610.73</v>
      </c>
      <c r="BT45" s="296">
        <f t="shared" si="79"/>
        <v>0</v>
      </c>
      <c r="BU45" s="296">
        <f t="shared" si="79"/>
        <v>0</v>
      </c>
      <c r="BV45" s="296">
        <f t="shared" si="79"/>
        <v>17574337.189999998</v>
      </c>
      <c r="BW45" s="296">
        <f t="shared" si="79"/>
        <v>2126529.2643995676</v>
      </c>
      <c r="BX45" s="296">
        <f t="shared" si="79"/>
        <v>0</v>
      </c>
      <c r="BY45" s="296">
        <f t="shared" si="79"/>
        <v>0</v>
      </c>
      <c r="BZ45" s="296">
        <f t="shared" si="79"/>
        <v>17203994.490000002</v>
      </c>
      <c r="CA45" s="296">
        <f t="shared" si="79"/>
        <v>2659763.210547294</v>
      </c>
      <c r="CB45" s="296">
        <f t="shared" si="79"/>
        <v>0</v>
      </c>
      <c r="CC45" s="296">
        <f t="shared" si="79"/>
        <v>0</v>
      </c>
      <c r="CD45" s="296">
        <f>SUM(CD14:CD44)</f>
        <v>15929715.17</v>
      </c>
      <c r="CE45" s="296">
        <f>SUM(CE14:CE44)</f>
        <v>519973.66706910206</v>
      </c>
      <c r="CF45" s="296">
        <f>SUM(CF14:CF44)</f>
        <v>0</v>
      </c>
      <c r="CG45" s="296">
        <f>SUM(CG14:CG44)</f>
        <v>0</v>
      </c>
      <c r="CH45" s="296">
        <f t="shared" si="79"/>
        <v>14074953.529999994</v>
      </c>
      <c r="CI45" s="296">
        <f t="shared" si="79"/>
        <v>143425.125207</v>
      </c>
      <c r="CJ45" s="296">
        <f t="shared" si="79"/>
        <v>0</v>
      </c>
      <c r="CK45" s="296">
        <f t="shared" si="79"/>
        <v>0</v>
      </c>
      <c r="CL45" s="297"/>
      <c r="CM45" s="297"/>
      <c r="CN45" s="297"/>
      <c r="CO45" s="297"/>
      <c r="CP45" s="297"/>
      <c r="CQ45" s="297"/>
      <c r="CR45" s="297"/>
      <c r="CS45" s="297"/>
      <c r="CT45" s="297"/>
      <c r="CU45" s="297"/>
      <c r="CV45" s="297"/>
      <c r="CW45" s="297"/>
      <c r="CX45" s="297"/>
      <c r="CY45" s="297"/>
      <c r="CZ45" s="297"/>
      <c r="DA45" s="297"/>
      <c r="DB45" s="297"/>
      <c r="DC45" s="297"/>
      <c r="DD45" s="297"/>
      <c r="DE45" s="297"/>
      <c r="DF45" s="297"/>
      <c r="DG45" s="297"/>
      <c r="DH45" s="297"/>
      <c r="DI45" s="298">
        <f>SUM(DI14:DI44)</f>
        <v>216009804.873505</v>
      </c>
      <c r="DJ45" s="298">
        <f>SUM(DJ14:DJ44)</f>
        <v>54703587.292231441</v>
      </c>
      <c r="DK45" s="298">
        <f>SUM(DK14:DK44)</f>
        <v>115149058.77825761</v>
      </c>
    </row>
    <row r="46" spans="1:115" ht="12.75" customHeight="1" thickBot="1" x14ac:dyDescent="0.3">
      <c r="A46" s="573" t="s">
        <v>35</v>
      </c>
      <c r="B46" s="363" t="s">
        <v>36</v>
      </c>
      <c r="C46" s="364">
        <v>22</v>
      </c>
      <c r="D46" s="365">
        <v>2957226.5007306808</v>
      </c>
      <c r="E46" s="318"/>
      <c r="F46" s="366">
        <v>1915114.0768671127</v>
      </c>
      <c r="G46" s="320">
        <v>383603.42</v>
      </c>
      <c r="H46" s="367"/>
      <c r="I46" s="322"/>
      <c r="J46" s="367"/>
      <c r="K46" s="320">
        <v>723366.95</v>
      </c>
      <c r="L46" s="368"/>
      <c r="M46" s="318"/>
      <c r="N46" s="367"/>
      <c r="O46" s="324">
        <v>345218.57</v>
      </c>
      <c r="P46" s="367"/>
      <c r="Q46" s="322"/>
      <c r="R46" s="367"/>
      <c r="S46" s="366">
        <v>343113</v>
      </c>
      <c r="T46" s="369"/>
      <c r="U46" s="319"/>
      <c r="V46" s="370"/>
      <c r="W46" s="326">
        <v>288347.67</v>
      </c>
      <c r="X46" s="326">
        <v>0</v>
      </c>
      <c r="Y46" s="326"/>
      <c r="Z46" s="371"/>
      <c r="AA46" s="326">
        <v>301261.25000000006</v>
      </c>
      <c r="AB46" s="329">
        <v>0</v>
      </c>
      <c r="AC46" s="319"/>
      <c r="AD46" s="371"/>
      <c r="AE46" s="328">
        <v>418664.33</v>
      </c>
      <c r="AF46" s="326">
        <v>0</v>
      </c>
      <c r="AG46" s="330"/>
      <c r="AH46" s="371"/>
      <c r="AI46" s="366">
        <v>191547.63</v>
      </c>
      <c r="AJ46" s="319">
        <v>0</v>
      </c>
      <c r="AK46" s="319"/>
      <c r="AL46" s="370"/>
      <c r="AM46" s="326">
        <v>284788.3</v>
      </c>
      <c r="AN46" s="326">
        <v>0</v>
      </c>
      <c r="AO46" s="326"/>
      <c r="AP46" s="370"/>
      <c r="AQ46" s="326">
        <v>417455.78889137268</v>
      </c>
      <c r="AR46" s="372">
        <v>0</v>
      </c>
      <c r="AS46" s="372"/>
      <c r="AT46" s="372"/>
      <c r="AU46" s="372">
        <v>846640.63000000012</v>
      </c>
      <c r="AV46" s="372">
        <v>0</v>
      </c>
      <c r="AW46" s="372"/>
      <c r="AX46" s="372"/>
      <c r="AY46" s="372">
        <v>696982</v>
      </c>
      <c r="AZ46" s="372">
        <v>0</v>
      </c>
      <c r="BA46" s="372"/>
      <c r="BB46" s="372"/>
      <c r="BC46" s="373">
        <v>611593.03</v>
      </c>
      <c r="BD46" s="372"/>
      <c r="BE46" s="372"/>
      <c r="BF46" s="372"/>
      <c r="BG46" s="372"/>
      <c r="BH46" s="372"/>
      <c r="BI46" s="372"/>
      <c r="BJ46" s="372">
        <v>717101.01</v>
      </c>
      <c r="BK46" s="372"/>
      <c r="BL46" s="372"/>
      <c r="BM46" s="372"/>
      <c r="BN46" s="292">
        <v>778834.53</v>
      </c>
      <c r="BO46" s="292"/>
      <c r="BP46" s="292"/>
      <c r="BQ46" s="292"/>
      <c r="BR46" s="292">
        <v>1066066.3500000001</v>
      </c>
      <c r="BS46" s="292"/>
      <c r="BT46" s="292"/>
      <c r="BU46" s="292"/>
      <c r="BV46" s="290">
        <v>715400.34000000008</v>
      </c>
      <c r="BW46" s="290">
        <v>0</v>
      </c>
      <c r="BX46" s="292"/>
      <c r="BY46" s="292"/>
      <c r="BZ46" s="290">
        <v>305500.91000000003</v>
      </c>
      <c r="CA46" s="290">
        <v>0</v>
      </c>
      <c r="CB46" s="292"/>
      <c r="CC46" s="292"/>
      <c r="CD46" s="290">
        <v>266268.98</v>
      </c>
      <c r="CE46" s="292"/>
      <c r="CF46" s="292"/>
      <c r="CG46" s="292"/>
      <c r="CH46" s="292">
        <v>743971.64</v>
      </c>
      <c r="CI46" s="290">
        <v>0</v>
      </c>
      <c r="CJ46" s="292"/>
      <c r="CK46" s="292"/>
      <c r="CL46" s="321">
        <f>IF(D46=0,0,2001-(D46-F46)*C46/D46)</f>
        <v>1993.2473056022818</v>
      </c>
      <c r="CM46" s="374">
        <f>IF((1-($DI$2-$CL46)/$C46)&gt;0,(1-($DI$2-$CL46)/$C46),0)</f>
        <v>0</v>
      </c>
      <c r="CN46" s="333">
        <f>IF((1-($DI$2-G$2)/$C46)&gt;0,(1-($DI$2-G$2)/$C46),0)</f>
        <v>0.13636363636363635</v>
      </c>
      <c r="CO46" s="333">
        <f>IF((1-($DI$2-K$2)/$C46)&gt;0,(1-($DI$2-K$2)/$C46),0)</f>
        <v>0.18181818181818177</v>
      </c>
      <c r="CP46" s="333">
        <f>IF((1-($DI$2-O$2)/$C46)&gt;0,(1-($DI$2-O$2)/$C46),0)</f>
        <v>0.22727272727272729</v>
      </c>
      <c r="CQ46" s="333">
        <f>IF((1-($DI$2-S$2)/$C46)&gt;0,(1-($DI$2-S$2)/$C46),0)</f>
        <v>0.27272727272727271</v>
      </c>
      <c r="CR46" s="333">
        <f>IF((1-($DI$2-W$2)/$C46)&gt;0,(1-($DI$2-W$2)/$C46),0)</f>
        <v>0.31818181818181823</v>
      </c>
      <c r="CS46" s="333">
        <f>IF((1-($DI$2-AA$2)/$C46)&gt;0,(1-($DI$2-AA$2)/$C46),0)</f>
        <v>0.36363636363636365</v>
      </c>
      <c r="CT46" s="333">
        <f>IF((1-($DI$2-AE$2)/$C46)&gt;0,(1-($DI$2-AE$2)/$C46),0)</f>
        <v>0.40909090909090906</v>
      </c>
      <c r="CU46" s="333">
        <f>IF((1-($DI$2-AI$2)/$C46)&gt;0,(1-($DI$2-AI$2)/$C46),0)</f>
        <v>0.45454545454545459</v>
      </c>
      <c r="CV46" s="333">
        <f>IF((1-($DI$2-AM$2)/$C46)&gt;0,(1-($DI$2-AM$2)/$C46),0)</f>
        <v>0.5</v>
      </c>
      <c r="CW46" s="333">
        <f>IF((1-($DI$2-AQ$2)/$C46)&gt;0,(1-($DI$2-AQ$2)/$C46),0)</f>
        <v>0.54545454545454541</v>
      </c>
      <c r="CX46" s="333">
        <f>IF((1-($DI$2-AU$2)/$C46)&gt;0,(1-($DI$2-AU$2)/$C46),0)</f>
        <v>0.59090909090909083</v>
      </c>
      <c r="CY46" s="333">
        <f>IF((1-($DI$2-AY$2)/$C46)&gt;0,(1-($DI$2-AY$2)/$C46),0)</f>
        <v>0.63636363636363635</v>
      </c>
      <c r="CZ46" s="333">
        <f>IF((1-($DI$2-BC$2)/$C46)&gt;0,(1-($DI$2-BC$2)/$C46),0)</f>
        <v>0.68181818181818188</v>
      </c>
      <c r="DA46" s="333">
        <f>IF(BG46=0,0,1-($DI$2-(2014.5-(BG46-BI46)*C46/BG46))/C46)</f>
        <v>0</v>
      </c>
      <c r="DB46" s="333">
        <f>IF((1-($DI$2-BJ$2)/$C46)&gt;0,(1-($DI$2-BJ$2)/$C46),0)</f>
        <v>0.72727272727272729</v>
      </c>
      <c r="DC46" s="333">
        <f>IF((1-($DI$2-BN$2)/$C46)&gt;0,(1-($DI$2-BN$2)/$C46),0)</f>
        <v>0.77272727272727271</v>
      </c>
      <c r="DD46" s="333">
        <f>IF((1-($DI$2-BR$2)/$C46)&gt;0,(1-($DI$2-BR$2)/$C46),0)</f>
        <v>0.81818181818181812</v>
      </c>
      <c r="DE46" s="333">
        <f>IF((1-($DI$2-BV$2)/$C46)&gt;0,(1-($DI$2-BV$2)/$C46),0)</f>
        <v>0.86363636363636365</v>
      </c>
      <c r="DF46" s="333">
        <f>IF((1-($DI$2-BZ$2)/$C46)&gt;0,(1-($DI$2-BZ$2)/$C46),0)</f>
        <v>0.90909090909090906</v>
      </c>
      <c r="DG46" s="333">
        <f>IF((1-($DI$2-CD$2)/$C46)&gt;0,(1-($DI$2-CD$2)/$C46),0)</f>
        <v>0.95454545454545459</v>
      </c>
      <c r="DH46" s="333">
        <f>IF((1-($DI$2-CH$2)/$C46)&gt;0,(1-($DI$2-CH$2)/$C46),0)</f>
        <v>1</v>
      </c>
      <c r="DI46" s="334">
        <f>D46-E46+(G46-H46-I46)*G$62+(K46-L46-M46)*K$62+(O46-P46-Q46)*O$62+(S46-T46-U46)*S$62+(W46-X46-Y46)*W$62+(AA46-AB46-AC46)*AA$62+(AE46-AF46-AG46)*AE$62+(AI46-AJ46-AK46)*AI$62+(AM46-AN46-AO46)*AM$62+(AQ46-AR46-AS46)*$AQ$62+(AU46-AV46-AW46)*$AU$62+(AY46-AZ46-BA46)*$AY$62+(BC46-BD46-BE46)*$BC$62+BG46+(BJ46-BK46-BL46)*$BJ$62+(BN46-BO46-BP46)*$BN$62+(BR46-BS46-BT46)*$BR$62+(BV46-BW46-BX46)*$BV$62+(BZ46-CA46-CB46)*$BZ$62+(CD46-CE46-CF46)*$CD$62+(CH46-CI46-CJ46)*$CH$62</f>
        <v>12786493.480222054</v>
      </c>
      <c r="DJ46" s="334">
        <f>IF(CM46=0,D46-E46,0)+IF(CN46=0,(G46-H46-I46)*G$62,0)+IF(CO46=0,(K46-L46-M46)*K$62,0)+IF(CP46=0,(O46-P46-Q46)*O$62,0)+IF(CQ46=0,(S46-T46-U46)*S$62,0)+IF(CR46=0,(W46-X46-Y46)*W$62,0)+IF(CS46=0,(AA46-AB46-AC46)*AA$62,0)+IF(CT46=0,(AE46-AF46-AG46)*AE$62,0)+IF(CU46=0,(AI46-AJ46-AK46)*AI$62,0)+IF(CV46=0,(AM46-AN46-AO46)*AM$62,0)+IF(CW46=0,(AQ46-AR46-AS46)*$AQ$62,0)+IF(CX46=0,(AU46-AV46-AW46)*$AU$62,0)+IF(CY46=0,(AY46-AZ46-BA46)*$AY$62,0)+IF(CZ46=0,(BC46-BD46-BE46)*$BC$62,0)+IF(DB46=0,(BJ46-BK46-BL46)*$BJ$62,0)+IF(DA46=0,BG46,0)+IF(DC46=0,(BN46-BO46-BP46)*$BN$62,0)+IF(DD46=0,(BR46-BS46-BT46)*$BR$62,0)+IF(DE46=0,(BV46-BW46-BX46)*$BV$62,0)+IF(DF46=0,(BZ46-CA46-CB46)*$BZ$62,0)+IF(DG46=0,(CD46-CE46-CF46)*$CD$62,0)+IF(DH46=0,(CH46-CI46-CJ46)*$CH$62,0)</f>
        <v>2957226.5007306808</v>
      </c>
      <c r="DK46" s="334">
        <f>(D46-E46)*CM46+((G46-H46-(I46-J46))*G$62)*CN46+((K46-L46-(M46-N46))*K$62)*CO46+((O46-P46-(Q46-R46))*O$62)*CP46+((S46-T46-(U46-V46))*S$62)*CQ46+((W46-X46-(Y46-Z46))*W$62)*CR46+((AA46-AB46-(AC46-AD46))*AA$62)*CS46+((AE46-AF46-(AG46-AH46))*AE$62)*CT46+((AI46-AJ46-(AK46-AL46))*AI$62)*CU46+((AM46-AN46-(AO46-AP46))*$AM$62)*CV46+((AQ46-AR46-(AS46-AT46))*$AQ$62)*CW46+((AU46-AV46-(AW46-AX46))*$AU$62)*CX46+((AY46-AZ46-(BA46-BB46))*$AY$62)*CY46+((BC46-BD46-(BE46-BF46))*$BC$62)*CZ46+((BJ46-BK46-(BL46-BM46))*$BJ$62)*DB46+(BG46-BH46)*DA46+((BN46-BO46-(BP46-BQ46))*$BN$62)*DC46+((BR46-BS46-(BT46-BU46))*$BR$62)*DD46+((BV46-BW46-(BX46-BY46))*$BV$62)*DE46+((BZ46-CA46-(CB46-CC46))*$BZ$62)*DF46+((CD46-CE46-(CF46-CG46))*$CD$62)*DG46+((CH46-CI46-(CJ46-CK46))*$CH$62*DH46)</f>
        <v>5968317.023904385</v>
      </c>
    </row>
    <row r="47" spans="1:115" s="1" customFormat="1" ht="12.75" customHeight="1" thickBot="1" x14ac:dyDescent="0.35">
      <c r="A47" s="575"/>
      <c r="B47" s="294" t="s">
        <v>37</v>
      </c>
      <c r="C47" s="301"/>
      <c r="D47" s="296">
        <f>+D46</f>
        <v>2957226.5007306808</v>
      </c>
      <c r="E47" s="296">
        <f t="shared" ref="E47:BP47" si="80">+E46</f>
        <v>0</v>
      </c>
      <c r="F47" s="296">
        <f t="shared" si="80"/>
        <v>1915114.0768671127</v>
      </c>
      <c r="G47" s="296">
        <f t="shared" si="80"/>
        <v>383603.42</v>
      </c>
      <c r="H47" s="296">
        <f t="shared" si="80"/>
        <v>0</v>
      </c>
      <c r="I47" s="296">
        <f t="shared" si="80"/>
        <v>0</v>
      </c>
      <c r="J47" s="296">
        <f t="shared" si="80"/>
        <v>0</v>
      </c>
      <c r="K47" s="296">
        <f t="shared" si="80"/>
        <v>723366.95</v>
      </c>
      <c r="L47" s="296">
        <f t="shared" si="80"/>
        <v>0</v>
      </c>
      <c r="M47" s="296">
        <f t="shared" si="80"/>
        <v>0</v>
      </c>
      <c r="N47" s="296">
        <f t="shared" si="80"/>
        <v>0</v>
      </c>
      <c r="O47" s="296">
        <f t="shared" si="80"/>
        <v>345218.57</v>
      </c>
      <c r="P47" s="296">
        <f t="shared" si="80"/>
        <v>0</v>
      </c>
      <c r="Q47" s="296">
        <f t="shared" si="80"/>
        <v>0</v>
      </c>
      <c r="R47" s="296">
        <f t="shared" si="80"/>
        <v>0</v>
      </c>
      <c r="S47" s="296">
        <f t="shared" si="80"/>
        <v>343113</v>
      </c>
      <c r="T47" s="296">
        <f t="shared" si="80"/>
        <v>0</v>
      </c>
      <c r="U47" s="296">
        <f t="shared" si="80"/>
        <v>0</v>
      </c>
      <c r="V47" s="296">
        <f t="shared" si="80"/>
        <v>0</v>
      </c>
      <c r="W47" s="296">
        <f t="shared" si="80"/>
        <v>288347.67</v>
      </c>
      <c r="X47" s="296">
        <f t="shared" si="80"/>
        <v>0</v>
      </c>
      <c r="Y47" s="296">
        <f t="shared" si="80"/>
        <v>0</v>
      </c>
      <c r="Z47" s="296">
        <f t="shared" si="80"/>
        <v>0</v>
      </c>
      <c r="AA47" s="296">
        <f t="shared" si="80"/>
        <v>301261.25000000006</v>
      </c>
      <c r="AB47" s="296">
        <f t="shared" si="80"/>
        <v>0</v>
      </c>
      <c r="AC47" s="296">
        <f t="shared" si="80"/>
        <v>0</v>
      </c>
      <c r="AD47" s="296">
        <f t="shared" si="80"/>
        <v>0</v>
      </c>
      <c r="AE47" s="296">
        <f t="shared" si="80"/>
        <v>418664.33</v>
      </c>
      <c r="AF47" s="296">
        <f t="shared" si="80"/>
        <v>0</v>
      </c>
      <c r="AG47" s="296">
        <f t="shared" si="80"/>
        <v>0</v>
      </c>
      <c r="AH47" s="296">
        <f t="shared" si="80"/>
        <v>0</v>
      </c>
      <c r="AI47" s="296">
        <f t="shared" si="80"/>
        <v>191547.63</v>
      </c>
      <c r="AJ47" s="296">
        <f t="shared" si="80"/>
        <v>0</v>
      </c>
      <c r="AK47" s="296">
        <f t="shared" si="80"/>
        <v>0</v>
      </c>
      <c r="AL47" s="296">
        <f t="shared" si="80"/>
        <v>0</v>
      </c>
      <c r="AM47" s="296">
        <f t="shared" si="80"/>
        <v>284788.3</v>
      </c>
      <c r="AN47" s="296">
        <f t="shared" si="80"/>
        <v>0</v>
      </c>
      <c r="AO47" s="296">
        <f t="shared" si="80"/>
        <v>0</v>
      </c>
      <c r="AP47" s="296">
        <f t="shared" si="80"/>
        <v>0</v>
      </c>
      <c r="AQ47" s="296">
        <f t="shared" si="80"/>
        <v>417455.78889137268</v>
      </c>
      <c r="AR47" s="296">
        <f t="shared" si="80"/>
        <v>0</v>
      </c>
      <c r="AS47" s="296">
        <f t="shared" si="80"/>
        <v>0</v>
      </c>
      <c r="AT47" s="296">
        <f t="shared" si="80"/>
        <v>0</v>
      </c>
      <c r="AU47" s="296">
        <f t="shared" si="80"/>
        <v>846640.63000000012</v>
      </c>
      <c r="AV47" s="296">
        <f t="shared" si="80"/>
        <v>0</v>
      </c>
      <c r="AW47" s="296">
        <f t="shared" si="80"/>
        <v>0</v>
      </c>
      <c r="AX47" s="296">
        <f t="shared" si="80"/>
        <v>0</v>
      </c>
      <c r="AY47" s="296">
        <f t="shared" si="80"/>
        <v>696982</v>
      </c>
      <c r="AZ47" s="296">
        <f t="shared" si="80"/>
        <v>0</v>
      </c>
      <c r="BA47" s="296">
        <f t="shared" si="80"/>
        <v>0</v>
      </c>
      <c r="BB47" s="296">
        <f t="shared" si="80"/>
        <v>0</v>
      </c>
      <c r="BC47" s="296">
        <f t="shared" si="80"/>
        <v>611593.03</v>
      </c>
      <c r="BD47" s="296">
        <f t="shared" si="80"/>
        <v>0</v>
      </c>
      <c r="BE47" s="296">
        <f t="shared" si="80"/>
        <v>0</v>
      </c>
      <c r="BF47" s="296">
        <f t="shared" si="80"/>
        <v>0</v>
      </c>
      <c r="BG47" s="296">
        <f t="shared" si="80"/>
        <v>0</v>
      </c>
      <c r="BH47" s="296">
        <f t="shared" si="80"/>
        <v>0</v>
      </c>
      <c r="BI47" s="296">
        <f t="shared" si="80"/>
        <v>0</v>
      </c>
      <c r="BJ47" s="296">
        <f t="shared" si="80"/>
        <v>717101.01</v>
      </c>
      <c r="BK47" s="296">
        <f t="shared" si="80"/>
        <v>0</v>
      </c>
      <c r="BL47" s="296">
        <f t="shared" si="80"/>
        <v>0</v>
      </c>
      <c r="BM47" s="296">
        <f t="shared" si="80"/>
        <v>0</v>
      </c>
      <c r="BN47" s="296">
        <f t="shared" si="80"/>
        <v>778834.53</v>
      </c>
      <c r="BO47" s="296">
        <f t="shared" si="80"/>
        <v>0</v>
      </c>
      <c r="BP47" s="296">
        <f t="shared" si="80"/>
        <v>0</v>
      </c>
      <c r="BQ47" s="296">
        <f t="shared" ref="BQ47:CK47" si="81">+BQ46</f>
        <v>0</v>
      </c>
      <c r="BR47" s="296">
        <f t="shared" si="81"/>
        <v>1066066.3500000001</v>
      </c>
      <c r="BS47" s="296">
        <f t="shared" si="81"/>
        <v>0</v>
      </c>
      <c r="BT47" s="296">
        <f t="shared" si="81"/>
        <v>0</v>
      </c>
      <c r="BU47" s="296">
        <f t="shared" si="81"/>
        <v>0</v>
      </c>
      <c r="BV47" s="296">
        <f t="shared" si="81"/>
        <v>715400.34000000008</v>
      </c>
      <c r="BW47" s="296">
        <f t="shared" si="81"/>
        <v>0</v>
      </c>
      <c r="BX47" s="296">
        <f t="shared" si="81"/>
        <v>0</v>
      </c>
      <c r="BY47" s="296">
        <f t="shared" si="81"/>
        <v>0</v>
      </c>
      <c r="BZ47" s="296">
        <f t="shared" si="81"/>
        <v>305500.91000000003</v>
      </c>
      <c r="CA47" s="296">
        <f t="shared" si="81"/>
        <v>0</v>
      </c>
      <c r="CB47" s="296">
        <f t="shared" si="81"/>
        <v>0</v>
      </c>
      <c r="CC47" s="296">
        <f t="shared" si="81"/>
        <v>0</v>
      </c>
      <c r="CD47" s="296">
        <f>+CD46</f>
        <v>266268.98</v>
      </c>
      <c r="CE47" s="296">
        <f>+CE46</f>
        <v>0</v>
      </c>
      <c r="CF47" s="296">
        <f>+CF46</f>
        <v>0</v>
      </c>
      <c r="CG47" s="296">
        <f>+CG46</f>
        <v>0</v>
      </c>
      <c r="CH47" s="296">
        <f t="shared" si="81"/>
        <v>743971.64</v>
      </c>
      <c r="CI47" s="296">
        <f t="shared" si="81"/>
        <v>0</v>
      </c>
      <c r="CJ47" s="296">
        <f t="shared" si="81"/>
        <v>0</v>
      </c>
      <c r="CK47" s="296">
        <f t="shared" si="81"/>
        <v>0</v>
      </c>
      <c r="CL47" s="297"/>
      <c r="CM47" s="297"/>
      <c r="CN47" s="297"/>
      <c r="CO47" s="297"/>
      <c r="CP47" s="297"/>
      <c r="CQ47" s="297"/>
      <c r="CR47" s="297"/>
      <c r="CS47" s="297"/>
      <c r="CT47" s="297"/>
      <c r="CU47" s="297"/>
      <c r="CV47" s="297"/>
      <c r="CW47" s="297"/>
      <c r="CX47" s="297"/>
      <c r="CY47" s="297"/>
      <c r="CZ47" s="297"/>
      <c r="DA47" s="297"/>
      <c r="DB47" s="297"/>
      <c r="DC47" s="297"/>
      <c r="DD47" s="297"/>
      <c r="DE47" s="297"/>
      <c r="DF47" s="297"/>
      <c r="DG47" s="297"/>
      <c r="DH47" s="297"/>
      <c r="DI47" s="298">
        <f>DI46</f>
        <v>12786493.480222054</v>
      </c>
      <c r="DJ47" s="298">
        <f>DJ46</f>
        <v>2957226.5007306808</v>
      </c>
      <c r="DK47" s="298">
        <f>DK46</f>
        <v>5968317.023904385</v>
      </c>
    </row>
    <row r="48" spans="1:115" ht="12.75" customHeight="1" x14ac:dyDescent="0.25">
      <c r="A48" s="573" t="s">
        <v>38</v>
      </c>
      <c r="B48" s="375" t="s">
        <v>17</v>
      </c>
      <c r="C48" s="376">
        <v>4</v>
      </c>
      <c r="D48" s="377">
        <v>0</v>
      </c>
      <c r="E48" s="318"/>
      <c r="F48" s="378">
        <v>0</v>
      </c>
      <c r="G48" s="320">
        <v>0</v>
      </c>
      <c r="H48" s="379"/>
      <c r="I48" s="322"/>
      <c r="J48" s="379"/>
      <c r="K48" s="320">
        <v>0</v>
      </c>
      <c r="L48" s="380"/>
      <c r="M48" s="318"/>
      <c r="N48" s="379"/>
      <c r="O48" s="324">
        <v>0</v>
      </c>
      <c r="P48" s="379"/>
      <c r="Q48" s="322"/>
      <c r="R48" s="379"/>
      <c r="S48" s="378">
        <v>0</v>
      </c>
      <c r="T48" s="381"/>
      <c r="U48" s="319"/>
      <c r="V48" s="382"/>
      <c r="W48" s="326">
        <v>0</v>
      </c>
      <c r="X48" s="326">
        <v>0</v>
      </c>
      <c r="Y48" s="326"/>
      <c r="Z48" s="383"/>
      <c r="AA48" s="326">
        <v>0</v>
      </c>
      <c r="AB48" s="329">
        <v>0</v>
      </c>
      <c r="AC48" s="319"/>
      <c r="AD48" s="383"/>
      <c r="AE48" s="326">
        <v>0</v>
      </c>
      <c r="AF48" s="326">
        <v>0</v>
      </c>
      <c r="AG48" s="330"/>
      <c r="AH48" s="383"/>
      <c r="AI48" s="378">
        <v>0</v>
      </c>
      <c r="AJ48" s="319">
        <v>0</v>
      </c>
      <c r="AK48" s="319"/>
      <c r="AL48" s="382"/>
      <c r="AM48" s="326">
        <v>0</v>
      </c>
      <c r="AN48" s="326">
        <v>0</v>
      </c>
      <c r="AO48" s="326"/>
      <c r="AP48" s="382"/>
      <c r="AQ48" s="326">
        <v>0</v>
      </c>
      <c r="AR48" s="384">
        <v>0</v>
      </c>
      <c r="AS48" s="384"/>
      <c r="AT48" s="384"/>
      <c r="AU48" s="384">
        <v>0</v>
      </c>
      <c r="AV48" s="384">
        <v>0</v>
      </c>
      <c r="AW48" s="384"/>
      <c r="AX48" s="384"/>
      <c r="AY48" s="384">
        <v>0</v>
      </c>
      <c r="AZ48" s="384">
        <v>0</v>
      </c>
      <c r="BA48" s="384"/>
      <c r="BB48" s="384"/>
      <c r="BC48" s="356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3"/>
      <c r="CJ48" s="293"/>
      <c r="CK48" s="293"/>
      <c r="CL48" s="321">
        <f t="shared" ref="CL48:CL57" si="82">IF(D48=0,0,2001-(D48-F48)*C48/D48)</f>
        <v>0</v>
      </c>
      <c r="CM48" s="385">
        <f t="shared" ref="CM48:CM57" si="83">IF((1-($DI$2-$CL48)/$C48)&gt;0,(1-($DI$2-$CL48)/$C48),0)</f>
        <v>0</v>
      </c>
      <c r="CN48" s="333">
        <f t="shared" ref="CN48:CN57" si="84">IF((1-($DI$2-G$2)/$C48)&gt;0,(1-($DI$2-G$2)/$C48),0)</f>
        <v>0</v>
      </c>
      <c r="CO48" s="333">
        <f t="shared" ref="CO48:CO57" si="85">IF((1-($DI$2-K$2)/$C48)&gt;0,(1-($DI$2-K$2)/$C48),0)</f>
        <v>0</v>
      </c>
      <c r="CP48" s="333">
        <f t="shared" ref="CP48:CP57" si="86">IF((1-($DI$2-O$2)/$C48)&gt;0,(1-($DI$2-O$2)/$C48),0)</f>
        <v>0</v>
      </c>
      <c r="CQ48" s="333">
        <f t="shared" ref="CQ48:CQ57" si="87">IF((1-($DI$2-S$2)/$C48)&gt;0,(1-($DI$2-S$2)/$C48),0)</f>
        <v>0</v>
      </c>
      <c r="CR48" s="333">
        <f t="shared" ref="CR48:CR57" si="88">IF((1-($DI$2-W$2)/$C48)&gt;0,(1-($DI$2-W$2)/$C48),0)</f>
        <v>0</v>
      </c>
      <c r="CS48" s="333">
        <f t="shared" ref="CS48:CS57" si="89">IF((1-($DI$2-AA$2)/$C48)&gt;0,(1-($DI$2-AA$2)/$C48),0)</f>
        <v>0</v>
      </c>
      <c r="CT48" s="333">
        <f t="shared" ref="CT48:CT57" si="90">IF((1-($DI$2-AE$2)/$C48)&gt;0,(1-($DI$2-AE$2)/$C48),0)</f>
        <v>0</v>
      </c>
      <c r="CU48" s="333">
        <f t="shared" ref="CU48:CU57" si="91">IF((1-($DI$2-AI$2)/$C48)&gt;0,(1-($DI$2-AI$2)/$C48),0)</f>
        <v>0</v>
      </c>
      <c r="CV48" s="333">
        <f t="shared" ref="CV48:CV57" si="92">IF((1-($DI$2-AM$2)/$C48)&gt;0,(1-($DI$2-AM$2)/$C48),0)</f>
        <v>0</v>
      </c>
      <c r="CW48" s="333">
        <f t="shared" ref="CW48:CW57" si="93">IF((1-($DI$2-AQ$2)/$C48)&gt;0,(1-($DI$2-AQ$2)/$C48),0)</f>
        <v>0</v>
      </c>
      <c r="CX48" s="333">
        <f t="shared" ref="CX48:CX57" si="94">IF((1-($DI$2-AU$2)/$C48)&gt;0,(1-($DI$2-AU$2)/$C48),0)</f>
        <v>0</v>
      </c>
      <c r="CY48" s="333">
        <f t="shared" ref="CY48:CY57" si="95">IF((1-($DI$2-AY$2)/$C48)&gt;0,(1-($DI$2-AY$2)/$C48),0)</f>
        <v>0</v>
      </c>
      <c r="CZ48" s="333">
        <f t="shared" ref="CZ48:CZ57" si="96">IF((1-($DI$2-BC$2)/$C48)&gt;0,(1-($DI$2-BC$2)/$C48),0)</f>
        <v>0</v>
      </c>
      <c r="DA48" s="333">
        <f t="shared" ref="DA48:DA57" si="97">IF(BG48=0,0,1-($DI$2-(2014.5-(BG48-BI48)*C48/BG48))/C48)</f>
        <v>0</v>
      </c>
      <c r="DB48" s="333">
        <f t="shared" ref="DB48:DB57" si="98">IF((1-($DI$2-BJ$2)/$C48)&gt;0,(1-($DI$2-BJ$2)/$C48),0)</f>
        <v>0</v>
      </c>
      <c r="DC48" s="333">
        <f t="shared" ref="DC48:DC57" si="99">IF((1-($DI$2-BN$2)/$C48)&gt;0,(1-($DI$2-BN$2)/$C48),0)</f>
        <v>0</v>
      </c>
      <c r="DD48" s="333">
        <f t="shared" ref="DD48:DD57" si="100">IF((1-($DI$2-BR$2)/$C48)&gt;0,(1-($DI$2-BR$2)/$C48),0)</f>
        <v>0</v>
      </c>
      <c r="DE48" s="333">
        <f t="shared" ref="DE48:DE57" si="101">IF((1-($DI$2-BV$2)/$C48)&gt;0,(1-($DI$2-BV$2)/$C48),0)</f>
        <v>0.25</v>
      </c>
      <c r="DF48" s="333">
        <f t="shared" ref="DF48:DF57" si="102">IF((1-($DI$2-BZ$2)/$C48)&gt;0,(1-($DI$2-BZ$2)/$C48),0)</f>
        <v>0.5</v>
      </c>
      <c r="DG48" s="333">
        <f t="shared" ref="DG48:DG57" si="103">IF((1-($DI$2-CD$2)/$C48)&gt;0,(1-($DI$2-CD$2)/$C48),0)</f>
        <v>0.75</v>
      </c>
      <c r="DH48" s="333">
        <f t="shared" ref="DH48:DH57" si="104">IF((1-($DI$2-CH$2)/$C48)&gt;0,(1-($DI$2-CH$2)/$C48),0)</f>
        <v>1</v>
      </c>
      <c r="DI48" s="334">
        <f t="shared" ref="DI48:DI57" si="105">D48-E48+(G48-H48-I48)*G$63+(K48-L48-M48)*K$63+(O48-P48-Q48)*O$63+(S48-T48-U48)*S$63+(W48-X48-Y48)*W$63+(AA48-AB48-AC48)*AA$63+(AE48-AF48-AG48)*AE$63+(AI48-AJ48-AK48)*AI$63+(AM48-AN48-AO48)*AM$63+(AQ48-AR48-AS48)*$AQ$63+(AU48-AV48-AW48)*$AU$63+(AY48-AZ48-BA48)*$AY$63+(BC48-BD48-BE48)*$BC$63+BG48+(BJ48-BK48-BL48)*$BJ$63+(BN48-BO48-BP48)*$BN$63+(BR48-BS48-BT48)*$BR$63+(BV48-BW48-BX48)*$BV$63+(BZ48-CA48-CB48)*$BZ$63+(CD48-CE48-CF48)*$CD$63+(CH48-CI48-CJ48)*$CH$63</f>
        <v>0</v>
      </c>
      <c r="DJ48" s="334">
        <f t="shared" ref="DJ48:DJ57" si="106">IF(CM48=0,D48-E48,0)+IF(CN48=0,(G48-H48-I48)*G$63,0)+IF(CO48=0,(K48-L48-M48)*K$63,0)+IF(CP48=0,(O48-P48-Q48)*O$63,0)+IF(CQ48=0,(S48-T48-U48)*S$63,0)+IF(CR48=0,(W48-X48-Y48)*W$63,0)+IF(CS48=0,(AA48-AB48-AC48)*AA$63,0)+IF(CT48=0,(AE48-AF48-AG48)*AE$63,0)+IF(CU48=0,(AI48-AJ48-AK48)*AI$63,0)+IF(CV48=0,(AM48-AN48-AO48)*AM$63,0)+IF(CW48=0,(AQ48-AR48-AS48)*$AQ$63,0)+IF(CX48=0,(AU48-AV48-AW48)*$AU$63,0)+IF(CY48=0,(AY48-AZ48-BA48)*$AY$63,0)+IF(CZ48=0,(BC48-BD48-BE48)*$BC$63,0)+IF(DB48=0,(BJ48-BK48-BL48)*$BJ$63,0)+IF(DA48=0,BG48,0)+IF(DC48=0,(BN48-BO48-BP48)*$BN$63,0)+IF(DD48=0,(BR48-BS48-BT48)*$BR$63,0)+IF(DE48=0,(BV48-BW48-BX48)*$BV$63,0)+IF(DF48=0,(BZ48-CA48-CB48)*$BZ$63,0)+IF(DG48=0,(CD48-CE48-CF48)*$CD$63,0)+IF(DH48=0,(CH48-CI48-CJ48)*$CH$63,0)</f>
        <v>0</v>
      </c>
      <c r="DK48" s="334">
        <f>(D48-E48)*CM48+((G48-H48-(I48-J48))*G$63)*CN48+((K48-L48-(M48-N48))*K$63)*CO48+((O48-P48-(Q48-R48))*O$63)*CP48+((S48-T48-(U48-V48))*S$63)*CQ48+((W48-X48-(Y48-Z48))*W$63)*CR48+((AA48-AB48-(AC48-AD48))*AA$63)*CS48+((AE48-AF48-(AG48-AH48))*AE$63)*CT48+((AI48-AJ48-(AK48-AL48))*AI$63)*CU48+((AM48-AN48-(AO48-AP48))*$AM$63)*CV48+((AQ48-AR48-(AS48-AT48))*$AQ$63)*CW48+((AU48-AV48-(AW48-AX48))*$AU$63)*CX48+((AY48-AZ48-(BA48-BB48))*$AY$63)*CY48+((BC48-BD48-(BE48-BF48))*$BC$63)*CZ48+((BJ48-BK48-(BL48-BM48))*$BJ$63)*DB48+(BG48-BH48)*DA48+((BN48-BO48-(BP48-BQ48))*$BN$63)*DC48+((BR48-BS48-(BT48-BU48))*$BR$63)*DD48+((BV48-BW48-(BX48-BY48))*$BV$63)*DE48+((BZ48-CA48-(CB48-CC48))*$BZ$63)*DF48+((CD48-CE48-(CF48-CG48))*$CD$63)*DG48+((CH48-CI48-(CJ48-CK48))*$CH$63*DH48)</f>
        <v>0</v>
      </c>
    </row>
    <row r="49" spans="1:115" ht="12.75" customHeight="1" x14ac:dyDescent="0.25">
      <c r="A49" s="574"/>
      <c r="B49" s="386" t="s">
        <v>39</v>
      </c>
      <c r="C49" s="316">
        <v>1000</v>
      </c>
      <c r="D49" s="317">
        <v>0</v>
      </c>
      <c r="E49" s="318"/>
      <c r="F49" s="319">
        <v>0</v>
      </c>
      <c r="G49" s="320">
        <v>0</v>
      </c>
      <c r="H49" s="321"/>
      <c r="I49" s="322"/>
      <c r="J49" s="321"/>
      <c r="K49" s="320">
        <v>0</v>
      </c>
      <c r="L49" s="323"/>
      <c r="M49" s="318"/>
      <c r="N49" s="321"/>
      <c r="O49" s="320">
        <v>0</v>
      </c>
      <c r="P49" s="321"/>
      <c r="Q49" s="322"/>
      <c r="R49" s="321"/>
      <c r="S49" s="319">
        <v>0</v>
      </c>
      <c r="T49" s="329"/>
      <c r="U49" s="319"/>
      <c r="V49" s="325"/>
      <c r="W49" s="326">
        <v>0</v>
      </c>
      <c r="X49" s="326">
        <v>0</v>
      </c>
      <c r="Y49" s="326"/>
      <c r="Z49" s="327"/>
      <c r="AA49" s="326">
        <v>0</v>
      </c>
      <c r="AB49" s="329">
        <v>0</v>
      </c>
      <c r="AC49" s="319"/>
      <c r="AD49" s="327"/>
      <c r="AE49" s="326">
        <v>0</v>
      </c>
      <c r="AF49" s="326">
        <v>0</v>
      </c>
      <c r="AG49" s="330"/>
      <c r="AH49" s="327"/>
      <c r="AI49" s="319">
        <v>0</v>
      </c>
      <c r="AJ49" s="319">
        <v>0</v>
      </c>
      <c r="AK49" s="319"/>
      <c r="AL49" s="325"/>
      <c r="AM49" s="326">
        <v>0</v>
      </c>
      <c r="AN49" s="326">
        <v>0</v>
      </c>
      <c r="AO49" s="326"/>
      <c r="AP49" s="325"/>
      <c r="AQ49" s="326">
        <v>0</v>
      </c>
      <c r="AR49" s="331">
        <v>0</v>
      </c>
      <c r="AS49" s="331"/>
      <c r="AT49" s="331"/>
      <c r="AU49" s="331">
        <v>0</v>
      </c>
      <c r="AV49" s="331">
        <v>0</v>
      </c>
      <c r="AW49" s="331"/>
      <c r="AX49" s="331"/>
      <c r="AY49" s="331">
        <v>0</v>
      </c>
      <c r="AZ49" s="331">
        <v>0</v>
      </c>
      <c r="BA49" s="331"/>
      <c r="BB49" s="331"/>
      <c r="BC49" s="356"/>
      <c r="BD49" s="331"/>
      <c r="BE49" s="331"/>
      <c r="BF49" s="331"/>
      <c r="BG49" s="331"/>
      <c r="BH49" s="331"/>
      <c r="BI49" s="331"/>
      <c r="BJ49" s="331"/>
      <c r="BK49" s="331"/>
      <c r="BL49" s="331"/>
      <c r="BM49" s="331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0"/>
      <c r="BY49" s="290"/>
      <c r="BZ49" s="290"/>
      <c r="CA49" s="290"/>
      <c r="CB49" s="290"/>
      <c r="CC49" s="290"/>
      <c r="CD49" s="290"/>
      <c r="CE49" s="290"/>
      <c r="CF49" s="290"/>
      <c r="CG49" s="290"/>
      <c r="CH49" s="290"/>
      <c r="CI49" s="290"/>
      <c r="CJ49" s="290"/>
      <c r="CK49" s="290"/>
      <c r="CL49" s="321">
        <f t="shared" si="82"/>
        <v>0</v>
      </c>
      <c r="CM49" s="385">
        <f t="shared" si="83"/>
        <v>0</v>
      </c>
      <c r="CN49" s="333">
        <f t="shared" si="84"/>
        <v>0.98099999999999998</v>
      </c>
      <c r="CO49" s="333">
        <f t="shared" si="85"/>
        <v>0.98199999999999998</v>
      </c>
      <c r="CP49" s="333">
        <f t="shared" si="86"/>
        <v>0.98299999999999998</v>
      </c>
      <c r="CQ49" s="333">
        <f t="shared" si="87"/>
        <v>0.98399999999999999</v>
      </c>
      <c r="CR49" s="333">
        <f t="shared" si="88"/>
        <v>0.98499999999999999</v>
      </c>
      <c r="CS49" s="333">
        <f t="shared" si="89"/>
        <v>0.98599999999999999</v>
      </c>
      <c r="CT49" s="333">
        <f t="shared" si="90"/>
        <v>0.98699999999999999</v>
      </c>
      <c r="CU49" s="333">
        <f t="shared" si="91"/>
        <v>0.98799999999999999</v>
      </c>
      <c r="CV49" s="333">
        <f t="shared" si="92"/>
        <v>0.98899999999999999</v>
      </c>
      <c r="CW49" s="333">
        <f t="shared" si="93"/>
        <v>0.99</v>
      </c>
      <c r="CX49" s="333">
        <f t="shared" si="94"/>
        <v>0.99099999999999999</v>
      </c>
      <c r="CY49" s="333">
        <f t="shared" si="95"/>
        <v>0.99199999999999999</v>
      </c>
      <c r="CZ49" s="333">
        <f t="shared" si="96"/>
        <v>0.99299999999999999</v>
      </c>
      <c r="DA49" s="333">
        <f t="shared" si="97"/>
        <v>0</v>
      </c>
      <c r="DB49" s="333">
        <f t="shared" si="98"/>
        <v>0.99399999999999999</v>
      </c>
      <c r="DC49" s="333">
        <f t="shared" si="99"/>
        <v>0.995</v>
      </c>
      <c r="DD49" s="333">
        <f t="shared" si="100"/>
        <v>0.996</v>
      </c>
      <c r="DE49" s="333">
        <f t="shared" si="101"/>
        <v>0.997</v>
      </c>
      <c r="DF49" s="333">
        <f t="shared" si="102"/>
        <v>0.998</v>
      </c>
      <c r="DG49" s="333">
        <f t="shared" si="103"/>
        <v>0.999</v>
      </c>
      <c r="DH49" s="333">
        <f t="shared" si="104"/>
        <v>1</v>
      </c>
      <c r="DI49" s="334">
        <f t="shared" si="105"/>
        <v>0</v>
      </c>
      <c r="DJ49" s="334">
        <f t="shared" si="106"/>
        <v>0</v>
      </c>
      <c r="DK49" s="334">
        <f t="shared" ref="DK49:DK57" si="107">(D49-E49)*CM49+((G49-H49-(I49-J49))*G$63)*CN49+((K49-L49-(M49-N49))*K$63)*CO49+((O49-P49-(Q49-R49))*O$63)*CP49+((S49-T49-(U49-V49))*S$63)*CQ49+((W49-X49-(Y49-Z49))*W$63)*CR49+((AA49-AB49-(AC49-AD49))*AA$63)*CS49+((AE49-AF49-(AG49-AH49))*AE$63)*CT49+((AI49-AJ49-(AK49-AL49))*AI$63)*CU49+((AM49-AN49-(AO49-AP49))*$AM$63)*CV49+((AQ49-AR49-(AS49-AT49))*$AQ$63)*CW49+((AU49-AV49-(AW49-AX49))*$AU$63)*CX49+((AY49-AZ49-(BA49-BB49))*$AY$63)*CY49+((BC49-BD49-(BE49-BF49))*$BC$63)*CZ49+((BJ49-BK49-(BL49-BM49))*$BJ$63)*DB49+(BG49-BH49)*DA49+((BN49-BO49-(BP49-BQ49))*$BN$63)*DC49+((BR49-BS49-(BT49-BU49))*$BR$63)*DD49+((BV49-BW49-(BX49-BY49))*$BV$63)*DE49+((BZ49-CA49-(CB49-CC49))*$BZ$63)*DF49+((CD49-CE49-(CF49-CG49))*$CD$63)*DG49+((CH49-CI49-(CJ49-CK49))*$CH$63*DH49)</f>
        <v>0</v>
      </c>
    </row>
    <row r="50" spans="1:115" ht="12.75" customHeight="1" x14ac:dyDescent="0.25">
      <c r="A50" s="574"/>
      <c r="B50" s="386" t="s">
        <v>9</v>
      </c>
      <c r="C50" s="316">
        <v>40</v>
      </c>
      <c r="D50" s="317">
        <v>1075230.2047875901</v>
      </c>
      <c r="E50" s="318"/>
      <c r="F50" s="319">
        <v>828035.68623603997</v>
      </c>
      <c r="G50" s="320">
        <v>0</v>
      </c>
      <c r="H50" s="321"/>
      <c r="I50" s="322"/>
      <c r="J50" s="321"/>
      <c r="K50" s="320">
        <v>0</v>
      </c>
      <c r="L50" s="323"/>
      <c r="M50" s="318"/>
      <c r="N50" s="321"/>
      <c r="O50" s="320">
        <v>0</v>
      </c>
      <c r="P50" s="321"/>
      <c r="Q50" s="322"/>
      <c r="R50" s="321"/>
      <c r="S50" s="319">
        <v>0</v>
      </c>
      <c r="T50" s="329"/>
      <c r="U50" s="319"/>
      <c r="V50" s="325"/>
      <c r="W50" s="326">
        <v>0</v>
      </c>
      <c r="X50" s="326">
        <v>0</v>
      </c>
      <c r="Y50" s="326"/>
      <c r="Z50" s="327"/>
      <c r="AA50" s="326">
        <v>26826.639999999999</v>
      </c>
      <c r="AB50" s="329">
        <v>0</v>
      </c>
      <c r="AC50" s="319"/>
      <c r="AD50" s="327"/>
      <c r="AE50" s="326">
        <v>0</v>
      </c>
      <c r="AF50" s="326">
        <v>0</v>
      </c>
      <c r="AG50" s="330"/>
      <c r="AH50" s="327"/>
      <c r="AI50" s="319">
        <v>0</v>
      </c>
      <c r="AJ50" s="319">
        <v>0</v>
      </c>
      <c r="AK50" s="319"/>
      <c r="AL50" s="325"/>
      <c r="AM50" s="326">
        <v>0</v>
      </c>
      <c r="AN50" s="326">
        <v>0</v>
      </c>
      <c r="AO50" s="326"/>
      <c r="AP50" s="325"/>
      <c r="AQ50" s="326">
        <v>0</v>
      </c>
      <c r="AR50" s="331">
        <v>0</v>
      </c>
      <c r="AS50" s="331"/>
      <c r="AT50" s="331"/>
      <c r="AU50" s="331">
        <v>0</v>
      </c>
      <c r="AV50" s="331">
        <v>0</v>
      </c>
      <c r="AW50" s="331"/>
      <c r="AX50" s="331"/>
      <c r="AY50" s="331">
        <v>0</v>
      </c>
      <c r="AZ50" s="331">
        <v>0</v>
      </c>
      <c r="BA50" s="331"/>
      <c r="BB50" s="331"/>
      <c r="BC50" s="356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/>
      <c r="CJ50" s="290"/>
      <c r="CK50" s="290"/>
      <c r="CL50" s="321">
        <f t="shared" si="82"/>
        <v>1991.8040336868928</v>
      </c>
      <c r="CM50" s="333">
        <f t="shared" si="83"/>
        <v>0.27010084217232022</v>
      </c>
      <c r="CN50" s="333">
        <f t="shared" si="84"/>
        <v>0.52500000000000002</v>
      </c>
      <c r="CO50" s="333">
        <f t="shared" si="85"/>
        <v>0.55000000000000004</v>
      </c>
      <c r="CP50" s="333">
        <f t="shared" si="86"/>
        <v>0.57499999999999996</v>
      </c>
      <c r="CQ50" s="333">
        <f t="shared" si="87"/>
        <v>0.6</v>
      </c>
      <c r="CR50" s="333">
        <f t="shared" si="88"/>
        <v>0.625</v>
      </c>
      <c r="CS50" s="333">
        <f t="shared" si="89"/>
        <v>0.65</v>
      </c>
      <c r="CT50" s="333">
        <f t="shared" si="90"/>
        <v>0.67500000000000004</v>
      </c>
      <c r="CU50" s="333">
        <f t="shared" si="91"/>
        <v>0.7</v>
      </c>
      <c r="CV50" s="333">
        <f t="shared" si="92"/>
        <v>0.72499999999999998</v>
      </c>
      <c r="CW50" s="333">
        <f t="shared" si="93"/>
        <v>0.75</v>
      </c>
      <c r="CX50" s="333">
        <f t="shared" si="94"/>
        <v>0.77500000000000002</v>
      </c>
      <c r="CY50" s="333">
        <f t="shared" si="95"/>
        <v>0.8</v>
      </c>
      <c r="CZ50" s="333">
        <f t="shared" si="96"/>
        <v>0.82499999999999996</v>
      </c>
      <c r="DA50" s="333">
        <f t="shared" si="97"/>
        <v>0</v>
      </c>
      <c r="DB50" s="333">
        <f t="shared" si="98"/>
        <v>0.85</v>
      </c>
      <c r="DC50" s="333">
        <f t="shared" si="99"/>
        <v>0.875</v>
      </c>
      <c r="DD50" s="333">
        <f t="shared" si="100"/>
        <v>0.9</v>
      </c>
      <c r="DE50" s="333">
        <f t="shared" si="101"/>
        <v>0.92500000000000004</v>
      </c>
      <c r="DF50" s="333">
        <f t="shared" si="102"/>
        <v>0.95</v>
      </c>
      <c r="DG50" s="333">
        <f t="shared" si="103"/>
        <v>0.97499999999999998</v>
      </c>
      <c r="DH50" s="333">
        <f t="shared" si="104"/>
        <v>1</v>
      </c>
      <c r="DI50" s="334">
        <f t="shared" si="105"/>
        <v>1094161.605459783</v>
      </c>
      <c r="DJ50" s="334">
        <f t="shared" si="106"/>
        <v>0</v>
      </c>
      <c r="DK50" s="334">
        <f t="shared" si="107"/>
        <v>302725.99427916988</v>
      </c>
    </row>
    <row r="51" spans="1:115" ht="12.75" customHeight="1" x14ac:dyDescent="0.25">
      <c r="A51" s="574"/>
      <c r="B51" s="386" t="s">
        <v>40</v>
      </c>
      <c r="C51" s="316">
        <v>22</v>
      </c>
      <c r="D51" s="317">
        <v>4570414.9220673665</v>
      </c>
      <c r="E51" s="318"/>
      <c r="F51" s="319">
        <v>3249798.252767378</v>
      </c>
      <c r="G51" s="320">
        <v>385845.48</v>
      </c>
      <c r="H51" s="321"/>
      <c r="I51" s="322"/>
      <c r="J51" s="321"/>
      <c r="K51" s="320">
        <v>452747.86</v>
      </c>
      <c r="L51" s="323"/>
      <c r="M51" s="318"/>
      <c r="N51" s="321"/>
      <c r="O51" s="320">
        <v>370817.32</v>
      </c>
      <c r="P51" s="321"/>
      <c r="Q51" s="322"/>
      <c r="R51" s="321"/>
      <c r="S51" s="319">
        <v>396757.73</v>
      </c>
      <c r="T51" s="329"/>
      <c r="U51" s="319"/>
      <c r="V51" s="325"/>
      <c r="W51" s="326">
        <v>291785.66999999993</v>
      </c>
      <c r="X51" s="326">
        <v>0</v>
      </c>
      <c r="Y51" s="326"/>
      <c r="Z51" s="327"/>
      <c r="AA51" s="326">
        <v>444306.60000000003</v>
      </c>
      <c r="AB51" s="329">
        <v>0</v>
      </c>
      <c r="AC51" s="319"/>
      <c r="AD51" s="327"/>
      <c r="AE51" s="326">
        <v>641039</v>
      </c>
      <c r="AF51" s="326">
        <v>0</v>
      </c>
      <c r="AG51" s="330"/>
      <c r="AH51" s="327"/>
      <c r="AI51" s="319">
        <v>528906.63000000012</v>
      </c>
      <c r="AJ51" s="319">
        <v>0</v>
      </c>
      <c r="AK51" s="319"/>
      <c r="AL51" s="325"/>
      <c r="AM51" s="326">
        <v>421950.02999999991</v>
      </c>
      <c r="AN51" s="326">
        <v>0</v>
      </c>
      <c r="AO51" s="326"/>
      <c r="AP51" s="387"/>
      <c r="AQ51" s="326">
        <v>401723.83</v>
      </c>
      <c r="AR51" s="331">
        <v>0</v>
      </c>
      <c r="AS51" s="331"/>
      <c r="AT51" s="331"/>
      <c r="AU51" s="331">
        <v>401731.13</v>
      </c>
      <c r="AV51" s="331">
        <v>0</v>
      </c>
      <c r="AW51" s="331"/>
      <c r="AX51" s="331"/>
      <c r="AY51" s="331">
        <v>555885.05319699994</v>
      </c>
      <c r="AZ51" s="331">
        <v>0</v>
      </c>
      <c r="BA51" s="331"/>
      <c r="BB51" s="331"/>
      <c r="BC51" s="356">
        <v>660890.24999999988</v>
      </c>
      <c r="BD51" s="331"/>
      <c r="BE51" s="331"/>
      <c r="BF51" s="331"/>
      <c r="BG51" s="331">
        <f>+BH51</f>
        <v>265555</v>
      </c>
      <c r="BH51" s="331">
        <v>265555</v>
      </c>
      <c r="BI51" s="331">
        <v>173348.46</v>
      </c>
      <c r="BJ51" s="331">
        <v>682413</v>
      </c>
      <c r="BK51" s="331"/>
      <c r="BL51" s="331"/>
      <c r="BM51" s="331"/>
      <c r="BN51" s="290">
        <v>805417.89999999991</v>
      </c>
      <c r="BO51" s="290"/>
      <c r="BP51" s="290"/>
      <c r="BQ51" s="290"/>
      <c r="BR51" s="290">
        <v>811234.00000000012</v>
      </c>
      <c r="BS51" s="290"/>
      <c r="BT51" s="290"/>
      <c r="BU51" s="290"/>
      <c r="BV51" s="290">
        <v>994683.03999999969</v>
      </c>
      <c r="BW51" s="290">
        <v>0</v>
      </c>
      <c r="BX51" s="290"/>
      <c r="BY51" s="290"/>
      <c r="BZ51" s="290">
        <v>1009193.6200000001</v>
      </c>
      <c r="CA51" s="290">
        <v>0</v>
      </c>
      <c r="CB51" s="290"/>
      <c r="CC51" s="290"/>
      <c r="CD51" s="290">
        <v>1325024.6100000003</v>
      </c>
      <c r="CE51" s="290">
        <v>0</v>
      </c>
      <c r="CF51" s="290"/>
      <c r="CG51" s="290"/>
      <c r="CH51" s="290">
        <v>1450242.81</v>
      </c>
      <c r="CI51" s="290">
        <v>0</v>
      </c>
      <c r="CJ51" s="290"/>
      <c r="CK51" s="290"/>
      <c r="CL51" s="321">
        <f t="shared" si="82"/>
        <v>1994.6431227317414</v>
      </c>
      <c r="CM51" s="333">
        <f t="shared" si="83"/>
        <v>0</v>
      </c>
      <c r="CN51" s="333">
        <f t="shared" si="84"/>
        <v>0.13636363636363635</v>
      </c>
      <c r="CO51" s="333">
        <f t="shared" si="85"/>
        <v>0.18181818181818177</v>
      </c>
      <c r="CP51" s="333">
        <f t="shared" si="86"/>
        <v>0.22727272727272729</v>
      </c>
      <c r="CQ51" s="333">
        <f t="shared" si="87"/>
        <v>0.27272727272727271</v>
      </c>
      <c r="CR51" s="333">
        <f t="shared" si="88"/>
        <v>0.31818181818181823</v>
      </c>
      <c r="CS51" s="333">
        <f t="shared" si="89"/>
        <v>0.36363636363636365</v>
      </c>
      <c r="CT51" s="333">
        <f t="shared" si="90"/>
        <v>0.40909090909090906</v>
      </c>
      <c r="CU51" s="333">
        <f t="shared" si="91"/>
        <v>0.45454545454545459</v>
      </c>
      <c r="CV51" s="333">
        <f t="shared" si="92"/>
        <v>0.5</v>
      </c>
      <c r="CW51" s="333">
        <f t="shared" si="93"/>
        <v>0.54545454545454541</v>
      </c>
      <c r="CX51" s="333">
        <f t="shared" si="94"/>
        <v>0.59090909090909083</v>
      </c>
      <c r="CY51" s="333">
        <f t="shared" si="95"/>
        <v>0.63636363636363635</v>
      </c>
      <c r="CZ51" s="333">
        <f t="shared" si="96"/>
        <v>0.68181818181818188</v>
      </c>
      <c r="DA51" s="333">
        <f t="shared" si="97"/>
        <v>0.35732344780485004</v>
      </c>
      <c r="DB51" s="333">
        <f t="shared" si="98"/>
        <v>0.72727272727272729</v>
      </c>
      <c r="DC51" s="333">
        <f t="shared" si="99"/>
        <v>0.77272727272727271</v>
      </c>
      <c r="DD51" s="333">
        <f t="shared" si="100"/>
        <v>0.81818181818181812</v>
      </c>
      <c r="DE51" s="333">
        <f t="shared" si="101"/>
        <v>0.86363636363636365</v>
      </c>
      <c r="DF51" s="333">
        <f t="shared" si="102"/>
        <v>0.90909090909090906</v>
      </c>
      <c r="DG51" s="333">
        <f t="shared" si="103"/>
        <v>0.95454545454545459</v>
      </c>
      <c r="DH51" s="333">
        <f t="shared" si="104"/>
        <v>1</v>
      </c>
      <c r="DI51" s="334">
        <f t="shared" si="105"/>
        <v>15850579.387811005</v>
      </c>
      <c r="DJ51" s="334">
        <f t="shared" si="106"/>
        <v>4570414.9220673665</v>
      </c>
      <c r="DK51" s="334">
        <f t="shared" si="107"/>
        <v>7610680.9812350795</v>
      </c>
    </row>
    <row r="52" spans="1:115" ht="12.75" customHeight="1" x14ac:dyDescent="0.25">
      <c r="A52" s="574"/>
      <c r="B52" s="386" t="s">
        <v>54</v>
      </c>
      <c r="C52" s="316">
        <v>22</v>
      </c>
      <c r="D52" s="317">
        <v>0</v>
      </c>
      <c r="E52" s="318"/>
      <c r="F52" s="319">
        <v>0</v>
      </c>
      <c r="G52" s="320">
        <v>0</v>
      </c>
      <c r="H52" s="321"/>
      <c r="I52" s="322"/>
      <c r="J52" s="321"/>
      <c r="K52" s="320">
        <v>0</v>
      </c>
      <c r="L52" s="323"/>
      <c r="M52" s="318"/>
      <c r="N52" s="321"/>
      <c r="O52" s="320">
        <v>0</v>
      </c>
      <c r="P52" s="321"/>
      <c r="Q52" s="322"/>
      <c r="R52" s="321"/>
      <c r="S52" s="319">
        <v>0</v>
      </c>
      <c r="T52" s="329"/>
      <c r="U52" s="319"/>
      <c r="V52" s="325"/>
      <c r="W52" s="326">
        <v>0</v>
      </c>
      <c r="X52" s="326">
        <v>0</v>
      </c>
      <c r="Y52" s="326"/>
      <c r="Z52" s="327"/>
      <c r="AA52" s="326">
        <v>0</v>
      </c>
      <c r="AB52" s="329">
        <v>0</v>
      </c>
      <c r="AC52" s="319"/>
      <c r="AD52" s="327"/>
      <c r="AE52" s="326">
        <v>0</v>
      </c>
      <c r="AF52" s="326">
        <v>0</v>
      </c>
      <c r="AG52" s="330"/>
      <c r="AH52" s="327"/>
      <c r="AI52" s="319">
        <v>0</v>
      </c>
      <c r="AJ52" s="319">
        <v>0</v>
      </c>
      <c r="AK52" s="319"/>
      <c r="AL52" s="325"/>
      <c r="AM52" s="326">
        <v>0</v>
      </c>
      <c r="AN52" s="326">
        <v>0</v>
      </c>
      <c r="AO52" s="326"/>
      <c r="AP52" s="325"/>
      <c r="AQ52" s="326">
        <v>0</v>
      </c>
      <c r="AR52" s="331">
        <v>0</v>
      </c>
      <c r="AS52" s="331"/>
      <c r="AT52" s="331"/>
      <c r="AU52" s="331">
        <v>0</v>
      </c>
      <c r="AV52" s="331">
        <v>0</v>
      </c>
      <c r="AW52" s="331"/>
      <c r="AX52" s="331"/>
      <c r="AY52" s="331">
        <v>0</v>
      </c>
      <c r="AZ52" s="331">
        <v>0</v>
      </c>
      <c r="BA52" s="331"/>
      <c r="BB52" s="331"/>
      <c r="BC52" s="356">
        <v>0</v>
      </c>
      <c r="BD52" s="331"/>
      <c r="BE52" s="331"/>
      <c r="BF52" s="331"/>
      <c r="BG52" s="331"/>
      <c r="BH52" s="331"/>
      <c r="BI52" s="331"/>
      <c r="BJ52" s="331">
        <v>0</v>
      </c>
      <c r="BK52" s="331"/>
      <c r="BL52" s="331"/>
      <c r="BM52" s="331"/>
      <c r="BN52" s="290">
        <v>0</v>
      </c>
      <c r="BO52" s="290"/>
      <c r="BP52" s="290"/>
      <c r="BQ52" s="290"/>
      <c r="BR52" s="290">
        <v>0</v>
      </c>
      <c r="BS52" s="290"/>
      <c r="BT52" s="290"/>
      <c r="BU52" s="290"/>
      <c r="BV52" s="290">
        <v>0</v>
      </c>
      <c r="BW52" s="290">
        <v>0</v>
      </c>
      <c r="BX52" s="290"/>
      <c r="BY52" s="290"/>
      <c r="BZ52" s="290">
        <v>0</v>
      </c>
      <c r="CA52" s="290">
        <v>0</v>
      </c>
      <c r="CB52" s="290"/>
      <c r="CC52" s="290"/>
      <c r="CD52" s="290">
        <v>0</v>
      </c>
      <c r="CE52" s="290">
        <v>0</v>
      </c>
      <c r="CF52" s="290"/>
      <c r="CG52" s="290"/>
      <c r="CH52" s="290">
        <v>0</v>
      </c>
      <c r="CI52" s="290">
        <v>0</v>
      </c>
      <c r="CJ52" s="290"/>
      <c r="CK52" s="290"/>
      <c r="CL52" s="321">
        <f t="shared" si="82"/>
        <v>0</v>
      </c>
      <c r="CM52" s="333">
        <f t="shared" si="83"/>
        <v>0</v>
      </c>
      <c r="CN52" s="333">
        <f t="shared" si="84"/>
        <v>0.13636363636363635</v>
      </c>
      <c r="CO52" s="333">
        <f t="shared" si="85"/>
        <v>0.18181818181818177</v>
      </c>
      <c r="CP52" s="333">
        <f t="shared" si="86"/>
        <v>0.22727272727272729</v>
      </c>
      <c r="CQ52" s="333">
        <f t="shared" si="87"/>
        <v>0.27272727272727271</v>
      </c>
      <c r="CR52" s="333">
        <f t="shared" si="88"/>
        <v>0.31818181818181823</v>
      </c>
      <c r="CS52" s="333">
        <f t="shared" si="89"/>
        <v>0.36363636363636365</v>
      </c>
      <c r="CT52" s="333">
        <f t="shared" si="90"/>
        <v>0.40909090909090906</v>
      </c>
      <c r="CU52" s="333">
        <f t="shared" si="91"/>
        <v>0.45454545454545459</v>
      </c>
      <c r="CV52" s="333">
        <f t="shared" si="92"/>
        <v>0.5</v>
      </c>
      <c r="CW52" s="333">
        <f t="shared" si="93"/>
        <v>0.54545454545454541</v>
      </c>
      <c r="CX52" s="333">
        <f t="shared" si="94"/>
        <v>0.59090909090909083</v>
      </c>
      <c r="CY52" s="333">
        <f t="shared" si="95"/>
        <v>0.63636363636363635</v>
      </c>
      <c r="CZ52" s="333">
        <f t="shared" si="96"/>
        <v>0.68181818181818188</v>
      </c>
      <c r="DA52" s="333">
        <f t="shared" si="97"/>
        <v>0</v>
      </c>
      <c r="DB52" s="333">
        <f t="shared" si="98"/>
        <v>0.72727272727272729</v>
      </c>
      <c r="DC52" s="333">
        <f t="shared" si="99"/>
        <v>0.77272727272727271</v>
      </c>
      <c r="DD52" s="333">
        <f t="shared" si="100"/>
        <v>0.81818181818181812</v>
      </c>
      <c r="DE52" s="333">
        <f t="shared" si="101"/>
        <v>0.86363636363636365</v>
      </c>
      <c r="DF52" s="333">
        <f t="shared" si="102"/>
        <v>0.90909090909090906</v>
      </c>
      <c r="DG52" s="333">
        <f t="shared" si="103"/>
        <v>0.95454545454545459</v>
      </c>
      <c r="DH52" s="333">
        <f t="shared" si="104"/>
        <v>1</v>
      </c>
      <c r="DI52" s="334">
        <f t="shared" si="105"/>
        <v>0</v>
      </c>
      <c r="DJ52" s="334">
        <f t="shared" si="106"/>
        <v>0</v>
      </c>
      <c r="DK52" s="334">
        <f t="shared" si="107"/>
        <v>0</v>
      </c>
    </row>
    <row r="53" spans="1:115" ht="12.75" customHeight="1" x14ac:dyDescent="0.25">
      <c r="A53" s="574"/>
      <c r="B53" s="386" t="s">
        <v>10</v>
      </c>
      <c r="C53" s="316">
        <v>7</v>
      </c>
      <c r="D53" s="317">
        <v>14383.151123919413</v>
      </c>
      <c r="E53" s="318"/>
      <c r="F53" s="319">
        <v>14250.373412526502</v>
      </c>
      <c r="G53" s="320">
        <v>0</v>
      </c>
      <c r="H53" s="321"/>
      <c r="I53" s="322"/>
      <c r="J53" s="321"/>
      <c r="K53" s="320">
        <v>0</v>
      </c>
      <c r="L53" s="323"/>
      <c r="M53" s="318"/>
      <c r="N53" s="321"/>
      <c r="O53" s="320">
        <v>0</v>
      </c>
      <c r="P53" s="321"/>
      <c r="Q53" s="322"/>
      <c r="R53" s="321"/>
      <c r="S53" s="319">
        <v>0</v>
      </c>
      <c r="T53" s="329"/>
      <c r="U53" s="319"/>
      <c r="V53" s="325"/>
      <c r="W53" s="326">
        <v>0</v>
      </c>
      <c r="X53" s="326">
        <v>0</v>
      </c>
      <c r="Y53" s="326"/>
      <c r="Z53" s="327"/>
      <c r="AA53" s="326">
        <v>0</v>
      </c>
      <c r="AB53" s="329">
        <v>0</v>
      </c>
      <c r="AC53" s="319"/>
      <c r="AD53" s="327"/>
      <c r="AE53" s="326">
        <v>0</v>
      </c>
      <c r="AF53" s="326">
        <v>0</v>
      </c>
      <c r="AG53" s="330"/>
      <c r="AH53" s="327"/>
      <c r="AI53" s="319">
        <v>0</v>
      </c>
      <c r="AJ53" s="319">
        <v>0</v>
      </c>
      <c r="AK53" s="319"/>
      <c r="AL53" s="325"/>
      <c r="AM53" s="326">
        <v>0</v>
      </c>
      <c r="AN53" s="326">
        <v>0</v>
      </c>
      <c r="AO53" s="326"/>
      <c r="AP53" s="325"/>
      <c r="AQ53" s="326">
        <v>0</v>
      </c>
      <c r="AR53" s="331">
        <v>0</v>
      </c>
      <c r="AS53" s="331"/>
      <c r="AT53" s="331"/>
      <c r="AU53" s="331">
        <v>0</v>
      </c>
      <c r="AV53" s="331">
        <v>0</v>
      </c>
      <c r="AW53" s="331"/>
      <c r="AX53" s="331"/>
      <c r="AY53" s="331">
        <v>0</v>
      </c>
      <c r="AZ53" s="331">
        <v>0</v>
      </c>
      <c r="BA53" s="331"/>
      <c r="BB53" s="331"/>
      <c r="BC53" s="356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0"/>
      <c r="BY53" s="290"/>
      <c r="BZ53" s="290"/>
      <c r="CA53" s="290"/>
      <c r="CB53" s="290"/>
      <c r="CC53" s="290"/>
      <c r="CD53" s="290"/>
      <c r="CE53" s="290"/>
      <c r="CF53" s="290"/>
      <c r="CG53" s="290"/>
      <c r="CH53" s="290"/>
      <c r="CI53" s="290"/>
      <c r="CJ53" s="290"/>
      <c r="CK53" s="290"/>
      <c r="CL53" s="321">
        <f t="shared" si="82"/>
        <v>2000.9353796694659</v>
      </c>
      <c r="CM53" s="333">
        <f t="shared" si="83"/>
        <v>0</v>
      </c>
      <c r="CN53" s="333">
        <f t="shared" si="84"/>
        <v>0</v>
      </c>
      <c r="CO53" s="333">
        <f t="shared" si="85"/>
        <v>0</v>
      </c>
      <c r="CP53" s="333">
        <f t="shared" si="86"/>
        <v>0</v>
      </c>
      <c r="CQ53" s="333">
        <f t="shared" si="87"/>
        <v>0</v>
      </c>
      <c r="CR53" s="333">
        <f t="shared" si="88"/>
        <v>0</v>
      </c>
      <c r="CS53" s="333">
        <f t="shared" si="89"/>
        <v>0</v>
      </c>
      <c r="CT53" s="333">
        <f t="shared" si="90"/>
        <v>0</v>
      </c>
      <c r="CU53" s="333">
        <f t="shared" si="91"/>
        <v>0</v>
      </c>
      <c r="CV53" s="333">
        <f t="shared" si="92"/>
        <v>0</v>
      </c>
      <c r="CW53" s="333">
        <f t="shared" si="93"/>
        <v>0</v>
      </c>
      <c r="CX53" s="333">
        <f t="shared" si="94"/>
        <v>0</v>
      </c>
      <c r="CY53" s="333">
        <f t="shared" si="95"/>
        <v>0</v>
      </c>
      <c r="CZ53" s="333">
        <f t="shared" si="96"/>
        <v>0</v>
      </c>
      <c r="DA53" s="333">
        <f t="shared" si="97"/>
        <v>0</v>
      </c>
      <c r="DB53" s="333">
        <f t="shared" si="98"/>
        <v>0.1428571428571429</v>
      </c>
      <c r="DC53" s="333">
        <f t="shared" si="99"/>
        <v>0.2857142857142857</v>
      </c>
      <c r="DD53" s="333">
        <f t="shared" si="100"/>
        <v>0.4285714285714286</v>
      </c>
      <c r="DE53" s="333">
        <f t="shared" si="101"/>
        <v>0.5714285714285714</v>
      </c>
      <c r="DF53" s="333">
        <f t="shared" si="102"/>
        <v>0.7142857142857143</v>
      </c>
      <c r="DG53" s="333">
        <f t="shared" si="103"/>
        <v>0.85714285714285721</v>
      </c>
      <c r="DH53" s="333">
        <f t="shared" si="104"/>
        <v>1</v>
      </c>
      <c r="DI53" s="334">
        <f t="shared" si="105"/>
        <v>14383.151123919413</v>
      </c>
      <c r="DJ53" s="334">
        <f t="shared" si="106"/>
        <v>14383.151123919413</v>
      </c>
      <c r="DK53" s="334">
        <f t="shared" si="107"/>
        <v>0</v>
      </c>
    </row>
    <row r="54" spans="1:115" ht="12.75" customHeight="1" x14ac:dyDescent="0.25">
      <c r="A54" s="574"/>
      <c r="B54" s="386" t="s">
        <v>11</v>
      </c>
      <c r="C54" s="316">
        <v>4</v>
      </c>
      <c r="D54" s="317">
        <v>0</v>
      </c>
      <c r="E54" s="318"/>
      <c r="F54" s="319">
        <v>0</v>
      </c>
      <c r="G54" s="320">
        <v>0</v>
      </c>
      <c r="H54" s="321"/>
      <c r="I54" s="322"/>
      <c r="J54" s="321"/>
      <c r="K54" s="320">
        <v>0</v>
      </c>
      <c r="L54" s="323"/>
      <c r="M54" s="318"/>
      <c r="N54" s="321"/>
      <c r="O54" s="320">
        <v>0</v>
      </c>
      <c r="P54" s="321"/>
      <c r="Q54" s="322"/>
      <c r="R54" s="321"/>
      <c r="S54" s="319">
        <v>0</v>
      </c>
      <c r="T54" s="329"/>
      <c r="U54" s="319"/>
      <c r="V54" s="325"/>
      <c r="W54" s="326">
        <v>0</v>
      </c>
      <c r="X54" s="326">
        <v>0</v>
      </c>
      <c r="Y54" s="326"/>
      <c r="Z54" s="327"/>
      <c r="AA54" s="326">
        <v>0</v>
      </c>
      <c r="AB54" s="329">
        <v>0</v>
      </c>
      <c r="AC54" s="319"/>
      <c r="AD54" s="327"/>
      <c r="AE54" s="326">
        <v>0</v>
      </c>
      <c r="AF54" s="326">
        <v>0</v>
      </c>
      <c r="AG54" s="330"/>
      <c r="AH54" s="327"/>
      <c r="AI54" s="319">
        <v>0</v>
      </c>
      <c r="AJ54" s="319">
        <v>0</v>
      </c>
      <c r="AK54" s="319"/>
      <c r="AL54" s="325"/>
      <c r="AM54" s="326">
        <v>0</v>
      </c>
      <c r="AN54" s="326">
        <v>0</v>
      </c>
      <c r="AO54" s="326"/>
      <c r="AP54" s="325"/>
      <c r="AQ54" s="326">
        <v>0</v>
      </c>
      <c r="AR54" s="331">
        <v>0</v>
      </c>
      <c r="AS54" s="331"/>
      <c r="AT54" s="331"/>
      <c r="AU54" s="331">
        <v>0</v>
      </c>
      <c r="AV54" s="331">
        <v>0</v>
      </c>
      <c r="AW54" s="331"/>
      <c r="AX54" s="331"/>
      <c r="AY54" s="331">
        <v>0</v>
      </c>
      <c r="AZ54" s="331">
        <v>0</v>
      </c>
      <c r="BA54" s="331"/>
      <c r="BB54" s="331"/>
      <c r="BC54" s="356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290"/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/>
      <c r="CJ54" s="290"/>
      <c r="CK54" s="290"/>
      <c r="CL54" s="321">
        <f t="shared" si="82"/>
        <v>0</v>
      </c>
      <c r="CM54" s="333">
        <f t="shared" si="83"/>
        <v>0</v>
      </c>
      <c r="CN54" s="333">
        <f t="shared" si="84"/>
        <v>0</v>
      </c>
      <c r="CO54" s="333">
        <f t="shared" si="85"/>
        <v>0</v>
      </c>
      <c r="CP54" s="333">
        <f t="shared" si="86"/>
        <v>0</v>
      </c>
      <c r="CQ54" s="333">
        <f t="shared" si="87"/>
        <v>0</v>
      </c>
      <c r="CR54" s="333">
        <f t="shared" si="88"/>
        <v>0</v>
      </c>
      <c r="CS54" s="333">
        <f t="shared" si="89"/>
        <v>0</v>
      </c>
      <c r="CT54" s="333">
        <f t="shared" si="90"/>
        <v>0</v>
      </c>
      <c r="CU54" s="333">
        <f t="shared" si="91"/>
        <v>0</v>
      </c>
      <c r="CV54" s="333">
        <f t="shared" si="92"/>
        <v>0</v>
      </c>
      <c r="CW54" s="333">
        <f t="shared" si="93"/>
        <v>0</v>
      </c>
      <c r="CX54" s="333">
        <f t="shared" si="94"/>
        <v>0</v>
      </c>
      <c r="CY54" s="333">
        <f t="shared" si="95"/>
        <v>0</v>
      </c>
      <c r="CZ54" s="333">
        <f t="shared" si="96"/>
        <v>0</v>
      </c>
      <c r="DA54" s="333">
        <f t="shared" si="97"/>
        <v>0</v>
      </c>
      <c r="DB54" s="333">
        <f t="shared" si="98"/>
        <v>0</v>
      </c>
      <c r="DC54" s="333">
        <f t="shared" si="99"/>
        <v>0</v>
      </c>
      <c r="DD54" s="333">
        <f t="shared" si="100"/>
        <v>0</v>
      </c>
      <c r="DE54" s="333">
        <f t="shared" si="101"/>
        <v>0.25</v>
      </c>
      <c r="DF54" s="333">
        <f t="shared" si="102"/>
        <v>0.5</v>
      </c>
      <c r="DG54" s="333">
        <f t="shared" si="103"/>
        <v>0.75</v>
      </c>
      <c r="DH54" s="333">
        <f t="shared" si="104"/>
        <v>1</v>
      </c>
      <c r="DI54" s="334">
        <f t="shared" si="105"/>
        <v>0</v>
      </c>
      <c r="DJ54" s="334">
        <f t="shared" si="106"/>
        <v>0</v>
      </c>
      <c r="DK54" s="334">
        <f t="shared" si="107"/>
        <v>0</v>
      </c>
    </row>
    <row r="55" spans="1:115" ht="12.75" customHeight="1" x14ac:dyDescent="0.25">
      <c r="A55" s="574"/>
      <c r="B55" s="386" t="s">
        <v>12</v>
      </c>
      <c r="C55" s="316">
        <v>5</v>
      </c>
      <c r="D55" s="317">
        <v>0</v>
      </c>
      <c r="E55" s="318"/>
      <c r="F55" s="319">
        <v>0</v>
      </c>
      <c r="G55" s="320">
        <v>0</v>
      </c>
      <c r="H55" s="321"/>
      <c r="I55" s="322"/>
      <c r="J55" s="321"/>
      <c r="K55" s="320">
        <v>0</v>
      </c>
      <c r="L55" s="323"/>
      <c r="M55" s="318"/>
      <c r="N55" s="321"/>
      <c r="O55" s="320">
        <v>0</v>
      </c>
      <c r="P55" s="321"/>
      <c r="Q55" s="322"/>
      <c r="R55" s="321"/>
      <c r="S55" s="319">
        <v>0</v>
      </c>
      <c r="T55" s="329"/>
      <c r="U55" s="319"/>
      <c r="V55" s="325"/>
      <c r="W55" s="326">
        <v>0</v>
      </c>
      <c r="X55" s="326">
        <v>0</v>
      </c>
      <c r="Y55" s="326"/>
      <c r="Z55" s="327"/>
      <c r="AA55" s="326">
        <v>0</v>
      </c>
      <c r="AB55" s="329">
        <v>0</v>
      </c>
      <c r="AC55" s="319"/>
      <c r="AD55" s="327"/>
      <c r="AE55" s="326">
        <v>0</v>
      </c>
      <c r="AF55" s="326">
        <v>0</v>
      </c>
      <c r="AG55" s="330"/>
      <c r="AH55" s="327"/>
      <c r="AI55" s="319">
        <v>0</v>
      </c>
      <c r="AJ55" s="319">
        <v>0</v>
      </c>
      <c r="AK55" s="319"/>
      <c r="AL55" s="325"/>
      <c r="AM55" s="326">
        <v>0</v>
      </c>
      <c r="AN55" s="326">
        <v>0</v>
      </c>
      <c r="AO55" s="326"/>
      <c r="AP55" s="325"/>
      <c r="AQ55" s="326">
        <v>0</v>
      </c>
      <c r="AR55" s="331">
        <v>0</v>
      </c>
      <c r="AS55" s="331"/>
      <c r="AT55" s="331"/>
      <c r="AU55" s="331">
        <v>0</v>
      </c>
      <c r="AV55" s="331">
        <v>0</v>
      </c>
      <c r="AW55" s="331"/>
      <c r="AX55" s="331"/>
      <c r="AY55" s="331">
        <v>0</v>
      </c>
      <c r="AZ55" s="331">
        <v>0</v>
      </c>
      <c r="BA55" s="331"/>
      <c r="BB55" s="331"/>
      <c r="BC55" s="356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/>
      <c r="CJ55" s="290"/>
      <c r="CK55" s="290"/>
      <c r="CL55" s="321">
        <f t="shared" si="82"/>
        <v>0</v>
      </c>
      <c r="CM55" s="333">
        <f t="shared" si="83"/>
        <v>0</v>
      </c>
      <c r="CN55" s="333">
        <f t="shared" si="84"/>
        <v>0</v>
      </c>
      <c r="CO55" s="333">
        <f t="shared" si="85"/>
        <v>0</v>
      </c>
      <c r="CP55" s="333">
        <f t="shared" si="86"/>
        <v>0</v>
      </c>
      <c r="CQ55" s="333">
        <f t="shared" si="87"/>
        <v>0</v>
      </c>
      <c r="CR55" s="333">
        <f t="shared" si="88"/>
        <v>0</v>
      </c>
      <c r="CS55" s="333">
        <f t="shared" si="89"/>
        <v>0</v>
      </c>
      <c r="CT55" s="333">
        <f t="shared" si="90"/>
        <v>0</v>
      </c>
      <c r="CU55" s="333">
        <f t="shared" si="91"/>
        <v>0</v>
      </c>
      <c r="CV55" s="333">
        <f t="shared" si="92"/>
        <v>0</v>
      </c>
      <c r="CW55" s="333">
        <f t="shared" si="93"/>
        <v>0</v>
      </c>
      <c r="CX55" s="333">
        <f t="shared" si="94"/>
        <v>0</v>
      </c>
      <c r="CY55" s="333">
        <f t="shared" si="95"/>
        <v>0</v>
      </c>
      <c r="CZ55" s="333">
        <f t="shared" si="96"/>
        <v>0</v>
      </c>
      <c r="DA55" s="333">
        <f t="shared" si="97"/>
        <v>0</v>
      </c>
      <c r="DB55" s="333">
        <f t="shared" si="98"/>
        <v>0</v>
      </c>
      <c r="DC55" s="333">
        <f t="shared" si="99"/>
        <v>0</v>
      </c>
      <c r="DD55" s="333">
        <f t="shared" si="100"/>
        <v>0.19999999999999996</v>
      </c>
      <c r="DE55" s="333">
        <f t="shared" si="101"/>
        <v>0.4</v>
      </c>
      <c r="DF55" s="333">
        <f t="shared" si="102"/>
        <v>0.6</v>
      </c>
      <c r="DG55" s="333">
        <f t="shared" si="103"/>
        <v>0.8</v>
      </c>
      <c r="DH55" s="333">
        <f t="shared" si="104"/>
        <v>1</v>
      </c>
      <c r="DI55" s="334">
        <f t="shared" si="105"/>
        <v>0</v>
      </c>
      <c r="DJ55" s="334">
        <f t="shared" si="106"/>
        <v>0</v>
      </c>
      <c r="DK55" s="334">
        <f t="shared" si="107"/>
        <v>0</v>
      </c>
    </row>
    <row r="56" spans="1:115" ht="12.75" customHeight="1" x14ac:dyDescent="0.25">
      <c r="A56" s="574"/>
      <c r="B56" s="386" t="s">
        <v>13</v>
      </c>
      <c r="C56" s="316">
        <v>8</v>
      </c>
      <c r="D56" s="317">
        <v>0</v>
      </c>
      <c r="E56" s="318"/>
      <c r="F56" s="319">
        <v>0</v>
      </c>
      <c r="G56" s="320">
        <v>0</v>
      </c>
      <c r="H56" s="321"/>
      <c r="I56" s="322"/>
      <c r="J56" s="321"/>
      <c r="K56" s="320">
        <v>0</v>
      </c>
      <c r="L56" s="323"/>
      <c r="M56" s="318"/>
      <c r="N56" s="321"/>
      <c r="O56" s="320">
        <v>0</v>
      </c>
      <c r="P56" s="321"/>
      <c r="Q56" s="322"/>
      <c r="R56" s="321"/>
      <c r="S56" s="319">
        <v>0</v>
      </c>
      <c r="T56" s="329"/>
      <c r="U56" s="319"/>
      <c r="V56" s="325"/>
      <c r="W56" s="326">
        <v>0</v>
      </c>
      <c r="X56" s="326">
        <v>0</v>
      </c>
      <c r="Y56" s="326"/>
      <c r="Z56" s="327"/>
      <c r="AA56" s="326">
        <v>0</v>
      </c>
      <c r="AB56" s="329">
        <v>0</v>
      </c>
      <c r="AC56" s="319"/>
      <c r="AD56" s="327"/>
      <c r="AE56" s="326">
        <v>0</v>
      </c>
      <c r="AF56" s="326">
        <v>0</v>
      </c>
      <c r="AG56" s="330"/>
      <c r="AH56" s="327"/>
      <c r="AI56" s="319">
        <v>0</v>
      </c>
      <c r="AJ56" s="319">
        <v>0</v>
      </c>
      <c r="AK56" s="319"/>
      <c r="AL56" s="325"/>
      <c r="AM56" s="326">
        <v>0</v>
      </c>
      <c r="AN56" s="326">
        <v>0</v>
      </c>
      <c r="AO56" s="326"/>
      <c r="AP56" s="325"/>
      <c r="AQ56" s="326">
        <v>0</v>
      </c>
      <c r="AR56" s="331">
        <v>0</v>
      </c>
      <c r="AS56" s="331"/>
      <c r="AT56" s="331"/>
      <c r="AU56" s="331">
        <v>0</v>
      </c>
      <c r="AV56" s="331">
        <v>0</v>
      </c>
      <c r="AW56" s="331"/>
      <c r="AX56" s="331"/>
      <c r="AY56" s="331">
        <v>0</v>
      </c>
      <c r="AZ56" s="331">
        <v>0</v>
      </c>
      <c r="BA56" s="331"/>
      <c r="BB56" s="331"/>
      <c r="BC56" s="356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290"/>
      <c r="BO56" s="290"/>
      <c r="BP56" s="290"/>
      <c r="BQ56" s="290"/>
      <c r="BR56" s="290"/>
      <c r="BS56" s="290"/>
      <c r="BT56" s="290"/>
      <c r="BU56" s="290"/>
      <c r="BV56" s="290"/>
      <c r="BW56" s="290"/>
      <c r="BX56" s="290"/>
      <c r="BY56" s="290"/>
      <c r="BZ56" s="290"/>
      <c r="CA56" s="290"/>
      <c r="CB56" s="290"/>
      <c r="CC56" s="290"/>
      <c r="CD56" s="290"/>
      <c r="CE56" s="290"/>
      <c r="CF56" s="290"/>
      <c r="CG56" s="290"/>
      <c r="CH56" s="290"/>
      <c r="CI56" s="290"/>
      <c r="CJ56" s="290"/>
      <c r="CK56" s="290"/>
      <c r="CL56" s="321">
        <f t="shared" si="82"/>
        <v>0</v>
      </c>
      <c r="CM56" s="333">
        <f t="shared" si="83"/>
        <v>0</v>
      </c>
      <c r="CN56" s="333">
        <f t="shared" si="84"/>
        <v>0</v>
      </c>
      <c r="CO56" s="333">
        <f t="shared" si="85"/>
        <v>0</v>
      </c>
      <c r="CP56" s="333">
        <f t="shared" si="86"/>
        <v>0</v>
      </c>
      <c r="CQ56" s="333">
        <f t="shared" si="87"/>
        <v>0</v>
      </c>
      <c r="CR56" s="333">
        <f t="shared" si="88"/>
        <v>0</v>
      </c>
      <c r="CS56" s="333">
        <f t="shared" si="89"/>
        <v>0</v>
      </c>
      <c r="CT56" s="333">
        <f t="shared" si="90"/>
        <v>0</v>
      </c>
      <c r="CU56" s="333">
        <f t="shared" si="91"/>
        <v>0</v>
      </c>
      <c r="CV56" s="333">
        <f t="shared" si="92"/>
        <v>0</v>
      </c>
      <c r="CW56" s="333">
        <f t="shared" si="93"/>
        <v>0</v>
      </c>
      <c r="CX56" s="333">
        <f t="shared" si="94"/>
        <v>0</v>
      </c>
      <c r="CY56" s="333">
        <f t="shared" si="95"/>
        <v>0</v>
      </c>
      <c r="CZ56" s="333">
        <f t="shared" si="96"/>
        <v>0.125</v>
      </c>
      <c r="DA56" s="333">
        <f t="shared" si="97"/>
        <v>0</v>
      </c>
      <c r="DB56" s="333">
        <f t="shared" si="98"/>
        <v>0.25</v>
      </c>
      <c r="DC56" s="333">
        <f t="shared" si="99"/>
        <v>0.375</v>
      </c>
      <c r="DD56" s="333">
        <f t="shared" si="100"/>
        <v>0.5</v>
      </c>
      <c r="DE56" s="333">
        <f t="shared" si="101"/>
        <v>0.625</v>
      </c>
      <c r="DF56" s="333">
        <f t="shared" si="102"/>
        <v>0.75</v>
      </c>
      <c r="DG56" s="333">
        <f t="shared" si="103"/>
        <v>0.875</v>
      </c>
      <c r="DH56" s="333">
        <f t="shared" si="104"/>
        <v>1</v>
      </c>
      <c r="DI56" s="334">
        <f t="shared" si="105"/>
        <v>0</v>
      </c>
      <c r="DJ56" s="334">
        <f t="shared" si="106"/>
        <v>0</v>
      </c>
      <c r="DK56" s="334">
        <f>(D56-E56)*CM56+((G56-H56-(I56-J56))*G$63)*CN56+((K56-L56-(M56-N56))*K$63)*CO56+((O56-P56-(Q56-R56))*O$63)*CP56+((S56-T56-(U56-V56))*S$63)*CQ56+((W56-X56-(Y56-Z56))*W$63)*CR56+((AA56-AB56-(AC56-AD56))*AA$63)*CS56+((AE56-AF56-(AG56-AH56))*AE$63)*CT56+((AI56-AJ56-(AK56-AL56))*AI$63)*CU56+((AM56-AN56-(AO56-AP56))*$AM$63)*CV56+((AQ56-AR56-(AS56-AT56))*$AQ$63)*CW56+((AU56-AV56-(AW56-AX56))*$AU$63)*CX56+((AY56-AZ56-(BA56-BB56))*$AY$63)*CY56+((BC56-BD56-(BE56-BF56))*$BC$63)*CZ56+((BJ56-BK56-(BL56-BM56))*$BJ$63)*DB56+(BG56-BH56)*DA56+((BN56-BO56-(BP56-BQ56))*$BN$63)*DC56+((BR56-BS56-(BT56-BU56))*$BR$63)*DD56+((BV56-BW56-(BX56-BY56))*$BV$63)*DE56+((BZ56-CA56-(CB56-CC56))*$BZ$63)*DF56+((CD56-CE56-(CF56-CG56))*$CD$63)*DG56+((CH56-CI56-(CJ56-CK56))*$CH$63*DH56)</f>
        <v>0</v>
      </c>
    </row>
    <row r="57" spans="1:115" ht="12.75" customHeight="1" thickBot="1" x14ac:dyDescent="0.3">
      <c r="A57" s="574"/>
      <c r="B57" s="388" t="s">
        <v>41</v>
      </c>
      <c r="C57" s="339">
        <v>17</v>
      </c>
      <c r="D57" s="360">
        <v>0</v>
      </c>
      <c r="E57" s="318"/>
      <c r="F57" s="341">
        <v>0</v>
      </c>
      <c r="G57" s="320">
        <v>0</v>
      </c>
      <c r="H57" s="342"/>
      <c r="I57" s="322"/>
      <c r="J57" s="342"/>
      <c r="K57" s="320">
        <v>0</v>
      </c>
      <c r="L57" s="343"/>
      <c r="M57" s="318"/>
      <c r="N57" s="342"/>
      <c r="O57" s="324">
        <v>0</v>
      </c>
      <c r="P57" s="342"/>
      <c r="Q57" s="322"/>
      <c r="R57" s="342"/>
      <c r="S57" s="341">
        <v>0</v>
      </c>
      <c r="T57" s="389"/>
      <c r="U57" s="319"/>
      <c r="V57" s="361"/>
      <c r="W57" s="326">
        <v>0</v>
      </c>
      <c r="X57" s="326">
        <v>0</v>
      </c>
      <c r="Y57" s="326"/>
      <c r="Z57" s="346"/>
      <c r="AA57" s="326">
        <v>0</v>
      </c>
      <c r="AB57" s="329">
        <v>0</v>
      </c>
      <c r="AC57" s="319"/>
      <c r="AD57" s="346"/>
      <c r="AE57" s="326">
        <v>0</v>
      </c>
      <c r="AF57" s="326">
        <v>0</v>
      </c>
      <c r="AG57" s="330"/>
      <c r="AH57" s="346"/>
      <c r="AI57" s="341">
        <v>0</v>
      </c>
      <c r="AJ57" s="319">
        <v>0</v>
      </c>
      <c r="AK57" s="319"/>
      <c r="AL57" s="361"/>
      <c r="AM57" s="326">
        <v>0</v>
      </c>
      <c r="AN57" s="326">
        <v>0</v>
      </c>
      <c r="AO57" s="326"/>
      <c r="AP57" s="361"/>
      <c r="AQ57" s="326">
        <v>0</v>
      </c>
      <c r="AR57" s="347">
        <v>0</v>
      </c>
      <c r="AS57" s="347"/>
      <c r="AT57" s="347"/>
      <c r="AU57" s="347">
        <v>0</v>
      </c>
      <c r="AV57" s="347">
        <v>0</v>
      </c>
      <c r="AW57" s="347"/>
      <c r="AX57" s="347"/>
      <c r="AY57" s="347">
        <v>0</v>
      </c>
      <c r="AZ57" s="347">
        <v>0</v>
      </c>
      <c r="BA57" s="347"/>
      <c r="BB57" s="347"/>
      <c r="BC57" s="356">
        <v>0</v>
      </c>
      <c r="BD57" s="347"/>
      <c r="BE57" s="347"/>
      <c r="BF57" s="347"/>
      <c r="BG57" s="347"/>
      <c r="BH57" s="347"/>
      <c r="BI57" s="347"/>
      <c r="BJ57" s="347">
        <v>0</v>
      </c>
      <c r="BK57" s="347"/>
      <c r="BL57" s="347"/>
      <c r="BM57" s="347"/>
      <c r="BN57" s="291">
        <v>0</v>
      </c>
      <c r="BO57" s="291"/>
      <c r="BP57" s="291"/>
      <c r="BQ57" s="291"/>
      <c r="BR57" s="291">
        <v>0</v>
      </c>
      <c r="BS57" s="291"/>
      <c r="BT57" s="291"/>
      <c r="BU57" s="291"/>
      <c r="BV57" s="290">
        <v>0</v>
      </c>
      <c r="BW57" s="290">
        <v>0</v>
      </c>
      <c r="BX57" s="291"/>
      <c r="BY57" s="291"/>
      <c r="BZ57" s="290">
        <v>0</v>
      </c>
      <c r="CA57" s="290">
        <v>0</v>
      </c>
      <c r="CB57" s="291"/>
      <c r="CC57" s="291"/>
      <c r="CD57" s="290">
        <v>0</v>
      </c>
      <c r="CE57" s="290">
        <v>0</v>
      </c>
      <c r="CF57" s="291"/>
      <c r="CG57" s="291"/>
      <c r="CH57" s="291">
        <v>106264</v>
      </c>
      <c r="CI57" s="290">
        <v>0</v>
      </c>
      <c r="CJ57" s="291"/>
      <c r="CK57" s="291"/>
      <c r="CL57" s="321">
        <f t="shared" si="82"/>
        <v>0</v>
      </c>
      <c r="CM57" s="348">
        <f t="shared" si="83"/>
        <v>0</v>
      </c>
      <c r="CN57" s="333">
        <f t="shared" si="84"/>
        <v>0</v>
      </c>
      <c r="CO57" s="333">
        <f t="shared" si="85"/>
        <v>0</v>
      </c>
      <c r="CP57" s="333">
        <f t="shared" si="86"/>
        <v>0</v>
      </c>
      <c r="CQ57" s="333">
        <f t="shared" si="87"/>
        <v>5.8823529411764719E-2</v>
      </c>
      <c r="CR57" s="333">
        <f t="shared" si="88"/>
        <v>0.11764705882352944</v>
      </c>
      <c r="CS57" s="333">
        <f t="shared" si="89"/>
        <v>0.17647058823529416</v>
      </c>
      <c r="CT57" s="333">
        <f t="shared" si="90"/>
        <v>0.23529411764705888</v>
      </c>
      <c r="CU57" s="333">
        <f t="shared" si="91"/>
        <v>0.29411764705882348</v>
      </c>
      <c r="CV57" s="333">
        <f t="shared" si="92"/>
        <v>0.3529411764705882</v>
      </c>
      <c r="CW57" s="333">
        <f t="shared" si="93"/>
        <v>0.41176470588235292</v>
      </c>
      <c r="CX57" s="333">
        <f t="shared" si="94"/>
        <v>0.47058823529411764</v>
      </c>
      <c r="CY57" s="333">
        <f t="shared" si="95"/>
        <v>0.52941176470588236</v>
      </c>
      <c r="CZ57" s="333">
        <f t="shared" si="96"/>
        <v>0.58823529411764708</v>
      </c>
      <c r="DA57" s="333">
        <f t="shared" si="97"/>
        <v>0</v>
      </c>
      <c r="DB57" s="333">
        <f t="shared" si="98"/>
        <v>0.64705882352941169</v>
      </c>
      <c r="DC57" s="333">
        <f t="shared" si="99"/>
        <v>0.70588235294117641</v>
      </c>
      <c r="DD57" s="333">
        <f t="shared" si="100"/>
        <v>0.76470588235294112</v>
      </c>
      <c r="DE57" s="333">
        <f t="shared" si="101"/>
        <v>0.82352941176470584</v>
      </c>
      <c r="DF57" s="333">
        <f t="shared" si="102"/>
        <v>0.88235294117647056</v>
      </c>
      <c r="DG57" s="333">
        <f t="shared" si="103"/>
        <v>0.94117647058823528</v>
      </c>
      <c r="DH57" s="333">
        <f t="shared" si="104"/>
        <v>1</v>
      </c>
      <c r="DI57" s="334">
        <f t="shared" si="105"/>
        <v>95637.599999999991</v>
      </c>
      <c r="DJ57" s="334">
        <f t="shared" si="106"/>
        <v>0</v>
      </c>
      <c r="DK57" s="334">
        <f t="shared" si="107"/>
        <v>95637.599999999991</v>
      </c>
    </row>
    <row r="58" spans="1:115" s="1" customFormat="1" ht="12.75" customHeight="1" thickBot="1" x14ac:dyDescent="0.35">
      <c r="A58" s="576"/>
      <c r="B58" s="304" t="s">
        <v>42</v>
      </c>
      <c r="C58" s="302"/>
      <c r="D58" s="305">
        <f t="shared" ref="D58:AI58" si="108">SUM(D48:D57)</f>
        <v>5660028.2779788757</v>
      </c>
      <c r="E58" s="305">
        <f t="shared" si="108"/>
        <v>0</v>
      </c>
      <c r="F58" s="305">
        <f t="shared" si="108"/>
        <v>4092084.3124159449</v>
      </c>
      <c r="G58" s="305">
        <f t="shared" si="108"/>
        <v>385845.48</v>
      </c>
      <c r="H58" s="305">
        <f t="shared" si="108"/>
        <v>0</v>
      </c>
      <c r="I58" s="305">
        <f t="shared" si="108"/>
        <v>0</v>
      </c>
      <c r="J58" s="305">
        <f t="shared" si="108"/>
        <v>0</v>
      </c>
      <c r="K58" s="305">
        <f t="shared" si="108"/>
        <v>452747.86</v>
      </c>
      <c r="L58" s="305">
        <f t="shared" si="108"/>
        <v>0</v>
      </c>
      <c r="M58" s="305">
        <f t="shared" si="108"/>
        <v>0</v>
      </c>
      <c r="N58" s="305">
        <f t="shared" si="108"/>
        <v>0</v>
      </c>
      <c r="O58" s="305">
        <f t="shared" si="108"/>
        <v>370817.32</v>
      </c>
      <c r="P58" s="305">
        <f t="shared" si="108"/>
        <v>0</v>
      </c>
      <c r="Q58" s="305">
        <f t="shared" si="108"/>
        <v>0</v>
      </c>
      <c r="R58" s="305">
        <f t="shared" si="108"/>
        <v>0</v>
      </c>
      <c r="S58" s="305">
        <f t="shared" si="108"/>
        <v>396757.73</v>
      </c>
      <c r="T58" s="305">
        <f t="shared" si="108"/>
        <v>0</v>
      </c>
      <c r="U58" s="305">
        <f t="shared" si="108"/>
        <v>0</v>
      </c>
      <c r="V58" s="305">
        <f t="shared" si="108"/>
        <v>0</v>
      </c>
      <c r="W58" s="305">
        <f t="shared" si="108"/>
        <v>291785.66999999993</v>
      </c>
      <c r="X58" s="305">
        <f t="shared" si="108"/>
        <v>0</v>
      </c>
      <c r="Y58" s="305">
        <f t="shared" si="108"/>
        <v>0</v>
      </c>
      <c r="Z58" s="305">
        <f t="shared" si="108"/>
        <v>0</v>
      </c>
      <c r="AA58" s="305">
        <f t="shared" si="108"/>
        <v>471133.24000000005</v>
      </c>
      <c r="AB58" s="305">
        <f t="shared" si="108"/>
        <v>0</v>
      </c>
      <c r="AC58" s="305">
        <f t="shared" si="108"/>
        <v>0</v>
      </c>
      <c r="AD58" s="305">
        <f t="shared" si="108"/>
        <v>0</v>
      </c>
      <c r="AE58" s="305">
        <f t="shared" si="108"/>
        <v>641039</v>
      </c>
      <c r="AF58" s="305">
        <f t="shared" si="108"/>
        <v>0</v>
      </c>
      <c r="AG58" s="305">
        <f t="shared" si="108"/>
        <v>0</v>
      </c>
      <c r="AH58" s="305">
        <f t="shared" si="108"/>
        <v>0</v>
      </c>
      <c r="AI58" s="305">
        <f t="shared" si="108"/>
        <v>528906.63000000012</v>
      </c>
      <c r="AJ58" s="305">
        <f t="shared" ref="AJ58:BO58" si="109">SUM(AJ48:AJ57)</f>
        <v>0</v>
      </c>
      <c r="AK58" s="305">
        <f t="shared" si="109"/>
        <v>0</v>
      </c>
      <c r="AL58" s="305">
        <f t="shared" si="109"/>
        <v>0</v>
      </c>
      <c r="AM58" s="305">
        <f t="shared" si="109"/>
        <v>421950.02999999991</v>
      </c>
      <c r="AN58" s="305">
        <f t="shared" si="109"/>
        <v>0</v>
      </c>
      <c r="AO58" s="305">
        <f t="shared" si="109"/>
        <v>0</v>
      </c>
      <c r="AP58" s="305">
        <f t="shared" si="109"/>
        <v>0</v>
      </c>
      <c r="AQ58" s="305">
        <f t="shared" si="109"/>
        <v>401723.83</v>
      </c>
      <c r="AR58" s="305">
        <f t="shared" si="109"/>
        <v>0</v>
      </c>
      <c r="AS58" s="305">
        <f t="shared" si="109"/>
        <v>0</v>
      </c>
      <c r="AT58" s="305">
        <f t="shared" si="109"/>
        <v>0</v>
      </c>
      <c r="AU58" s="305">
        <f t="shared" si="109"/>
        <v>401731.13</v>
      </c>
      <c r="AV58" s="305">
        <f t="shared" si="109"/>
        <v>0</v>
      </c>
      <c r="AW58" s="305">
        <f t="shared" si="109"/>
        <v>0</v>
      </c>
      <c r="AX58" s="305">
        <f t="shared" si="109"/>
        <v>0</v>
      </c>
      <c r="AY58" s="305">
        <f t="shared" si="109"/>
        <v>555885.05319699994</v>
      </c>
      <c r="AZ58" s="305">
        <f t="shared" si="109"/>
        <v>0</v>
      </c>
      <c r="BA58" s="305">
        <f t="shared" si="109"/>
        <v>0</v>
      </c>
      <c r="BB58" s="305">
        <f t="shared" si="109"/>
        <v>0</v>
      </c>
      <c r="BC58" s="305">
        <f t="shared" si="109"/>
        <v>660890.24999999988</v>
      </c>
      <c r="BD58" s="305">
        <f t="shared" si="109"/>
        <v>0</v>
      </c>
      <c r="BE58" s="305">
        <f t="shared" si="109"/>
        <v>0</v>
      </c>
      <c r="BF58" s="305">
        <f t="shared" si="109"/>
        <v>0</v>
      </c>
      <c r="BG58" s="305">
        <f t="shared" si="109"/>
        <v>265555</v>
      </c>
      <c r="BH58" s="305">
        <f t="shared" si="109"/>
        <v>265555</v>
      </c>
      <c r="BI58" s="305">
        <f t="shared" si="109"/>
        <v>173348.46</v>
      </c>
      <c r="BJ58" s="305">
        <f t="shared" si="109"/>
        <v>682413</v>
      </c>
      <c r="BK58" s="305">
        <f t="shared" si="109"/>
        <v>0</v>
      </c>
      <c r="BL58" s="305">
        <f t="shared" si="109"/>
        <v>0</v>
      </c>
      <c r="BM58" s="305">
        <f t="shared" si="109"/>
        <v>0</v>
      </c>
      <c r="BN58" s="305">
        <f t="shared" si="109"/>
        <v>805417.89999999991</v>
      </c>
      <c r="BO58" s="305">
        <f t="shared" si="109"/>
        <v>0</v>
      </c>
      <c r="BP58" s="305">
        <f t="shared" ref="BP58:CK58" si="110">SUM(BP48:BP57)</f>
        <v>0</v>
      </c>
      <c r="BQ58" s="305">
        <f t="shared" si="110"/>
        <v>0</v>
      </c>
      <c r="BR58" s="305">
        <f t="shared" si="110"/>
        <v>811234.00000000012</v>
      </c>
      <c r="BS58" s="305">
        <f t="shared" si="110"/>
        <v>0</v>
      </c>
      <c r="BT58" s="305">
        <f t="shared" si="110"/>
        <v>0</v>
      </c>
      <c r="BU58" s="305">
        <f t="shared" si="110"/>
        <v>0</v>
      </c>
      <c r="BV58" s="305">
        <f t="shared" si="110"/>
        <v>994683.03999999969</v>
      </c>
      <c r="BW58" s="305">
        <f t="shared" si="110"/>
        <v>0</v>
      </c>
      <c r="BX58" s="305">
        <f t="shared" si="110"/>
        <v>0</v>
      </c>
      <c r="BY58" s="305">
        <f t="shared" si="110"/>
        <v>0</v>
      </c>
      <c r="BZ58" s="305">
        <f t="shared" si="110"/>
        <v>1009193.6200000001</v>
      </c>
      <c r="CA58" s="305">
        <f t="shared" si="110"/>
        <v>0</v>
      </c>
      <c r="CB58" s="305">
        <f t="shared" si="110"/>
        <v>0</v>
      </c>
      <c r="CC58" s="305">
        <f t="shared" si="110"/>
        <v>0</v>
      </c>
      <c r="CD58" s="305">
        <f>SUM(CD48:CD57)</f>
        <v>1325024.6100000003</v>
      </c>
      <c r="CE58" s="305">
        <f>SUM(CE48:CE57)</f>
        <v>0</v>
      </c>
      <c r="CF58" s="305">
        <f>SUM(CF48:CF57)</f>
        <v>0</v>
      </c>
      <c r="CG58" s="305">
        <f>SUM(CG48:CG57)</f>
        <v>0</v>
      </c>
      <c r="CH58" s="305">
        <f t="shared" si="110"/>
        <v>1556506.81</v>
      </c>
      <c r="CI58" s="305">
        <f t="shared" si="110"/>
        <v>0</v>
      </c>
      <c r="CJ58" s="305">
        <f t="shared" si="110"/>
        <v>0</v>
      </c>
      <c r="CK58" s="305">
        <f t="shared" si="110"/>
        <v>0</v>
      </c>
      <c r="CL58" s="306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8">
        <f>SUM(DI48:DI57)</f>
        <v>17054761.744394708</v>
      </c>
      <c r="DJ58" s="308">
        <f>SUM(DJ48:DJ57)</f>
        <v>4584798.0731912861</v>
      </c>
      <c r="DK58" s="308">
        <f>SUM(DK48:DK57)</f>
        <v>8009044.5755142486</v>
      </c>
    </row>
    <row r="59" spans="1:115" s="23" customFormat="1" ht="30" customHeight="1" thickBot="1" x14ac:dyDescent="0.3">
      <c r="A59" s="303"/>
      <c r="B59" s="309" t="s">
        <v>43</v>
      </c>
      <c r="C59" s="310"/>
      <c r="D59" s="311">
        <f>D58+D47+D13+D45</f>
        <v>80363913.342109516</v>
      </c>
      <c r="E59" s="311">
        <f t="shared" ref="E59:BP59" si="111">E58+E47+E13+E45</f>
        <v>0</v>
      </c>
      <c r="F59" s="311">
        <f t="shared" si="111"/>
        <v>45909466.481640995</v>
      </c>
      <c r="G59" s="311">
        <f t="shared" si="111"/>
        <v>2297920.7887920002</v>
      </c>
      <c r="H59" s="311">
        <f t="shared" si="111"/>
        <v>0</v>
      </c>
      <c r="I59" s="311">
        <f t="shared" si="111"/>
        <v>0</v>
      </c>
      <c r="J59" s="311">
        <f t="shared" si="111"/>
        <v>0</v>
      </c>
      <c r="K59" s="311">
        <f t="shared" si="111"/>
        <v>3705380.7350740554</v>
      </c>
      <c r="L59" s="311">
        <f t="shared" si="111"/>
        <v>315949</v>
      </c>
      <c r="M59" s="311">
        <f t="shared" si="111"/>
        <v>0</v>
      </c>
      <c r="N59" s="311">
        <f t="shared" si="111"/>
        <v>0</v>
      </c>
      <c r="O59" s="311">
        <f t="shared" si="111"/>
        <v>3354159.6110610003</v>
      </c>
      <c r="P59" s="311">
        <f t="shared" si="111"/>
        <v>0</v>
      </c>
      <c r="Q59" s="311">
        <f t="shared" si="111"/>
        <v>0</v>
      </c>
      <c r="R59" s="311">
        <f t="shared" si="111"/>
        <v>0</v>
      </c>
      <c r="S59" s="311">
        <f t="shared" si="111"/>
        <v>3518386.36</v>
      </c>
      <c r="T59" s="311">
        <f t="shared" si="111"/>
        <v>0</v>
      </c>
      <c r="U59" s="311">
        <f t="shared" si="111"/>
        <v>0</v>
      </c>
      <c r="V59" s="311">
        <f t="shared" si="111"/>
        <v>0</v>
      </c>
      <c r="W59" s="311">
        <f t="shared" si="111"/>
        <v>3815993.5700000003</v>
      </c>
      <c r="X59" s="311">
        <f t="shared" si="111"/>
        <v>0</v>
      </c>
      <c r="Y59" s="311">
        <f t="shared" si="111"/>
        <v>0</v>
      </c>
      <c r="Z59" s="311">
        <f t="shared" si="111"/>
        <v>0</v>
      </c>
      <c r="AA59" s="311">
        <f t="shared" si="111"/>
        <v>5590315.4300000006</v>
      </c>
      <c r="AB59" s="311">
        <f t="shared" si="111"/>
        <v>556386.07000000007</v>
      </c>
      <c r="AC59" s="311">
        <f t="shared" si="111"/>
        <v>0</v>
      </c>
      <c r="AD59" s="311">
        <f t="shared" si="111"/>
        <v>0</v>
      </c>
      <c r="AE59" s="311">
        <f t="shared" si="111"/>
        <v>6630069.3099999996</v>
      </c>
      <c r="AF59" s="311">
        <f t="shared" si="111"/>
        <v>0</v>
      </c>
      <c r="AG59" s="311">
        <f t="shared" si="111"/>
        <v>0</v>
      </c>
      <c r="AH59" s="311">
        <f t="shared" si="111"/>
        <v>0</v>
      </c>
      <c r="AI59" s="311">
        <f t="shared" si="111"/>
        <v>8798937.4638769962</v>
      </c>
      <c r="AJ59" s="311">
        <f t="shared" si="111"/>
        <v>0</v>
      </c>
      <c r="AK59" s="311">
        <f t="shared" si="111"/>
        <v>0</v>
      </c>
      <c r="AL59" s="311">
        <f t="shared" si="111"/>
        <v>0</v>
      </c>
      <c r="AM59" s="311">
        <f t="shared" si="111"/>
        <v>6243081.9319999982</v>
      </c>
      <c r="AN59" s="311">
        <f t="shared" si="111"/>
        <v>0</v>
      </c>
      <c r="AO59" s="311">
        <f t="shared" si="111"/>
        <v>0</v>
      </c>
      <c r="AP59" s="311">
        <f t="shared" si="111"/>
        <v>0</v>
      </c>
      <c r="AQ59" s="311">
        <f t="shared" si="111"/>
        <v>7546107.3088913755</v>
      </c>
      <c r="AR59" s="311">
        <f t="shared" si="111"/>
        <v>0</v>
      </c>
      <c r="AS59" s="311">
        <f t="shared" si="111"/>
        <v>0</v>
      </c>
      <c r="AT59" s="311">
        <f t="shared" si="111"/>
        <v>0</v>
      </c>
      <c r="AU59" s="311">
        <f t="shared" si="111"/>
        <v>5992535.4899999965</v>
      </c>
      <c r="AV59" s="311">
        <f t="shared" si="111"/>
        <v>0</v>
      </c>
      <c r="AW59" s="311">
        <f t="shared" si="111"/>
        <v>0</v>
      </c>
      <c r="AX59" s="311">
        <f t="shared" si="111"/>
        <v>0</v>
      </c>
      <c r="AY59" s="311">
        <f t="shared" si="111"/>
        <v>9964863.5911969952</v>
      </c>
      <c r="AZ59" s="311">
        <f t="shared" si="111"/>
        <v>0</v>
      </c>
      <c r="BA59" s="311">
        <f t="shared" si="111"/>
        <v>0</v>
      </c>
      <c r="BB59" s="311">
        <f t="shared" si="111"/>
        <v>0</v>
      </c>
      <c r="BC59" s="311">
        <f t="shared" si="111"/>
        <v>11143773.309999999</v>
      </c>
      <c r="BD59" s="311">
        <f t="shared" si="111"/>
        <v>0</v>
      </c>
      <c r="BE59" s="311">
        <f t="shared" si="111"/>
        <v>0</v>
      </c>
      <c r="BF59" s="311">
        <f t="shared" si="111"/>
        <v>0</v>
      </c>
      <c r="BG59" s="311">
        <f t="shared" si="111"/>
        <v>8136602.2479580687</v>
      </c>
      <c r="BH59" s="311">
        <f t="shared" si="111"/>
        <v>6029079.5579580693</v>
      </c>
      <c r="BI59" s="311">
        <f t="shared" si="111"/>
        <v>6021259.6799999988</v>
      </c>
      <c r="BJ59" s="311">
        <f t="shared" si="111"/>
        <v>12605720.150000002</v>
      </c>
      <c r="BK59" s="311">
        <f t="shared" si="111"/>
        <v>0</v>
      </c>
      <c r="BL59" s="311">
        <f t="shared" si="111"/>
        <v>0</v>
      </c>
      <c r="BM59" s="311">
        <f t="shared" si="111"/>
        <v>0</v>
      </c>
      <c r="BN59" s="311">
        <f t="shared" si="111"/>
        <v>25963295.499999996</v>
      </c>
      <c r="BO59" s="311">
        <f t="shared" si="111"/>
        <v>0</v>
      </c>
      <c r="BP59" s="311">
        <f t="shared" si="111"/>
        <v>0</v>
      </c>
      <c r="BQ59" s="311">
        <f t="shared" ref="BQ59:CK59" si="112">BQ58+BQ47+BQ13+BQ45</f>
        <v>0</v>
      </c>
      <c r="BR59" s="311">
        <f t="shared" si="112"/>
        <v>19553374.009999998</v>
      </c>
      <c r="BS59" s="311">
        <f t="shared" si="112"/>
        <v>65610.73</v>
      </c>
      <c r="BT59" s="311">
        <f t="shared" si="112"/>
        <v>0</v>
      </c>
      <c r="BU59" s="311">
        <f t="shared" si="112"/>
        <v>0</v>
      </c>
      <c r="BV59" s="311">
        <f t="shared" si="112"/>
        <v>20404493.799999997</v>
      </c>
      <c r="BW59" s="311">
        <f t="shared" si="112"/>
        <v>2126529.2643995676</v>
      </c>
      <c r="BX59" s="311">
        <f t="shared" si="112"/>
        <v>0</v>
      </c>
      <c r="BY59" s="311">
        <f t="shared" si="112"/>
        <v>0</v>
      </c>
      <c r="BZ59" s="311">
        <f t="shared" si="112"/>
        <v>22105252.660000004</v>
      </c>
      <c r="CA59" s="311">
        <f t="shared" si="112"/>
        <v>2659763.210547294</v>
      </c>
      <c r="CB59" s="311">
        <f t="shared" si="112"/>
        <v>0</v>
      </c>
      <c r="CC59" s="311">
        <f t="shared" si="112"/>
        <v>0</v>
      </c>
      <c r="CD59" s="311">
        <f>CD58+CD47+CD13+CD45</f>
        <v>18210896.859999999</v>
      </c>
      <c r="CE59" s="311">
        <f>CE58+CE47+CE13+CE45</f>
        <v>519973.66706910206</v>
      </c>
      <c r="CF59" s="311">
        <f>CF58+CF47+CF13+CF45</f>
        <v>0</v>
      </c>
      <c r="CG59" s="311">
        <f>CG58+CG47+CG13+CG45</f>
        <v>0</v>
      </c>
      <c r="CH59" s="311">
        <f t="shared" si="112"/>
        <v>17257121.709999993</v>
      </c>
      <c r="CI59" s="311">
        <f t="shared" si="112"/>
        <v>143425.125207</v>
      </c>
      <c r="CJ59" s="311">
        <f t="shared" si="112"/>
        <v>0</v>
      </c>
      <c r="CK59" s="311">
        <f t="shared" si="112"/>
        <v>0</v>
      </c>
      <c r="CL59" s="312"/>
      <c r="CM59" s="312"/>
      <c r="CN59" s="312"/>
      <c r="CO59" s="312"/>
      <c r="CP59" s="312"/>
      <c r="CQ59" s="312"/>
      <c r="CR59" s="312"/>
      <c r="CS59" s="312"/>
      <c r="CT59" s="312"/>
      <c r="CU59" s="312"/>
      <c r="CV59" s="312"/>
      <c r="CW59" s="312"/>
      <c r="CX59" s="312"/>
      <c r="CY59" s="312"/>
      <c r="CZ59" s="312"/>
      <c r="DA59" s="312"/>
      <c r="DB59" s="312"/>
      <c r="DC59" s="312"/>
      <c r="DD59" s="312"/>
      <c r="DE59" s="312"/>
      <c r="DF59" s="312"/>
      <c r="DG59" s="312"/>
      <c r="DH59" s="312"/>
      <c r="DI59" s="313">
        <f>DI13+DI45+DI47+DI58</f>
        <v>265424577.8124069</v>
      </c>
      <c r="DJ59" s="313">
        <f>DJ13+DJ45+DJ47+DJ58</f>
        <v>73017529.589888334</v>
      </c>
      <c r="DK59" s="314">
        <f>DK13+DK45+DK47+DK58</f>
        <v>134151941.4852083</v>
      </c>
    </row>
    <row r="60" spans="1:115" ht="12.75" customHeight="1" x14ac:dyDescent="0.25">
      <c r="A60" s="577" t="s">
        <v>46</v>
      </c>
      <c r="B60" s="598" t="s">
        <v>6</v>
      </c>
      <c r="C60" s="598"/>
      <c r="D60" s="565">
        <v>1</v>
      </c>
      <c r="E60" s="566"/>
      <c r="F60" s="567"/>
      <c r="G60" s="565">
        <v>0.73425935745407456</v>
      </c>
      <c r="H60" s="566"/>
      <c r="I60" s="566"/>
      <c r="J60" s="567"/>
      <c r="K60" s="565">
        <v>0.7223278986436179</v>
      </c>
      <c r="L60" s="566"/>
      <c r="M60" s="566"/>
      <c r="N60" s="567"/>
      <c r="O60" s="565">
        <v>0.80446415375460911</v>
      </c>
      <c r="P60" s="566"/>
      <c r="Q60" s="566"/>
      <c r="R60" s="567"/>
      <c r="S60" s="602">
        <v>0.6</v>
      </c>
      <c r="T60" s="603"/>
      <c r="U60" s="603"/>
      <c r="V60" s="604"/>
      <c r="W60" s="565">
        <v>0.88619671568982039</v>
      </c>
      <c r="X60" s="566"/>
      <c r="Y60" s="566"/>
      <c r="Z60" s="567"/>
      <c r="AA60" s="565">
        <v>0.83739907628684485</v>
      </c>
      <c r="AB60" s="566"/>
      <c r="AC60" s="566"/>
      <c r="AD60" s="567"/>
      <c r="AE60" s="565">
        <v>0.85489205145403468</v>
      </c>
      <c r="AF60" s="566"/>
      <c r="AG60" s="566"/>
      <c r="AH60" s="567"/>
      <c r="AI60" s="565">
        <v>0.860049343536328</v>
      </c>
      <c r="AJ60" s="566"/>
      <c r="AK60" s="566"/>
      <c r="AL60" s="567"/>
      <c r="AM60" s="565">
        <v>1</v>
      </c>
      <c r="AN60" s="566">
        <v>0</v>
      </c>
      <c r="AO60" s="566">
        <v>0</v>
      </c>
      <c r="AP60" s="567">
        <v>0</v>
      </c>
      <c r="AQ60" s="565">
        <v>0.96450748585106127</v>
      </c>
      <c r="AR60" s="566">
        <v>0</v>
      </c>
      <c r="AS60" s="566">
        <v>0</v>
      </c>
      <c r="AT60" s="567">
        <v>0</v>
      </c>
      <c r="AU60" s="599">
        <v>0</v>
      </c>
      <c r="AV60" s="600">
        <v>0</v>
      </c>
      <c r="AW60" s="600">
        <v>0</v>
      </c>
      <c r="AX60" s="601">
        <v>0</v>
      </c>
      <c r="AY60" s="565">
        <v>1</v>
      </c>
      <c r="AZ60" s="566">
        <v>0</v>
      </c>
      <c r="BA60" s="566">
        <v>0</v>
      </c>
      <c r="BB60" s="567">
        <v>0</v>
      </c>
      <c r="BC60" s="565">
        <v>0.90074035778042882</v>
      </c>
      <c r="BD60" s="566"/>
      <c r="BE60" s="566"/>
      <c r="BF60" s="567"/>
      <c r="BG60" s="390"/>
      <c r="BH60" s="390"/>
      <c r="BI60" s="390"/>
      <c r="BJ60" s="565">
        <v>0.82138749486930474</v>
      </c>
      <c r="BK60" s="566"/>
      <c r="BL60" s="566"/>
      <c r="BM60" s="567"/>
      <c r="BN60" s="565">
        <v>0.89522906288268778</v>
      </c>
      <c r="BO60" s="566"/>
      <c r="BP60" s="566"/>
      <c r="BQ60" s="567"/>
      <c r="BR60" s="565">
        <v>0.93156588934484996</v>
      </c>
      <c r="BS60" s="566"/>
      <c r="BT60" s="566"/>
      <c r="BU60" s="567"/>
      <c r="BV60" s="565">
        <v>0.89999999999999991</v>
      </c>
      <c r="BW60" s="566"/>
      <c r="BX60" s="566"/>
      <c r="BY60" s="567"/>
      <c r="BZ60" s="565">
        <v>0.9</v>
      </c>
      <c r="CA60" s="566"/>
      <c r="CB60" s="566"/>
      <c r="CC60" s="567"/>
      <c r="CD60" s="565">
        <v>0.90000000000000013</v>
      </c>
      <c r="CE60" s="566"/>
      <c r="CF60" s="566"/>
      <c r="CG60" s="567"/>
      <c r="CH60" s="565">
        <v>0.89100093955357473</v>
      </c>
      <c r="CI60" s="566"/>
      <c r="CJ60" s="566"/>
      <c r="CK60" s="567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</row>
    <row r="61" spans="1:115" x14ac:dyDescent="0.25">
      <c r="A61" s="577"/>
      <c r="B61" s="561" t="s">
        <v>16</v>
      </c>
      <c r="C61" s="561"/>
      <c r="D61" s="558">
        <v>1</v>
      </c>
      <c r="E61" s="559"/>
      <c r="F61" s="560"/>
      <c r="G61" s="558">
        <v>0.9125435465430991</v>
      </c>
      <c r="H61" s="559"/>
      <c r="I61" s="559"/>
      <c r="J61" s="560"/>
      <c r="K61" s="558">
        <v>0.92116040031093294</v>
      </c>
      <c r="L61" s="559"/>
      <c r="M61" s="559"/>
      <c r="N61" s="560"/>
      <c r="O61" s="558">
        <v>0.84394587985421521</v>
      </c>
      <c r="P61" s="559"/>
      <c r="Q61" s="559"/>
      <c r="R61" s="560"/>
      <c r="S61" s="562">
        <v>0.82853155879468665</v>
      </c>
      <c r="T61" s="563"/>
      <c r="U61" s="563"/>
      <c r="V61" s="564"/>
      <c r="W61" s="558">
        <v>0.8344632030650222</v>
      </c>
      <c r="X61" s="559"/>
      <c r="Y61" s="559"/>
      <c r="Z61" s="560"/>
      <c r="AA61" s="558">
        <v>0.86522075423483169</v>
      </c>
      <c r="AB61" s="559"/>
      <c r="AC61" s="559"/>
      <c r="AD61" s="560"/>
      <c r="AE61" s="558">
        <v>0.84869146746418234</v>
      </c>
      <c r="AF61" s="559"/>
      <c r="AG61" s="559"/>
      <c r="AH61" s="560"/>
      <c r="AI61" s="558">
        <v>0.85053297503209813</v>
      </c>
      <c r="AJ61" s="559"/>
      <c r="AK61" s="559"/>
      <c r="AL61" s="560"/>
      <c r="AM61" s="558">
        <v>0.70549685882258439</v>
      </c>
      <c r="AN61" s="559">
        <v>0</v>
      </c>
      <c r="AO61" s="559">
        <v>0</v>
      </c>
      <c r="AP61" s="560">
        <v>0</v>
      </c>
      <c r="AQ61" s="558">
        <v>0.81213323157668005</v>
      </c>
      <c r="AR61" s="559">
        <v>0</v>
      </c>
      <c r="AS61" s="559">
        <v>0</v>
      </c>
      <c r="AT61" s="560">
        <v>0</v>
      </c>
      <c r="AU61" s="568">
        <v>0.81704104295630753</v>
      </c>
      <c r="AV61" s="569">
        <v>0</v>
      </c>
      <c r="AW61" s="569">
        <v>0</v>
      </c>
      <c r="AX61" s="570">
        <v>0</v>
      </c>
      <c r="AY61" s="558">
        <v>0.57641338517467222</v>
      </c>
      <c r="AZ61" s="559">
        <v>0</v>
      </c>
      <c r="BA61" s="559">
        <v>0</v>
      </c>
      <c r="BB61" s="560">
        <v>0</v>
      </c>
      <c r="BC61" s="558">
        <v>0.82689288467073041</v>
      </c>
      <c r="BD61" s="559"/>
      <c r="BE61" s="559"/>
      <c r="BF61" s="560"/>
      <c r="BG61" s="390"/>
      <c r="BH61" s="390"/>
      <c r="BI61" s="390"/>
      <c r="BJ61" s="558">
        <v>0.82678611162921223</v>
      </c>
      <c r="BK61" s="559"/>
      <c r="BL61" s="559"/>
      <c r="BM61" s="560"/>
      <c r="BN61" s="558">
        <v>0.87441558026888644</v>
      </c>
      <c r="BO61" s="559"/>
      <c r="BP61" s="559"/>
      <c r="BQ61" s="560"/>
      <c r="BR61" s="558">
        <v>0.87663763477212842</v>
      </c>
      <c r="BS61" s="559"/>
      <c r="BT61" s="559"/>
      <c r="BU61" s="560"/>
      <c r="BV61" s="558">
        <v>0.88548506374709002</v>
      </c>
      <c r="BW61" s="559"/>
      <c r="BX61" s="559"/>
      <c r="BY61" s="560"/>
      <c r="BZ61" s="558">
        <v>0.86554098001225288</v>
      </c>
      <c r="CA61" s="559"/>
      <c r="CB61" s="559"/>
      <c r="CC61" s="560"/>
      <c r="CD61" s="558">
        <v>0.86592991285731813</v>
      </c>
      <c r="CE61" s="559"/>
      <c r="CF61" s="559"/>
      <c r="CG61" s="560"/>
      <c r="CH61" s="558">
        <v>0.87172983433540296</v>
      </c>
      <c r="CI61" s="559"/>
      <c r="CJ61" s="559"/>
      <c r="CK61" s="560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</row>
    <row r="62" spans="1:115" x14ac:dyDescent="0.25">
      <c r="A62" s="577"/>
      <c r="B62" s="561" t="s">
        <v>35</v>
      </c>
      <c r="C62" s="561"/>
      <c r="D62" s="558">
        <v>1</v>
      </c>
      <c r="E62" s="559"/>
      <c r="F62" s="560"/>
      <c r="G62" s="558">
        <v>1</v>
      </c>
      <c r="H62" s="559"/>
      <c r="I62" s="559"/>
      <c r="J62" s="560"/>
      <c r="K62" s="558">
        <v>1</v>
      </c>
      <c r="L62" s="559"/>
      <c r="M62" s="559"/>
      <c r="N62" s="560"/>
      <c r="O62" s="558">
        <v>1</v>
      </c>
      <c r="P62" s="559"/>
      <c r="Q62" s="559"/>
      <c r="R62" s="560"/>
      <c r="S62" s="562">
        <v>1</v>
      </c>
      <c r="T62" s="563"/>
      <c r="U62" s="563"/>
      <c r="V62" s="564"/>
      <c r="W62" s="558">
        <v>0.92</v>
      </c>
      <c r="X62" s="559"/>
      <c r="Y62" s="559"/>
      <c r="Z62" s="560"/>
      <c r="AA62" s="558">
        <v>0.92000000000000015</v>
      </c>
      <c r="AB62" s="559"/>
      <c r="AC62" s="559"/>
      <c r="AD62" s="560"/>
      <c r="AE62" s="558">
        <v>0.91999999999999993</v>
      </c>
      <c r="AF62" s="559"/>
      <c r="AG62" s="559"/>
      <c r="AH62" s="560"/>
      <c r="AI62" s="558">
        <v>0.92</v>
      </c>
      <c r="AJ62" s="559"/>
      <c r="AK62" s="559"/>
      <c r="AL62" s="560"/>
      <c r="AM62" s="558">
        <v>1</v>
      </c>
      <c r="AN62" s="559">
        <v>0</v>
      </c>
      <c r="AO62" s="559">
        <v>0</v>
      </c>
      <c r="AP62" s="560">
        <v>0</v>
      </c>
      <c r="AQ62" s="558">
        <v>1</v>
      </c>
      <c r="AR62" s="559">
        <v>0</v>
      </c>
      <c r="AS62" s="559">
        <v>0</v>
      </c>
      <c r="AT62" s="560">
        <v>0</v>
      </c>
      <c r="AU62" s="568">
        <v>1</v>
      </c>
      <c r="AV62" s="569">
        <v>0</v>
      </c>
      <c r="AW62" s="569">
        <v>0</v>
      </c>
      <c r="AX62" s="570">
        <v>0</v>
      </c>
      <c r="AY62" s="558">
        <v>1</v>
      </c>
      <c r="AZ62" s="559">
        <v>0</v>
      </c>
      <c r="BA62" s="559">
        <v>0</v>
      </c>
      <c r="BB62" s="560">
        <v>0</v>
      </c>
      <c r="BC62" s="558">
        <v>0.89999999999999991</v>
      </c>
      <c r="BD62" s="559"/>
      <c r="BE62" s="559"/>
      <c r="BF62" s="560"/>
      <c r="BG62" s="390"/>
      <c r="BH62" s="390"/>
      <c r="BI62" s="390"/>
      <c r="BJ62" s="558">
        <v>0.9</v>
      </c>
      <c r="BK62" s="559"/>
      <c r="BL62" s="559"/>
      <c r="BM62" s="560"/>
      <c r="BN62" s="558">
        <v>0.9</v>
      </c>
      <c r="BO62" s="559"/>
      <c r="BP62" s="559"/>
      <c r="BQ62" s="560"/>
      <c r="BR62" s="558">
        <v>0.9</v>
      </c>
      <c r="BS62" s="559"/>
      <c r="BT62" s="559"/>
      <c r="BU62" s="560"/>
      <c r="BV62" s="558">
        <v>0.9</v>
      </c>
      <c r="BW62" s="559"/>
      <c r="BX62" s="559"/>
      <c r="BY62" s="560"/>
      <c r="BZ62" s="558">
        <v>0.90000000000000013</v>
      </c>
      <c r="CA62" s="559"/>
      <c r="CB62" s="559"/>
      <c r="CC62" s="560"/>
      <c r="CD62" s="558">
        <v>0.9</v>
      </c>
      <c r="CE62" s="559"/>
      <c r="CF62" s="559"/>
      <c r="CG62" s="560"/>
      <c r="CH62" s="558">
        <v>0.9</v>
      </c>
      <c r="CI62" s="559"/>
      <c r="CJ62" s="559"/>
      <c r="CK62" s="560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</row>
    <row r="63" spans="1:115" x14ac:dyDescent="0.25">
      <c r="A63" s="577"/>
      <c r="B63" s="561" t="s">
        <v>44</v>
      </c>
      <c r="C63" s="561"/>
      <c r="D63" s="558">
        <v>1</v>
      </c>
      <c r="E63" s="559"/>
      <c r="F63" s="560"/>
      <c r="G63" s="558">
        <v>0.97071835077606705</v>
      </c>
      <c r="H63" s="559"/>
      <c r="I63" s="559"/>
      <c r="J63" s="560"/>
      <c r="K63" s="558">
        <v>0.94188477445260588</v>
      </c>
      <c r="L63" s="559"/>
      <c r="M63" s="559"/>
      <c r="N63" s="560"/>
      <c r="O63" s="558">
        <v>0.94459016099895221</v>
      </c>
      <c r="P63" s="559"/>
      <c r="Q63" s="559"/>
      <c r="R63" s="560"/>
      <c r="S63" s="562">
        <v>0.6</v>
      </c>
      <c r="T63" s="563"/>
      <c r="U63" s="563"/>
      <c r="V63" s="564"/>
      <c r="W63" s="558">
        <v>0.7</v>
      </c>
      <c r="X63" s="559"/>
      <c r="Y63" s="559"/>
      <c r="Z63" s="560"/>
      <c r="AA63" s="558">
        <v>0.70569406650229127</v>
      </c>
      <c r="AB63" s="559"/>
      <c r="AC63" s="559"/>
      <c r="AD63" s="560"/>
      <c r="AE63" s="558">
        <v>0.7</v>
      </c>
      <c r="AF63" s="559"/>
      <c r="AG63" s="559"/>
      <c r="AH63" s="560"/>
      <c r="AI63" s="558">
        <v>0.69999999999999984</v>
      </c>
      <c r="AJ63" s="559"/>
      <c r="AK63" s="559"/>
      <c r="AL63" s="560"/>
      <c r="AM63" s="558">
        <v>0.7296268273387243</v>
      </c>
      <c r="AN63" s="559">
        <v>0</v>
      </c>
      <c r="AO63" s="559">
        <v>0</v>
      </c>
      <c r="AP63" s="560">
        <v>0</v>
      </c>
      <c r="AQ63" s="558">
        <v>0.82679737994064006</v>
      </c>
      <c r="AR63" s="559">
        <v>0</v>
      </c>
      <c r="AS63" s="559">
        <v>0</v>
      </c>
      <c r="AT63" s="560">
        <v>0</v>
      </c>
      <c r="AU63" s="568">
        <v>0.84174754147591813</v>
      </c>
      <c r="AV63" s="569">
        <v>0</v>
      </c>
      <c r="AW63" s="569">
        <v>0</v>
      </c>
      <c r="AX63" s="570">
        <v>0</v>
      </c>
      <c r="AY63" s="558">
        <v>0.62097122171328334</v>
      </c>
      <c r="AZ63" s="559">
        <v>0</v>
      </c>
      <c r="BA63" s="559">
        <v>0</v>
      </c>
      <c r="BB63" s="560">
        <v>0</v>
      </c>
      <c r="BC63" s="558">
        <v>0.90000000000000013</v>
      </c>
      <c r="BD63" s="559"/>
      <c r="BE63" s="559"/>
      <c r="BF63" s="560"/>
      <c r="BG63" s="390"/>
      <c r="BH63" s="390"/>
      <c r="BI63" s="390"/>
      <c r="BJ63" s="558">
        <v>0.90000000000000013</v>
      </c>
      <c r="BK63" s="559"/>
      <c r="BL63" s="559"/>
      <c r="BM63" s="560"/>
      <c r="BN63" s="558">
        <v>0.90000000000000024</v>
      </c>
      <c r="BO63" s="559"/>
      <c r="BP63" s="559"/>
      <c r="BQ63" s="560"/>
      <c r="BR63" s="558">
        <v>0.9</v>
      </c>
      <c r="BS63" s="559"/>
      <c r="BT63" s="559"/>
      <c r="BU63" s="560"/>
      <c r="BV63" s="558">
        <v>0.90000000000000036</v>
      </c>
      <c r="BW63" s="559"/>
      <c r="BX63" s="559"/>
      <c r="BY63" s="560"/>
      <c r="BZ63" s="558">
        <v>0.89999999999999991</v>
      </c>
      <c r="CA63" s="559"/>
      <c r="CB63" s="559"/>
      <c r="CC63" s="560"/>
      <c r="CD63" s="558">
        <v>0.8999999999999998</v>
      </c>
      <c r="CE63" s="559"/>
      <c r="CF63" s="559"/>
      <c r="CG63" s="560"/>
      <c r="CH63" s="558">
        <v>0.89999999999999991</v>
      </c>
      <c r="CI63" s="559"/>
      <c r="CJ63" s="559"/>
      <c r="CK63" s="560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</row>
    <row r="64" spans="1:115" ht="12.75" customHeight="1" x14ac:dyDescent="0.25"/>
    <row r="65" spans="4:87" x14ac:dyDescent="0.25">
      <c r="BV65" s="391">
        <v>0</v>
      </c>
      <c r="BW65" s="391">
        <v>0</v>
      </c>
      <c r="BZ65" s="391">
        <v>0</v>
      </c>
      <c r="CA65" s="391">
        <v>0</v>
      </c>
      <c r="CD65" s="391">
        <v>0</v>
      </c>
      <c r="CE65" s="391">
        <v>0</v>
      </c>
      <c r="CH65" s="391">
        <v>0</v>
      </c>
      <c r="CI65" s="391">
        <v>0</v>
      </c>
    </row>
    <row r="66" spans="4:87" x14ac:dyDescent="0.25"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</row>
    <row r="68" spans="4:87" ht="13.25" customHeight="1" x14ac:dyDescent="0.25"/>
    <row r="70" spans="4:87" ht="13.25" customHeight="1" x14ac:dyDescent="0.25"/>
    <row r="74" spans="4:87" x14ac:dyDescent="0.25">
      <c r="AU74" s="220"/>
      <c r="AV74" s="220"/>
      <c r="AW74" s="221"/>
      <c r="AX74" s="221"/>
      <c r="AY74" s="221"/>
      <c r="AZ74" s="221"/>
      <c r="BA74" s="221"/>
      <c r="BB74" s="221"/>
    </row>
    <row r="75" spans="4:87" x14ac:dyDescent="0.25">
      <c r="AU75" s="221"/>
      <c r="AV75" s="221"/>
      <c r="AW75" s="221"/>
      <c r="AX75" s="221"/>
      <c r="AY75" s="221"/>
      <c r="AZ75" s="221"/>
      <c r="BA75" s="221"/>
      <c r="BB75" s="221"/>
    </row>
    <row r="81" customFormat="1" ht="13.25" customHeigh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</sheetData>
  <mergeCells count="228">
    <mergeCell ref="A1:CD1"/>
    <mergeCell ref="A2:A4"/>
    <mergeCell ref="B2:B4"/>
    <mergeCell ref="C2:C4"/>
    <mergeCell ref="D2:F2"/>
    <mergeCell ref="G2:J2"/>
    <mergeCell ref="K2:N2"/>
    <mergeCell ref="O2:R2"/>
    <mergeCell ref="S2:V2"/>
    <mergeCell ref="W2:Z2"/>
    <mergeCell ref="BV2:BY2"/>
    <mergeCell ref="U3:U4"/>
    <mergeCell ref="V3:V4"/>
    <mergeCell ref="W3:W4"/>
    <mergeCell ref="L3:L4"/>
    <mergeCell ref="M3:M4"/>
    <mergeCell ref="N3:N4"/>
    <mergeCell ref="O3:O4"/>
    <mergeCell ref="P3:P4"/>
    <mergeCell ref="Q3:Q4"/>
    <mergeCell ref="AD3:AD4"/>
    <mergeCell ref="AE3:AE4"/>
    <mergeCell ref="AF3:AF4"/>
    <mergeCell ref="AG3:AG4"/>
    <mergeCell ref="DI2:DK2"/>
    <mergeCell ref="D3:D4"/>
    <mergeCell ref="E3:E4"/>
    <mergeCell ref="F3:F4"/>
    <mergeCell ref="G3:G4"/>
    <mergeCell ref="H3:H4"/>
    <mergeCell ref="I3:I4"/>
    <mergeCell ref="J3:J4"/>
    <mergeCell ref="K3:K4"/>
    <mergeCell ref="AY2:BB2"/>
    <mergeCell ref="BC2:BF2"/>
    <mergeCell ref="BG2:BI2"/>
    <mergeCell ref="BJ2:BM2"/>
    <mergeCell ref="BN2:BQ2"/>
    <mergeCell ref="BR2:BU2"/>
    <mergeCell ref="AA2:AD2"/>
    <mergeCell ref="AE2:AH2"/>
    <mergeCell ref="AI2:AL2"/>
    <mergeCell ref="AM2:AP2"/>
    <mergeCell ref="AQ2:AT2"/>
    <mergeCell ref="AU2:AX2"/>
    <mergeCell ref="R3:R4"/>
    <mergeCell ref="S3:S4"/>
    <mergeCell ref="T3:T4"/>
    <mergeCell ref="AH3:AH4"/>
    <mergeCell ref="AI3:AI4"/>
    <mergeCell ref="X3:X4"/>
    <mergeCell ref="Y3:Y4"/>
    <mergeCell ref="Z3:Z4"/>
    <mergeCell ref="AA3:AA4"/>
    <mergeCell ref="AB3:AB4"/>
    <mergeCell ref="AC3:AC4"/>
    <mergeCell ref="AP3:AP4"/>
    <mergeCell ref="AQ3:AQ4"/>
    <mergeCell ref="AR3:AR4"/>
    <mergeCell ref="AS3:AS4"/>
    <mergeCell ref="AT3:AT4"/>
    <mergeCell ref="AU3:AU4"/>
    <mergeCell ref="AJ3:AJ4"/>
    <mergeCell ref="AK3:AK4"/>
    <mergeCell ref="AL3:AL4"/>
    <mergeCell ref="AM3:AM4"/>
    <mergeCell ref="AN3:AN4"/>
    <mergeCell ref="AO3:AO4"/>
    <mergeCell ref="BP3:BP4"/>
    <mergeCell ref="BB3:BB4"/>
    <mergeCell ref="BC3:BC4"/>
    <mergeCell ref="BG3:BG4"/>
    <mergeCell ref="BH3:BH4"/>
    <mergeCell ref="BI3:BI4"/>
    <mergeCell ref="BJ3:BJ4"/>
    <mergeCell ref="AV3:AV4"/>
    <mergeCell ref="AW3:AW4"/>
    <mergeCell ref="AX3:AX4"/>
    <mergeCell ref="AY3:AY4"/>
    <mergeCell ref="AZ3:AZ4"/>
    <mergeCell ref="BA3:BA4"/>
    <mergeCell ref="CZ3:CZ4"/>
    <mergeCell ref="CO3:CO4"/>
    <mergeCell ref="CP3:CP4"/>
    <mergeCell ref="CQ3:CQ4"/>
    <mergeCell ref="CR3:CR4"/>
    <mergeCell ref="CS3:CS4"/>
    <mergeCell ref="CT3:CT4"/>
    <mergeCell ref="BW3:BW4"/>
    <mergeCell ref="BX3:BX4"/>
    <mergeCell ref="BY3:BY4"/>
    <mergeCell ref="CL3:CL4"/>
    <mergeCell ref="CM3:CM4"/>
    <mergeCell ref="CN3:CN4"/>
    <mergeCell ref="DJ3:DJ4"/>
    <mergeCell ref="DK3:DK4"/>
    <mergeCell ref="A5:A13"/>
    <mergeCell ref="A46:A47"/>
    <mergeCell ref="A48:A58"/>
    <mergeCell ref="A60:A63"/>
    <mergeCell ref="B60:C60"/>
    <mergeCell ref="D60:F60"/>
    <mergeCell ref="G60:J60"/>
    <mergeCell ref="K60:N60"/>
    <mergeCell ref="DA3:DA4"/>
    <mergeCell ref="DB3:DB4"/>
    <mergeCell ref="DC3:DC4"/>
    <mergeCell ref="DD3:DD4"/>
    <mergeCell ref="DE3:DE4"/>
    <mergeCell ref="DI3:DI4"/>
    <mergeCell ref="DH3:DH4"/>
    <mergeCell ref="DF3:DF4"/>
    <mergeCell ref="DG3:DG4"/>
    <mergeCell ref="CU3:CU4"/>
    <mergeCell ref="CV3:CV4"/>
    <mergeCell ref="CW3:CW4"/>
    <mergeCell ref="CX3:CX4"/>
    <mergeCell ref="CY3:CY4"/>
    <mergeCell ref="AU60:AX60"/>
    <mergeCell ref="AY60:BB60"/>
    <mergeCell ref="BC60:BF60"/>
    <mergeCell ref="BJ60:BM60"/>
    <mergeCell ref="O60:R60"/>
    <mergeCell ref="S60:V60"/>
    <mergeCell ref="W60:Z60"/>
    <mergeCell ref="AA60:AD60"/>
    <mergeCell ref="AE60:AH60"/>
    <mergeCell ref="AI60:AL60"/>
    <mergeCell ref="B61:C61"/>
    <mergeCell ref="D61:F61"/>
    <mergeCell ref="G61:J61"/>
    <mergeCell ref="K61:N61"/>
    <mergeCell ref="O61:R61"/>
    <mergeCell ref="S61:V61"/>
    <mergeCell ref="W61:Z61"/>
    <mergeCell ref="AM60:AP60"/>
    <mergeCell ref="AQ60:AT60"/>
    <mergeCell ref="AY61:BB61"/>
    <mergeCell ref="BC61:BF61"/>
    <mergeCell ref="BJ61:BM61"/>
    <mergeCell ref="BN61:BQ61"/>
    <mergeCell ref="BR61:BU61"/>
    <mergeCell ref="BV61:BY61"/>
    <mergeCell ref="AA61:AD61"/>
    <mergeCell ref="AE61:AH61"/>
    <mergeCell ref="AI61:AL61"/>
    <mergeCell ref="AM61:AP61"/>
    <mergeCell ref="AQ61:AT61"/>
    <mergeCell ref="AU61:AX61"/>
    <mergeCell ref="AE62:AH62"/>
    <mergeCell ref="AI62:AL62"/>
    <mergeCell ref="AM62:AP62"/>
    <mergeCell ref="AQ62:AT62"/>
    <mergeCell ref="B62:C62"/>
    <mergeCell ref="D62:F62"/>
    <mergeCell ref="G62:J62"/>
    <mergeCell ref="K62:N62"/>
    <mergeCell ref="O62:R62"/>
    <mergeCell ref="S62:V62"/>
    <mergeCell ref="AI63:AL63"/>
    <mergeCell ref="AM63:AP63"/>
    <mergeCell ref="AQ63:AT63"/>
    <mergeCell ref="AU63:AX63"/>
    <mergeCell ref="AY63:BB63"/>
    <mergeCell ref="BC63:BF63"/>
    <mergeCell ref="BV62:BY62"/>
    <mergeCell ref="B63:C63"/>
    <mergeCell ref="D63:F63"/>
    <mergeCell ref="G63:J63"/>
    <mergeCell ref="K63:N63"/>
    <mergeCell ref="O63:R63"/>
    <mergeCell ref="S63:V63"/>
    <mergeCell ref="W63:Z63"/>
    <mergeCell ref="AA63:AD63"/>
    <mergeCell ref="AE63:AH63"/>
    <mergeCell ref="AU62:AX62"/>
    <mergeCell ref="AY62:BB62"/>
    <mergeCell ref="BC62:BF62"/>
    <mergeCell ref="BJ62:BM62"/>
    <mergeCell ref="BN62:BQ62"/>
    <mergeCell ref="BR62:BU62"/>
    <mergeCell ref="W62:Z62"/>
    <mergeCell ref="AA62:AD62"/>
    <mergeCell ref="BJ63:BM63"/>
    <mergeCell ref="BN63:BQ63"/>
    <mergeCell ref="BR63:BU63"/>
    <mergeCell ref="BV63:BY63"/>
    <mergeCell ref="BZ2:CC2"/>
    <mergeCell ref="BZ3:BZ4"/>
    <mergeCell ref="CA3:CA4"/>
    <mergeCell ref="CB3:CB4"/>
    <mergeCell ref="CC3:CC4"/>
    <mergeCell ref="BZ60:CC60"/>
    <mergeCell ref="BN60:BQ60"/>
    <mergeCell ref="BR60:BU60"/>
    <mergeCell ref="BV60:BY60"/>
    <mergeCell ref="BQ3:BQ4"/>
    <mergeCell ref="BR3:BR4"/>
    <mergeCell ref="BS3:BS4"/>
    <mergeCell ref="BT3:BT4"/>
    <mergeCell ref="BU3:BU4"/>
    <mergeCell ref="BV3:BV4"/>
    <mergeCell ref="BK3:BK4"/>
    <mergeCell ref="BL3:BL4"/>
    <mergeCell ref="BM3:BM4"/>
    <mergeCell ref="BN3:BN4"/>
    <mergeCell ref="BO3:BO4"/>
    <mergeCell ref="BZ63:CC63"/>
    <mergeCell ref="CD61:CG61"/>
    <mergeCell ref="CH63:CK63"/>
    <mergeCell ref="CD62:CG62"/>
    <mergeCell ref="CD63:CG63"/>
    <mergeCell ref="CD2:CG2"/>
    <mergeCell ref="CD3:CD4"/>
    <mergeCell ref="CE3:CE4"/>
    <mergeCell ref="CF3:CF4"/>
    <mergeCell ref="CG3:CG4"/>
    <mergeCell ref="CD60:CG60"/>
    <mergeCell ref="CH2:CK2"/>
    <mergeCell ref="CH3:CH4"/>
    <mergeCell ref="CI3:CI4"/>
    <mergeCell ref="CJ3:CJ4"/>
    <mergeCell ref="CK3:CK4"/>
    <mergeCell ref="CH60:CK60"/>
    <mergeCell ref="CH61:CK61"/>
    <mergeCell ref="CH62:CK62"/>
    <mergeCell ref="BZ61:CC61"/>
    <mergeCell ref="BZ62:CC6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84E8A9FA652947BCA03747BD96F320" ma:contentTypeVersion="15" ma:contentTypeDescription="Crear nuevo documento." ma:contentTypeScope="" ma:versionID="f2055b431bfa172c7ff5e5ee0fee76c2">
  <xsd:schema xmlns:xsd="http://www.w3.org/2001/XMLSchema" xmlns:xs="http://www.w3.org/2001/XMLSchema" xmlns:p="http://schemas.microsoft.com/office/2006/metadata/properties" xmlns:ns2="31dae7c2-3bb0-41e9-b561-06e10b5e3344" xmlns:ns3="d93e5b07-59f6-473e-8b31-642d3f9939c2" targetNamespace="http://schemas.microsoft.com/office/2006/metadata/properties" ma:root="true" ma:fieldsID="16ce994c90c880bcdfeaefaefc70429c" ns2:_="" ns3:_="">
    <xsd:import namespace="31dae7c2-3bb0-41e9-b561-06e10b5e3344"/>
    <xsd:import namespace="d93e5b07-59f6-473e-8b31-642d3f9939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dae7c2-3bb0-41e9-b561-06e10b5e33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a962ede3-39b3-45c6-9f12-db7754d5a3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e5b07-59f6-473e-8b31-642d3f9939c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4bf5028-bfed-4d75-952c-72e58777e323}" ma:internalName="TaxCatchAll" ma:showField="CatchAllData" ma:web="d93e5b07-59f6-473e-8b31-642d3f9939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dae7c2-3bb0-41e9-b561-06e10b5e3344">
      <Terms xmlns="http://schemas.microsoft.com/office/infopath/2007/PartnerControls"/>
    </lcf76f155ced4ddcb4097134ff3c332f>
    <TaxCatchAll xmlns="d93e5b07-59f6-473e-8b31-642d3f9939c2" xsi:nil="true"/>
  </documentManagement>
</p:properties>
</file>

<file path=customXml/itemProps1.xml><?xml version="1.0" encoding="utf-8"?>
<ds:datastoreItem xmlns:ds="http://schemas.openxmlformats.org/officeDocument/2006/customXml" ds:itemID="{D2F42DAB-0851-499C-800A-58843817676E}"/>
</file>

<file path=customXml/itemProps2.xml><?xml version="1.0" encoding="utf-8"?>
<ds:datastoreItem xmlns:ds="http://schemas.openxmlformats.org/officeDocument/2006/customXml" ds:itemID="{3603E93C-79CE-4781-A56B-9CAB8AE502D4}"/>
</file>

<file path=customXml/itemProps3.xml><?xml version="1.0" encoding="utf-8"?>
<ds:datastoreItem xmlns:ds="http://schemas.openxmlformats.org/officeDocument/2006/customXml" ds:itemID="{615A0B33-CC32-4037-A0D4-C00CFE525F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AA-01-Resumen</vt:lpstr>
      <vt:lpstr>AA-01-2014</vt:lpstr>
      <vt:lpstr>AA-01-2015</vt:lpstr>
      <vt:lpstr>AA-01-2016</vt:lpstr>
      <vt:lpstr>AA-01-2017</vt:lpstr>
      <vt:lpstr>AA-01-2018</vt:lpstr>
      <vt:lpstr>AA-01-2019</vt:lpstr>
      <vt:lpstr>AA-01-2020</vt:lpstr>
      <vt:lpstr>AA-01-2021</vt:lpstr>
      <vt:lpstr>AA-01-2022</vt:lpstr>
      <vt:lpstr>AA-01-2023</vt:lpstr>
      <vt:lpstr>AA-01-2024</vt:lpstr>
      <vt:lpstr>AA-01-2025</vt:lpstr>
    </vt:vector>
  </TitlesOfParts>
  <Company>UPCO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sortiz</dc:creator>
  <cp:lastModifiedBy>Elmer Vázquez</cp:lastModifiedBy>
  <cp:lastPrinted>2005-10-22T00:47:06Z</cp:lastPrinted>
  <dcterms:created xsi:type="dcterms:W3CDTF">2004-05-28T13:37:52Z</dcterms:created>
  <dcterms:modified xsi:type="dcterms:W3CDTF">2026-02-27T18:31:30Z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0x0101004284E8A9FA652947BCA03747BD96F320</vt:lpwstr>
  </property>
</Properties>
</file>