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sepgob-my.sharepoint.com/personal/rebecaf_asep_gob_pa/Documents/Documentos/Disco F/2025/Revisión Tarifaria de Transmisión 25-29/Informe del IMP preliminar/Informe 7 de julio/Resolución y documentos finales IMPconsulta pública/"/>
    </mc:Choice>
  </mc:AlternateContent>
  <xr:revisionPtr revIDLastSave="12" documentId="8_{70CA7485-86CE-4431-9AED-5329644ACF50}" xr6:coauthVersionLast="47" xr6:coauthVersionMax="47" xr10:uidLastSave="{906FF975-23DB-47C9-A223-9E641E2E5A25}"/>
  <bookViews>
    <workbookView xWindow="-120" yWindow="-120" windowWidth="25440" windowHeight="15270" xr2:uid="{00000000-000D-0000-FFFF-FFFF00000000}"/>
  </bookViews>
  <sheets>
    <sheet name="IMP Existente" sheetId="27" r:id="rId1"/>
    <sheet name="Factor ajuste" sheetId="38" r:id="rId2"/>
    <sheet name="IMPA Indicativo" sheetId="24" r:id="rId3"/>
    <sheet name="Sensibilidad" sheetId="36" state="hidden" r:id="rId4"/>
    <sheet name="Activos Reconocidos" sheetId="23" r:id="rId5"/>
    <sheet name="Tasa de Depreciación" sheetId="16" r:id="rId6"/>
    <sheet name="Base de Capital" sheetId="32" r:id="rId7"/>
    <sheet name="BS01_BS02" sheetId="44" r:id="rId8"/>
    <sheet name="INVNE_Conex" sheetId="57" r:id="rId9"/>
    <sheet name="OMT%_ADMT%" sheetId="30" r:id="rId10"/>
    <sheet name="VNR_Lin" sheetId="48" r:id="rId11"/>
    <sheet name="VNR_Sub" sheetId="50" r:id="rId12"/>
    <sheet name="AdicionesVNR_actualiz" sheetId="59" r:id="rId13"/>
    <sheet name="servidumbres" sheetId="60" r:id="rId14"/>
    <sheet name="Plan de Expansión" sheetId="18" r:id="rId15"/>
    <sheet name="Comparacion_adiciones" sheetId="45" r:id="rId16"/>
    <sheet name="Adiciones" sheetId="33" r:id="rId17"/>
    <sheet name="Sabanitas_PanamaIII" sheetId="58" r:id="rId18"/>
    <sheet name="Base ETESA" sheetId="37" r:id="rId19"/>
    <sheet name="CND" sheetId="19" r:id="rId20"/>
    <sheet name="CTPR" sheetId="26" r:id="rId21"/>
    <sheet name="Tercera Línea" sheetId="29" state="hidden" r:id="rId22"/>
    <sheet name="Bienes e Instalaciones 31_12_20" sheetId="13" state="hidden" r:id="rId23"/>
    <sheet name="Homologadores" sheetId="51" r:id="rId24"/>
    <sheet name="CEMIG-GT" sheetId="52" r:id="rId25"/>
    <sheet name="Transelec" sheetId="53" r:id="rId26"/>
    <sheet name="ISA REP" sheetId="54" r:id="rId27"/>
    <sheet name="Ratios comparadoras" sheetId="55" r:id="rId28"/>
    <sheet name="Cuadro Informe" sheetId="20" state="hidden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Fill" localSheetId="20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12" hidden="1">AdicionesVNR_actualiz!$A$1:$F$55</definedName>
    <definedName name="_xlnm._FilterDatabase" localSheetId="10" hidden="1">VNR_Lin!$A$15:$U$70</definedName>
    <definedName name="ActNetoHidro" localSheetId="0">'IMP Existente'!#REF!</definedName>
    <definedName name="ActNetoHidro">'IMPA Indicativo'!#REF!</definedName>
    <definedName name="_xlnm.Print_Area" localSheetId="4">'Activos Reconocidos'!$B$2:$H$179</definedName>
    <definedName name="_xlnm.Print_Area" localSheetId="19">CND!$B$19:$L$61</definedName>
    <definedName name="_xlnm.Print_Area" localSheetId="20">CTPR!$B$7:$N$29</definedName>
    <definedName name="_xlnm.Print_Area" localSheetId="14">'Plan de Expansión'!$A$1:$S$163</definedName>
    <definedName name="_xlnm.Print_Area" localSheetId="5">'Tasa de Depreciación'!$B$2:$I$28</definedName>
    <definedName name="AUF" localSheetId="10">#REF!</definedName>
    <definedName name="AUF" localSheetId="11">#REF!</definedName>
    <definedName name="AUF">#REF!</definedName>
    <definedName name="DepAnualHidro">'Activos Reconocidos'!$D$248:$H$248</definedName>
    <definedName name="DepHidro">'Activos Reconocidos'!$D$248:$H$248</definedName>
    <definedName name="FILTRO_DES" localSheetId="10">#REF!</definedName>
    <definedName name="FILTRO_DES" localSheetId="11">#REF!</definedName>
    <definedName name="FILTRO_DES">#REF!</definedName>
    <definedName name="IMP" localSheetId="10">#REF!</definedName>
    <definedName name="IMP" localSheetId="11">#REF!</definedName>
    <definedName name="IMP">#REF!</definedName>
    <definedName name="INGyADM" localSheetId="10">#REF!</definedName>
    <definedName name="INGyADM" localSheetId="11">#REF!</definedName>
    <definedName name="INGyADM">#REF!</definedName>
    <definedName name="RRT" localSheetId="0">'IMP Existente'!$D$11</definedName>
    <definedName name="RRT">'IMPA Indicativo'!$D$14</definedName>
    <definedName name="TC" localSheetId="10">#REF!</definedName>
    <definedName name="TC" localSheetId="11">#REF!</definedName>
    <definedName name="TC">#REF!</definedName>
    <definedName name="UUCC" localSheetId="10">#REF!</definedName>
    <definedName name="UUCC" localSheetId="11">#REF!</definedName>
    <definedName name="UUCC">#REF!</definedName>
    <definedName name="VNR_Lineas" localSheetId="10">VNR_Lin!$I$71</definedName>
    <definedName name="VNR_Lineas" localSheetId="11">#REF!</definedName>
    <definedName name="VNR_Lineas_Conexión" localSheetId="10">VNR_Lin!$I$86</definedName>
    <definedName name="VNR_Lineas_Conexión" localSheetId="11">#REF!</definedName>
    <definedName name="VNR_Subestaciones_Conexión" localSheetId="11">VNR_Sub!$H$47</definedName>
    <definedName name="VNR_Subestaciones_Estrategicas" localSheetId="11">VNR_Sub!$G$35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9" l="1"/>
  <c r="C59" i="23"/>
  <c r="CB152" i="32" l="1"/>
  <c r="CB147" i="32"/>
  <c r="AZ55" i="32"/>
  <c r="BJ116" i="37"/>
  <c r="L7" i="59"/>
  <c r="L35" i="59"/>
  <c r="L32" i="59"/>
  <c r="L27" i="59"/>
  <c r="C179" i="57"/>
  <c r="E174" i="57"/>
  <c r="I167" i="57"/>
  <c r="D100" i="57"/>
  <c r="J100" i="57" s="1"/>
  <c r="BE29" i="37" l="1"/>
  <c r="AQ12" i="37"/>
  <c r="AI12" i="37"/>
  <c r="AI41" i="37"/>
  <c r="I68" i="27"/>
  <c r="H68" i="27"/>
  <c r="G68" i="27"/>
  <c r="E68" i="27"/>
  <c r="D81" i="27"/>
  <c r="G71" i="19" l="1"/>
  <c r="C32" i="45"/>
  <c r="G32" i="45" s="1"/>
  <c r="D32" i="45"/>
  <c r="E32" i="45"/>
  <c r="C34" i="45"/>
  <c r="D34" i="45"/>
  <c r="E34" i="45"/>
  <c r="B35" i="45"/>
  <c r="B38" i="45" s="1"/>
  <c r="B41" i="45" s="1"/>
  <c r="B44" i="45" s="1"/>
  <c r="C35" i="45"/>
  <c r="D35" i="45"/>
  <c r="E35" i="45"/>
  <c r="B36" i="45"/>
  <c r="B39" i="45" s="1"/>
  <c r="B42" i="45" s="1"/>
  <c r="B45" i="45" s="1"/>
  <c r="B37" i="45"/>
  <c r="B40" i="45" s="1"/>
  <c r="B43" i="45" s="1"/>
  <c r="B46" i="45" s="1"/>
  <c r="C37" i="45"/>
  <c r="G37" i="45" s="1"/>
  <c r="D37" i="45"/>
  <c r="E37" i="45"/>
  <c r="C38" i="45"/>
  <c r="D38" i="45"/>
  <c r="E38" i="45"/>
  <c r="G39" i="45"/>
  <c r="G40" i="45"/>
  <c r="C41" i="45"/>
  <c r="G41" i="45" s="1"/>
  <c r="D41" i="45"/>
  <c r="E41" i="45"/>
  <c r="G42" i="45"/>
  <c r="G43" i="45"/>
  <c r="C44" i="45"/>
  <c r="D44" i="45"/>
  <c r="E44" i="45"/>
  <c r="F45" i="45"/>
  <c r="C46" i="45"/>
  <c r="D46" i="45"/>
  <c r="E46" i="45"/>
  <c r="G44" i="45" l="1"/>
  <c r="G35" i="45"/>
  <c r="G34" i="45"/>
  <c r="G38" i="45"/>
  <c r="H20" i="38" l="1"/>
  <c r="F66" i="19"/>
  <c r="F71" i="19" s="1"/>
  <c r="F20" i="19" s="1"/>
  <c r="E71" i="19"/>
  <c r="C21" i="38" l="1"/>
  <c r="C70" i="19" l="1"/>
  <c r="C69" i="19"/>
  <c r="C68" i="19"/>
  <c r="C67" i="19"/>
  <c r="C65" i="19"/>
  <c r="C64" i="19"/>
  <c r="C63" i="19"/>
  <c r="C60" i="19"/>
  <c r="C59" i="19"/>
  <c r="C58" i="19"/>
  <c r="C57" i="19"/>
  <c r="C55" i="19"/>
  <c r="C54" i="19"/>
  <c r="C53" i="19"/>
  <c r="C51" i="19"/>
  <c r="C50" i="19"/>
  <c r="C49" i="19"/>
  <c r="C47" i="19"/>
  <c r="C46" i="19"/>
  <c r="C44" i="19"/>
  <c r="C43" i="19"/>
  <c r="C42" i="19"/>
  <c r="C40" i="19"/>
  <c r="C38" i="19"/>
  <c r="C35" i="19"/>
  <c r="C34" i="19"/>
  <c r="C32" i="19"/>
  <c r="C31" i="19"/>
  <c r="C30" i="19"/>
  <c r="C28" i="19"/>
  <c r="L66" i="19" l="1"/>
  <c r="K66" i="19"/>
  <c r="J66" i="19"/>
  <c r="I66" i="19"/>
  <c r="H66" i="19"/>
  <c r="H71" i="19" s="1"/>
  <c r="G66" i="19"/>
  <c r="I62" i="19"/>
  <c r="C62" i="19" s="1"/>
  <c r="G61" i="19"/>
  <c r="L71" i="19"/>
  <c r="J54" i="44" l="1"/>
  <c r="O48" i="50"/>
  <c r="J76" i="48" l="1"/>
  <c r="J75" i="48"/>
  <c r="J74" i="48"/>
  <c r="K76" i="48" l="1"/>
  <c r="R76" i="48" s="1"/>
  <c r="K75" i="48"/>
  <c r="R75" i="48" s="1"/>
  <c r="K74" i="48"/>
  <c r="R74" i="48" s="1"/>
  <c r="K88" i="48" s="1"/>
  <c r="G68" i="48" l="1"/>
  <c r="K43" i="48" l="1"/>
  <c r="K64" i="48" l="1"/>
  <c r="K59" i="48"/>
  <c r="K58" i="48"/>
  <c r="K49" i="48"/>
  <c r="R49" i="48" s="1"/>
  <c r="K45" i="48"/>
  <c r="R45" i="48" s="1"/>
  <c r="K44" i="48"/>
  <c r="R44" i="48" s="1"/>
  <c r="K39" i="48"/>
  <c r="R11" i="48" s="1"/>
  <c r="K33" i="48"/>
  <c r="K32" i="48"/>
  <c r="K31" i="48"/>
  <c r="K30" i="48"/>
  <c r="K29" i="48"/>
  <c r="K28" i="48"/>
  <c r="K27" i="48"/>
  <c r="K23" i="48"/>
  <c r="K22" i="48"/>
  <c r="K20" i="48"/>
  <c r="K21" i="48" l="1"/>
  <c r="K68" i="48"/>
  <c r="K82" i="48"/>
  <c r="K81" i="48"/>
  <c r="K80" i="48"/>
  <c r="K79" i="48"/>
  <c r="K67" i="48"/>
  <c r="K60" i="48"/>
  <c r="K55" i="48"/>
  <c r="K54" i="48"/>
  <c r="K53" i="48"/>
  <c r="K52" i="48"/>
  <c r="K48" i="48"/>
  <c r="R48" i="48" s="1"/>
  <c r="K47" i="48"/>
  <c r="R47" i="48" s="1"/>
  <c r="K46" i="48"/>
  <c r="R46" i="48" s="1"/>
  <c r="K35" i="48"/>
  <c r="K34" i="48"/>
  <c r="K24" i="48"/>
  <c r="K16" i="48"/>
  <c r="K83" i="48" l="1"/>
  <c r="J82" i="48"/>
  <c r="J81" i="48"/>
  <c r="J80" i="48"/>
  <c r="J79" i="48"/>
  <c r="J68" i="48"/>
  <c r="J67" i="48"/>
  <c r="J64" i="48"/>
  <c r="J60" i="48"/>
  <c r="J59" i="48"/>
  <c r="J58" i="48"/>
  <c r="J55" i="48"/>
  <c r="J54" i="48"/>
  <c r="J53" i="48"/>
  <c r="J52" i="48"/>
  <c r="J49" i="48"/>
  <c r="J48" i="48"/>
  <c r="J47" i="48"/>
  <c r="J46" i="48"/>
  <c r="J45" i="48"/>
  <c r="J44" i="48"/>
  <c r="J83" i="48" l="1"/>
  <c r="D6" i="48"/>
  <c r="G66" i="50"/>
  <c r="J35" i="48"/>
  <c r="J34" i="48"/>
  <c r="J33" i="48"/>
  <c r="J32" i="48"/>
  <c r="J31" i="48"/>
  <c r="J30" i="48"/>
  <c r="J29" i="48"/>
  <c r="J28" i="48"/>
  <c r="J27" i="48"/>
  <c r="J24" i="48"/>
  <c r="J23" i="48"/>
  <c r="J22" i="48"/>
  <c r="J21" i="48"/>
  <c r="J20" i="48"/>
  <c r="J16" i="48"/>
  <c r="J43" i="48" l="1"/>
  <c r="J39" i="48" l="1"/>
  <c r="BI54" i="37" l="1"/>
  <c r="BH54" i="37"/>
  <c r="BJ77" i="37"/>
  <c r="BJ71" i="37"/>
  <c r="BJ68" i="37"/>
  <c r="BJ63" i="37"/>
  <c r="AJ77" i="37"/>
  <c r="BF77" i="37"/>
  <c r="BE77" i="37"/>
  <c r="K116" i="33" s="1"/>
  <c r="L116" i="33" s="1"/>
  <c r="AJ69" i="37"/>
  <c r="BF69" i="37"/>
  <c r="BE69" i="37"/>
  <c r="K129" i="33" s="1"/>
  <c r="BJ69" i="37"/>
  <c r="AJ63" i="37"/>
  <c r="BF63" i="37"/>
  <c r="BE63" i="37"/>
  <c r="BL50" i="37"/>
  <c r="BF50" i="37"/>
  <c r="BE50" i="37"/>
  <c r="K115" i="33" s="1"/>
  <c r="L115" i="33" s="1"/>
  <c r="L129" i="33" l="1"/>
  <c r="F46" i="45"/>
  <c r="G46" i="45" s="1"/>
  <c r="K139" i="33"/>
  <c r="L139" i="33" s="1"/>
  <c r="G90" i="57"/>
  <c r="AI50" i="37"/>
  <c r="AI77" i="37"/>
  <c r="AI63" i="37"/>
  <c r="AI69" i="37"/>
  <c r="I45" i="19" l="1"/>
  <c r="C45" i="19" s="1"/>
  <c r="I41" i="19"/>
  <c r="C41" i="19" s="1"/>
  <c r="K37" i="19"/>
  <c r="I37" i="19"/>
  <c r="I71" i="19" s="1"/>
  <c r="I20" i="19" s="1"/>
  <c r="G37" i="19"/>
  <c r="C37" i="19" l="1"/>
  <c r="K36" i="19"/>
  <c r="J36" i="19"/>
  <c r="C36" i="19" s="1"/>
  <c r="K71" i="19" l="1"/>
  <c r="J71" i="19"/>
  <c r="E165" i="33" l="1"/>
  <c r="F12" i="45"/>
  <c r="H18" i="38"/>
  <c r="D13" i="60" l="1"/>
  <c r="E13" i="60"/>
  <c r="F13" i="60"/>
  <c r="E23" i="60"/>
  <c r="C23" i="60"/>
  <c r="D23" i="60"/>
  <c r="D24" i="60" l="1"/>
  <c r="F23" i="60"/>
  <c r="F24" i="60" s="1"/>
  <c r="C13" i="60"/>
  <c r="C24" i="60" s="1"/>
  <c r="E24" i="60"/>
  <c r="D100" i="19" l="1"/>
  <c r="E94" i="19"/>
  <c r="F94" i="19" s="1"/>
  <c r="D98" i="19"/>
  <c r="F98" i="19"/>
  <c r="F92" i="19"/>
  <c r="G92" i="19" s="1"/>
  <c r="J98" i="19" s="1"/>
  <c r="B94" i="19"/>
  <c r="B93" i="19"/>
  <c r="B92" i="19"/>
  <c r="F100" i="19" l="1"/>
  <c r="H100" i="19"/>
  <c r="G94" i="19"/>
  <c r="J100" i="19" s="1"/>
  <c r="H98" i="19"/>
  <c r="H38" i="27"/>
  <c r="G38" i="27"/>
  <c r="F38" i="27"/>
  <c r="I46" i="27" l="1"/>
  <c r="E46" i="27"/>
  <c r="C70" i="23"/>
  <c r="D14" i="27"/>
  <c r="C71" i="23" s="1"/>
  <c r="CB167" i="32"/>
  <c r="E54" i="27" l="1"/>
  <c r="I54" i="27"/>
  <c r="E38" i="54"/>
  <c r="K8" i="52"/>
  <c r="K4" i="59" l="1"/>
  <c r="J4" i="59"/>
  <c r="I4" i="59"/>
  <c r="H4" i="59"/>
  <c r="P10" i="48"/>
  <c r="C7" i="59" l="1"/>
  <c r="D7" i="59"/>
  <c r="H7" i="59"/>
  <c r="C8" i="59"/>
  <c r="D8" i="59"/>
  <c r="C9" i="59"/>
  <c r="D9" i="59"/>
  <c r="E9" i="59" s="1"/>
  <c r="F9" i="59" s="1"/>
  <c r="H9" i="59"/>
  <c r="I9" i="59"/>
  <c r="J9" i="59"/>
  <c r="K9" i="59"/>
  <c r="C10" i="59"/>
  <c r="D10" i="59"/>
  <c r="C11" i="59"/>
  <c r="D11" i="59"/>
  <c r="H12" i="59"/>
  <c r="I12" i="59"/>
  <c r="J12" i="59"/>
  <c r="K12" i="59"/>
  <c r="C13" i="59"/>
  <c r="D13" i="59"/>
  <c r="C14" i="59"/>
  <c r="D14" i="59"/>
  <c r="C15" i="59"/>
  <c r="D15" i="59"/>
  <c r="H15" i="59"/>
  <c r="I15" i="59"/>
  <c r="J15" i="59"/>
  <c r="K15" i="59"/>
  <c r="C16" i="59"/>
  <c r="D16" i="59"/>
  <c r="C17" i="59"/>
  <c r="D17" i="59"/>
  <c r="C18" i="59"/>
  <c r="D18" i="59"/>
  <c r="E18" i="59" s="1"/>
  <c r="F18" i="59" s="1"/>
  <c r="C19" i="59"/>
  <c r="D19" i="59"/>
  <c r="C20" i="59"/>
  <c r="D20" i="59"/>
  <c r="C21" i="59"/>
  <c r="D21" i="59"/>
  <c r="C22" i="59"/>
  <c r="D22" i="59"/>
  <c r="C23" i="59"/>
  <c r="D23" i="59"/>
  <c r="C24" i="59"/>
  <c r="D24" i="59"/>
  <c r="C25" i="59"/>
  <c r="D25" i="59"/>
  <c r="C26" i="59"/>
  <c r="D26" i="59"/>
  <c r="C27" i="59"/>
  <c r="D27" i="59"/>
  <c r="H28" i="59"/>
  <c r="I28" i="59"/>
  <c r="J28" i="59"/>
  <c r="K28" i="59"/>
  <c r="C29" i="59"/>
  <c r="D29" i="59"/>
  <c r="C30" i="59"/>
  <c r="D30" i="59"/>
  <c r="C31" i="59"/>
  <c r="D31" i="59"/>
  <c r="C32" i="59"/>
  <c r="D32" i="59"/>
  <c r="C33" i="59"/>
  <c r="D33" i="59"/>
  <c r="H34" i="59"/>
  <c r="I34" i="59"/>
  <c r="J34" i="59"/>
  <c r="K34" i="59"/>
  <c r="C35" i="59"/>
  <c r="H36" i="59"/>
  <c r="I36" i="59"/>
  <c r="J36" i="59"/>
  <c r="K36" i="59"/>
  <c r="C37" i="59"/>
  <c r="D37" i="59"/>
  <c r="E37" i="59" s="1"/>
  <c r="F37" i="59" s="1"/>
  <c r="C38" i="59"/>
  <c r="D38" i="59"/>
  <c r="C39" i="59"/>
  <c r="D39" i="59"/>
  <c r="C40" i="59"/>
  <c r="D40" i="59"/>
  <c r="H40" i="59"/>
  <c r="I40" i="59"/>
  <c r="J40" i="59"/>
  <c r="H41" i="59"/>
  <c r="I41" i="59"/>
  <c r="J41" i="59"/>
  <c r="K41" i="59"/>
  <c r="H42" i="59"/>
  <c r="I42" i="59"/>
  <c r="J42" i="59"/>
  <c r="K42" i="59"/>
  <c r="H43" i="59"/>
  <c r="I43" i="59"/>
  <c r="J43" i="59"/>
  <c r="K43" i="59"/>
  <c r="H44" i="59"/>
  <c r="I44" i="59"/>
  <c r="J44" i="59"/>
  <c r="K44" i="59"/>
  <c r="H45" i="59"/>
  <c r="I45" i="59"/>
  <c r="J45" i="59"/>
  <c r="K45" i="59"/>
  <c r="C48" i="59"/>
  <c r="D48" i="59"/>
  <c r="C49" i="59"/>
  <c r="D49" i="59"/>
  <c r="C50" i="59"/>
  <c r="D50" i="59"/>
  <c r="C51" i="59"/>
  <c r="D51" i="59"/>
  <c r="C52" i="59"/>
  <c r="D52" i="59"/>
  <c r="C53" i="59"/>
  <c r="D53" i="59"/>
  <c r="C54" i="59"/>
  <c r="D54" i="59"/>
  <c r="C55" i="59"/>
  <c r="D55" i="59"/>
  <c r="C59" i="59"/>
  <c r="D59" i="59"/>
  <c r="C60" i="59"/>
  <c r="D60" i="59"/>
  <c r="C61" i="59"/>
  <c r="D61" i="59"/>
  <c r="C62" i="59"/>
  <c r="D62" i="59"/>
  <c r="C63" i="59"/>
  <c r="D63" i="59"/>
  <c r="E63" i="59" s="1"/>
  <c r="F63" i="59" s="1"/>
  <c r="C64" i="59"/>
  <c r="D64" i="59"/>
  <c r="C65" i="59"/>
  <c r="D65" i="59"/>
  <c r="C66" i="59"/>
  <c r="D66" i="59"/>
  <c r="C67" i="59"/>
  <c r="D67" i="59"/>
  <c r="E67" i="59" s="1"/>
  <c r="F67" i="59" s="1"/>
  <c r="C68" i="59"/>
  <c r="D68" i="59"/>
  <c r="C69" i="59"/>
  <c r="D69" i="59"/>
  <c r="C70" i="59"/>
  <c r="D70" i="59"/>
  <c r="C71" i="59"/>
  <c r="D71" i="59"/>
  <c r="C72" i="59"/>
  <c r="D72" i="59"/>
  <c r="C73" i="59"/>
  <c r="D73" i="59"/>
  <c r="C74" i="59"/>
  <c r="D74" i="59"/>
  <c r="C75" i="59"/>
  <c r="D75" i="59"/>
  <c r="C76" i="59"/>
  <c r="D76" i="59"/>
  <c r="C77" i="59"/>
  <c r="D77" i="59"/>
  <c r="C78" i="59"/>
  <c r="D78" i="59"/>
  <c r="C81" i="59"/>
  <c r="D81" i="59"/>
  <c r="C82" i="59"/>
  <c r="D82" i="59"/>
  <c r="C83" i="59"/>
  <c r="D83" i="59"/>
  <c r="E83" i="59" s="1"/>
  <c r="F83" i="59" s="1"/>
  <c r="C84" i="59"/>
  <c r="D84" i="59"/>
  <c r="C85" i="59"/>
  <c r="D85" i="59"/>
  <c r="C86" i="59"/>
  <c r="D86" i="59"/>
  <c r="C93" i="59"/>
  <c r="D93" i="59"/>
  <c r="C94" i="59"/>
  <c r="D94" i="59"/>
  <c r="C95" i="59"/>
  <c r="D95" i="59"/>
  <c r="C96" i="59"/>
  <c r="D96" i="59"/>
  <c r="C98" i="59"/>
  <c r="D98" i="59"/>
  <c r="C99" i="59"/>
  <c r="D99" i="59"/>
  <c r="C100" i="59"/>
  <c r="D100" i="59"/>
  <c r="C102" i="59"/>
  <c r="D102" i="59"/>
  <c r="C103" i="59"/>
  <c r="D103" i="59"/>
  <c r="C104" i="59"/>
  <c r="D104" i="59"/>
  <c r="C105" i="59"/>
  <c r="D105" i="59"/>
  <c r="C106" i="59"/>
  <c r="D106" i="59"/>
  <c r="C107" i="59"/>
  <c r="D107" i="59"/>
  <c r="C111" i="59"/>
  <c r="D111" i="59"/>
  <c r="C112" i="59"/>
  <c r="D112" i="59"/>
  <c r="C113" i="59"/>
  <c r="D113" i="59"/>
  <c r="C114" i="59"/>
  <c r="D114" i="59"/>
  <c r="M26" i="50"/>
  <c r="M50" i="50"/>
  <c r="E75" i="59" l="1"/>
  <c r="F75" i="59" s="1"/>
  <c r="E71" i="59"/>
  <c r="F71" i="59" s="1"/>
  <c r="E31" i="59"/>
  <c r="F31" i="59" s="1"/>
  <c r="E33" i="59"/>
  <c r="F33" i="59" s="1"/>
  <c r="E29" i="59"/>
  <c r="F29" i="59" s="1"/>
  <c r="E38" i="59"/>
  <c r="F38" i="59" s="1"/>
  <c r="E49" i="59"/>
  <c r="F49" i="59" s="1"/>
  <c r="L36" i="59"/>
  <c r="E17" i="59"/>
  <c r="F17" i="59" s="1"/>
  <c r="E15" i="59"/>
  <c r="F15" i="59" s="1"/>
  <c r="E13" i="59"/>
  <c r="F13" i="59" s="1"/>
  <c r="E10" i="59"/>
  <c r="F10" i="59" s="1"/>
  <c r="E30" i="59"/>
  <c r="F30" i="59" s="1"/>
  <c r="E21" i="59"/>
  <c r="F21" i="59" s="1"/>
  <c r="E16" i="59"/>
  <c r="F16" i="59" s="1"/>
  <c r="E66" i="59"/>
  <c r="F66" i="59" s="1"/>
  <c r="E64" i="59"/>
  <c r="F64" i="59" s="1"/>
  <c r="E27" i="59"/>
  <c r="F27" i="59" s="1"/>
  <c r="L28" i="59"/>
  <c r="E104" i="59"/>
  <c r="F104" i="59" s="1"/>
  <c r="E112" i="59"/>
  <c r="F112" i="59" s="1"/>
  <c r="E98" i="59"/>
  <c r="F98" i="59" s="1"/>
  <c r="E82" i="59"/>
  <c r="F82" i="59" s="1"/>
  <c r="E74" i="59"/>
  <c r="F74" i="59" s="1"/>
  <c r="E72" i="59"/>
  <c r="F72" i="59" s="1"/>
  <c r="E70" i="59"/>
  <c r="F70" i="59" s="1"/>
  <c r="E59" i="59"/>
  <c r="F59" i="59" s="1"/>
  <c r="E50" i="59"/>
  <c r="F50" i="59" s="1"/>
  <c r="E22" i="59"/>
  <c r="F22" i="59" s="1"/>
  <c r="D92" i="59"/>
  <c r="E86" i="59"/>
  <c r="F86" i="59" s="1"/>
  <c r="E78" i="59"/>
  <c r="F78" i="59" s="1"/>
  <c r="E60" i="59"/>
  <c r="F60" i="59" s="1"/>
  <c r="E54" i="59"/>
  <c r="F54" i="59" s="1"/>
  <c r="E114" i="59"/>
  <c r="F114" i="59" s="1"/>
  <c r="E107" i="59"/>
  <c r="F107" i="59" s="1"/>
  <c r="E99" i="59"/>
  <c r="F99" i="59" s="1"/>
  <c r="E94" i="59"/>
  <c r="F94" i="59" s="1"/>
  <c r="E68" i="59"/>
  <c r="F68" i="59" s="1"/>
  <c r="E111" i="59"/>
  <c r="F111" i="59" s="1"/>
  <c r="E76" i="59"/>
  <c r="F76" i="59" s="1"/>
  <c r="E62" i="59"/>
  <c r="F62" i="59" s="1"/>
  <c r="E53" i="59"/>
  <c r="F53" i="59" s="1"/>
  <c r="L44" i="59"/>
  <c r="E26" i="59"/>
  <c r="F26" i="59" s="1"/>
  <c r="E19" i="59"/>
  <c r="F19" i="59" s="1"/>
  <c r="E14" i="59"/>
  <c r="F14" i="59" s="1"/>
  <c r="E11" i="59"/>
  <c r="F11" i="59" s="1"/>
  <c r="E100" i="59"/>
  <c r="F100" i="59" s="1"/>
  <c r="E25" i="59"/>
  <c r="F25" i="59" s="1"/>
  <c r="E77" i="59"/>
  <c r="F77" i="59" s="1"/>
  <c r="E61" i="59"/>
  <c r="F61" i="59" s="1"/>
  <c r="E73" i="59"/>
  <c r="F73" i="59" s="1"/>
  <c r="E65" i="59"/>
  <c r="F65" i="59" s="1"/>
  <c r="L45" i="59"/>
  <c r="L34" i="59"/>
  <c r="E32" i="59"/>
  <c r="F32" i="59" s="1"/>
  <c r="L12" i="59"/>
  <c r="C97" i="59"/>
  <c r="D80" i="59"/>
  <c r="E52" i="59"/>
  <c r="F52" i="59" s="1"/>
  <c r="L43" i="59"/>
  <c r="L41" i="59"/>
  <c r="E40" i="59"/>
  <c r="F40" i="59" s="1"/>
  <c r="E24" i="59"/>
  <c r="F24" i="59" s="1"/>
  <c r="E69" i="59"/>
  <c r="F69" i="59" s="1"/>
  <c r="E20" i="59"/>
  <c r="F20" i="59" s="1"/>
  <c r="L9" i="59"/>
  <c r="E8" i="59"/>
  <c r="F8" i="59" s="1"/>
  <c r="C101" i="59"/>
  <c r="E85" i="59"/>
  <c r="F85" i="59" s="1"/>
  <c r="C110" i="59"/>
  <c r="C109" i="59" s="1"/>
  <c r="E105" i="59"/>
  <c r="F105" i="59" s="1"/>
  <c r="E103" i="59"/>
  <c r="F103" i="59" s="1"/>
  <c r="E84" i="59"/>
  <c r="F84" i="59" s="1"/>
  <c r="E55" i="59"/>
  <c r="F55" i="59" s="1"/>
  <c r="E51" i="59"/>
  <c r="F51" i="59" s="1"/>
  <c r="E39" i="59"/>
  <c r="F39" i="59" s="1"/>
  <c r="E23" i="59"/>
  <c r="F23" i="59" s="1"/>
  <c r="L15" i="59"/>
  <c r="C92" i="59"/>
  <c r="E93" i="59"/>
  <c r="F93" i="59" s="1"/>
  <c r="E113" i="59"/>
  <c r="F113" i="59" s="1"/>
  <c r="E106" i="59"/>
  <c r="F106" i="59" s="1"/>
  <c r="D97" i="59"/>
  <c r="E96" i="59"/>
  <c r="F96" i="59" s="1"/>
  <c r="C58" i="59"/>
  <c r="D47" i="59"/>
  <c r="C47" i="59"/>
  <c r="E48" i="59"/>
  <c r="F48" i="59" s="1"/>
  <c r="L42" i="59"/>
  <c r="E7" i="59"/>
  <c r="F7" i="59" s="1"/>
  <c r="D110" i="59"/>
  <c r="D109" i="59" s="1"/>
  <c r="C6" i="59"/>
  <c r="C80" i="59"/>
  <c r="E81" i="59"/>
  <c r="F81" i="59" s="1"/>
  <c r="E102" i="59"/>
  <c r="F102" i="59" s="1"/>
  <c r="D101" i="59"/>
  <c r="E95" i="59"/>
  <c r="F95" i="59" s="1"/>
  <c r="D58" i="59"/>
  <c r="E30" i="58"/>
  <c r="C5" i="59" l="1"/>
  <c r="C91" i="59"/>
  <c r="D91" i="59"/>
  <c r="D90" i="59" s="1"/>
  <c r="C90" i="59"/>
  <c r="C4" i="59"/>
  <c r="K58" i="50"/>
  <c r="H58" i="50"/>
  <c r="G58" i="50"/>
  <c r="D48" i="50"/>
  <c r="F48" i="50" s="1"/>
  <c r="D39" i="50"/>
  <c r="E39" i="50"/>
  <c r="D40" i="50"/>
  <c r="E40" i="50"/>
  <c r="D41" i="50"/>
  <c r="E41" i="50"/>
  <c r="K29" i="50"/>
  <c r="H29" i="50"/>
  <c r="G29" i="50"/>
  <c r="O83" i="48"/>
  <c r="D66" i="50" s="1"/>
  <c r="L83" i="48"/>
  <c r="G83" i="48"/>
  <c r="Q48" i="50" l="1"/>
  <c r="H43" i="48"/>
  <c r="D12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D57" i="50"/>
  <c r="D56" i="50"/>
  <c r="D55" i="50"/>
  <c r="E54" i="50"/>
  <c r="D54" i="50"/>
  <c r="E53" i="50"/>
  <c r="D53" i="50"/>
  <c r="E52" i="50"/>
  <c r="E51" i="50"/>
  <c r="D51" i="50"/>
  <c r="E49" i="50"/>
  <c r="C28" i="50"/>
  <c r="C27" i="50"/>
  <c r="D58" i="50" l="1"/>
  <c r="E58" i="50"/>
  <c r="F27" i="50"/>
  <c r="F28" i="50"/>
  <c r="T40" i="48" l="1"/>
  <c r="D30" i="58"/>
  <c r="C23" i="58"/>
  <c r="C18" i="58" s="1"/>
  <c r="N27" i="50" s="1"/>
  <c r="O27" i="50" s="1"/>
  <c r="C15" i="58"/>
  <c r="C10" i="58" s="1"/>
  <c r="N28" i="50" s="1"/>
  <c r="O28" i="50" s="1"/>
  <c r="C26" i="58"/>
  <c r="C6" i="58"/>
  <c r="R43" i="48" s="1"/>
  <c r="N39" i="48"/>
  <c r="N46" i="48"/>
  <c r="H48" i="48"/>
  <c r="H47" i="48"/>
  <c r="N49" i="48"/>
  <c r="N30" i="48"/>
  <c r="N29" i="48"/>
  <c r="N31" i="48"/>
  <c r="N32" i="48"/>
  <c r="Q27" i="50" l="1"/>
  <c r="CB159" i="32"/>
  <c r="T43" i="48"/>
  <c r="Q28" i="50"/>
  <c r="M44" i="48"/>
  <c r="N44" i="48"/>
  <c r="C30" i="58"/>
  <c r="N33" i="48" l="1"/>
  <c r="N20" i="52" l="1"/>
  <c r="N19" i="52"/>
  <c r="N17" i="52"/>
  <c r="N12" i="52"/>
  <c r="F24" i="52"/>
  <c r="N22" i="52" l="1"/>
  <c r="N21" i="52"/>
  <c r="O19" i="52" s="1"/>
  <c r="F22" i="52" s="1"/>
  <c r="O20" i="52" l="1"/>
  <c r="F23" i="52" s="1"/>
  <c r="X466" i="33"/>
  <c r="Q456" i="33"/>
  <c r="R456" i="33" s="1"/>
  <c r="S456" i="33" s="1"/>
  <c r="R454" i="33"/>
  <c r="Q454" i="33"/>
  <c r="P454" i="33"/>
  <c r="Q444" i="33"/>
  <c r="R444" i="33" s="1"/>
  <c r="S444" i="33" s="1"/>
  <c r="R441" i="33"/>
  <c r="Q441" i="33"/>
  <c r="Q414" i="33"/>
  <c r="R414" i="33" s="1"/>
  <c r="S414" i="33" s="1"/>
  <c r="E66" i="50" l="1"/>
  <c r="N68" i="48"/>
  <c r="N64" i="48"/>
  <c r="N34" i="48"/>
  <c r="N27" i="48"/>
  <c r="N24" i="48"/>
  <c r="N21" i="48"/>
  <c r="N20" i="48"/>
  <c r="N16" i="48"/>
  <c r="N53" i="48" l="1"/>
  <c r="N54" i="48"/>
  <c r="N35" i="48"/>
  <c r="N55" i="48"/>
  <c r="N52" i="48"/>
  <c r="N60" i="48"/>
  <c r="N82" i="48"/>
  <c r="N79" i="48"/>
  <c r="N22" i="48"/>
  <c r="N28" i="48"/>
  <c r="N80" i="48"/>
  <c r="N23" i="48"/>
  <c r="N81" i="48"/>
  <c r="N59" i="48"/>
  <c r="N58" i="48"/>
  <c r="K69" i="48" l="1"/>
  <c r="N67" i="48"/>
  <c r="K50" i="48"/>
  <c r="K56" i="48"/>
  <c r="K65" i="48"/>
  <c r="F66" i="50" l="1"/>
  <c r="F81" i="50" s="1"/>
  <c r="N83" i="48"/>
  <c r="K70" i="48"/>
  <c r="K87" i="48" s="1"/>
  <c r="G65" i="50" l="1"/>
  <c r="D4" i="48"/>
  <c r="K85" i="48"/>
  <c r="F65" i="50"/>
  <c r="I90" i="57"/>
  <c r="F74" i="50" l="1"/>
  <c r="D97" i="57"/>
  <c r="U57" i="18" l="1"/>
  <c r="V57" i="18"/>
  <c r="W57" i="18"/>
  <c r="X57" i="18"/>
  <c r="Y57" i="18"/>
  <c r="Z57" i="18"/>
  <c r="AA57" i="18"/>
  <c r="AB57" i="18"/>
  <c r="AC57" i="18"/>
  <c r="AD57" i="18"/>
  <c r="Q138" i="18"/>
  <c r="Q139" i="18"/>
  <c r="Q140" i="18"/>
  <c r="Q141" i="18"/>
  <c r="Q142" i="18"/>
  <c r="Q144" i="18"/>
  <c r="Q137" i="18"/>
  <c r="Q132" i="18"/>
  <c r="Q133" i="18"/>
  <c r="Q131" i="18"/>
  <c r="U125" i="18"/>
  <c r="V125" i="18"/>
  <c r="W125" i="18"/>
  <c r="AA125" i="18"/>
  <c r="AB125" i="18"/>
  <c r="AC125" i="18"/>
  <c r="AD125" i="18"/>
  <c r="U126" i="18"/>
  <c r="V126" i="18"/>
  <c r="W126" i="18"/>
  <c r="AA126" i="18"/>
  <c r="AB126" i="18"/>
  <c r="AC126" i="18"/>
  <c r="AD126" i="18"/>
  <c r="U127" i="18"/>
  <c r="V127" i="18"/>
  <c r="W127" i="18"/>
  <c r="Z127" i="18"/>
  <c r="AA127" i="18"/>
  <c r="AB127" i="18"/>
  <c r="AC127" i="18"/>
  <c r="AD127" i="18"/>
  <c r="U128" i="18"/>
  <c r="V128" i="18"/>
  <c r="W128" i="18"/>
  <c r="AA128" i="18"/>
  <c r="AB128" i="18"/>
  <c r="AC128" i="18"/>
  <c r="AD128" i="18"/>
  <c r="Q94" i="18"/>
  <c r="Z94" i="18" s="1"/>
  <c r="Q95" i="18"/>
  <c r="W95" i="18" s="1"/>
  <c r="Q96" i="18"/>
  <c r="AD96" i="18" s="1"/>
  <c r="Q97" i="18"/>
  <c r="X97" i="18" s="1"/>
  <c r="Q98" i="18"/>
  <c r="Q99" i="18"/>
  <c r="W99" i="18" s="1"/>
  <c r="Q100" i="18"/>
  <c r="V100" i="18" s="1"/>
  <c r="Q101" i="18"/>
  <c r="X101" i="18" s="1"/>
  <c r="Q102" i="18"/>
  <c r="Z102" i="18" s="1"/>
  <c r="Q103" i="18"/>
  <c r="W103" i="18" s="1"/>
  <c r="Q104" i="18"/>
  <c r="AD104" i="18" s="1"/>
  <c r="Q105" i="18"/>
  <c r="AB105" i="18" s="1"/>
  <c r="Q106" i="18"/>
  <c r="Q107" i="18"/>
  <c r="W107" i="18" s="1"/>
  <c r="Q108" i="18"/>
  <c r="V108" i="18" s="1"/>
  <c r="Q109" i="18"/>
  <c r="X109" i="18" s="1"/>
  <c r="Q110" i="18"/>
  <c r="X110" i="18" s="1"/>
  <c r="Q111" i="18"/>
  <c r="W111" i="18" s="1"/>
  <c r="Q112" i="18"/>
  <c r="X112" i="18" s="1"/>
  <c r="Q113" i="18"/>
  <c r="W113" i="18" s="1"/>
  <c r="Q114" i="18"/>
  <c r="X114" i="18" s="1"/>
  <c r="Q115" i="18"/>
  <c r="W115" i="18" s="1"/>
  <c r="Q116" i="18"/>
  <c r="X116" i="18" s="1"/>
  <c r="Q117" i="18"/>
  <c r="W117" i="18" s="1"/>
  <c r="Q118" i="18"/>
  <c r="X118" i="18" s="1"/>
  <c r="Q119" i="18"/>
  <c r="W119" i="18" s="1"/>
  <c r="Q120" i="18"/>
  <c r="X120" i="18" s="1"/>
  <c r="Q121" i="18"/>
  <c r="W121" i="18" s="1"/>
  <c r="Q122" i="18"/>
  <c r="X122" i="18" s="1"/>
  <c r="Q123" i="18"/>
  <c r="W123" i="18" s="1"/>
  <c r="Q124" i="18"/>
  <c r="X124" i="18" s="1"/>
  <c r="R125" i="18"/>
  <c r="R126" i="18"/>
  <c r="R127" i="18"/>
  <c r="R128" i="18"/>
  <c r="Q93" i="18"/>
  <c r="X93" i="18" s="1"/>
  <c r="Q92" i="18"/>
  <c r="AD92" i="18" s="1"/>
  <c r="Q91" i="18"/>
  <c r="W91" i="18" s="1"/>
  <c r="Q90" i="18"/>
  <c r="Z90" i="18" s="1"/>
  <c r="Q84" i="18"/>
  <c r="V84" i="18" s="1"/>
  <c r="Q85" i="18"/>
  <c r="Q86" i="18"/>
  <c r="Y86" i="18" s="1"/>
  <c r="Q87" i="18"/>
  <c r="X87" i="18" s="1"/>
  <c r="Q88" i="18"/>
  <c r="Z88" i="18" s="1"/>
  <c r="Q89" i="18"/>
  <c r="AB89" i="18" s="1"/>
  <c r="Q83" i="18"/>
  <c r="Q51" i="18"/>
  <c r="Q52" i="18"/>
  <c r="X52" i="18" s="1"/>
  <c r="Q53" i="18"/>
  <c r="AD53" i="18" s="1"/>
  <c r="Q54" i="18"/>
  <c r="Y54" i="18" s="1"/>
  <c r="Q55" i="18"/>
  <c r="V55" i="18" s="1"/>
  <c r="Q56" i="18"/>
  <c r="Q50" i="18"/>
  <c r="Q47" i="18"/>
  <c r="Q32" i="18"/>
  <c r="Q33" i="18"/>
  <c r="Q34" i="18"/>
  <c r="Q35" i="18"/>
  <c r="Q36" i="18"/>
  <c r="Q37" i="18"/>
  <c r="Q38" i="18"/>
  <c r="Q39" i="18"/>
  <c r="Q40" i="18"/>
  <c r="Q41" i="18"/>
  <c r="Q42" i="18"/>
  <c r="Q43" i="18"/>
  <c r="Q44" i="18"/>
  <c r="Q45" i="18"/>
  <c r="Q46" i="18"/>
  <c r="Q31" i="18"/>
  <c r="Q13" i="18"/>
  <c r="Q14" i="18"/>
  <c r="Q15" i="18"/>
  <c r="Q16" i="18"/>
  <c r="Q17" i="18"/>
  <c r="Q18" i="18"/>
  <c r="Q19" i="18"/>
  <c r="Q20" i="18"/>
  <c r="Q12" i="18"/>
  <c r="R154" i="18"/>
  <c r="R155" i="18"/>
  <c r="Q156" i="18"/>
  <c r="X156" i="18" s="1"/>
  <c r="Q157" i="18"/>
  <c r="Y157" i="18" s="1"/>
  <c r="R158" i="18"/>
  <c r="R159" i="18"/>
  <c r="R160" i="18"/>
  <c r="R153" i="18"/>
  <c r="R152" i="18"/>
  <c r="K65" i="18"/>
  <c r="L65" i="18"/>
  <c r="M65" i="18"/>
  <c r="N65" i="18"/>
  <c r="K66" i="18"/>
  <c r="L66" i="18"/>
  <c r="M66" i="18"/>
  <c r="N66" i="18"/>
  <c r="K67" i="18"/>
  <c r="L67" i="18"/>
  <c r="M67" i="18"/>
  <c r="N67" i="18"/>
  <c r="K68" i="18"/>
  <c r="L68" i="18"/>
  <c r="M68" i="18"/>
  <c r="N68" i="18"/>
  <c r="K69" i="18"/>
  <c r="L69" i="18"/>
  <c r="M69" i="18"/>
  <c r="N69" i="18"/>
  <c r="K70" i="18"/>
  <c r="L70" i="18"/>
  <c r="M70" i="18"/>
  <c r="N70" i="18"/>
  <c r="Q71" i="18"/>
  <c r="AD71" i="18" s="1"/>
  <c r="Q72" i="18"/>
  <c r="R66" i="18"/>
  <c r="R67" i="18"/>
  <c r="R68" i="18"/>
  <c r="R69" i="18"/>
  <c r="R70" i="18"/>
  <c r="R65" i="18"/>
  <c r="B46" i="18"/>
  <c r="B47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31" i="18"/>
  <c r="B154" i="18"/>
  <c r="B155" i="18"/>
  <c r="B156" i="18"/>
  <c r="B157" i="18"/>
  <c r="B158" i="18"/>
  <c r="B159" i="18"/>
  <c r="B160" i="18"/>
  <c r="B153" i="18"/>
  <c r="B152" i="18"/>
  <c r="B138" i="18"/>
  <c r="B139" i="18"/>
  <c r="B140" i="18"/>
  <c r="B141" i="18"/>
  <c r="B142" i="18"/>
  <c r="B143" i="18"/>
  <c r="B144" i="18"/>
  <c r="B145" i="18"/>
  <c r="B137" i="18"/>
  <c r="B132" i="18"/>
  <c r="B133" i="18"/>
  <c r="B131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83" i="18"/>
  <c r="B66" i="18"/>
  <c r="B67" i="18"/>
  <c r="B68" i="18"/>
  <c r="B69" i="18"/>
  <c r="B70" i="18"/>
  <c r="B71" i="18"/>
  <c r="B72" i="18"/>
  <c r="B65" i="18"/>
  <c r="B51" i="18"/>
  <c r="B52" i="18"/>
  <c r="B53" i="18"/>
  <c r="B54" i="18"/>
  <c r="B55" i="18"/>
  <c r="B56" i="18"/>
  <c r="B50" i="18"/>
  <c r="B13" i="18"/>
  <c r="B14" i="18"/>
  <c r="B15" i="18"/>
  <c r="B16" i="18"/>
  <c r="B17" i="18"/>
  <c r="B18" i="18"/>
  <c r="B19" i="18"/>
  <c r="B20" i="18"/>
  <c r="B12" i="18"/>
  <c r="Z121" i="18" l="1"/>
  <c r="X105" i="18"/>
  <c r="V88" i="18"/>
  <c r="Z117" i="18"/>
  <c r="AD84" i="18"/>
  <c r="Z113" i="18"/>
  <c r="V96" i="18"/>
  <c r="Z55" i="18"/>
  <c r="AD108" i="18"/>
  <c r="AB93" i="18"/>
  <c r="AD123" i="18"/>
  <c r="V123" i="18"/>
  <c r="AD119" i="18"/>
  <c r="V119" i="18"/>
  <c r="AD115" i="18"/>
  <c r="V115" i="18"/>
  <c r="AD111" i="18"/>
  <c r="V111" i="18"/>
  <c r="AB99" i="18"/>
  <c r="X91" i="18"/>
  <c r="AB123" i="18"/>
  <c r="X121" i="18"/>
  <c r="AB119" i="18"/>
  <c r="X117" i="18"/>
  <c r="AB115" i="18"/>
  <c r="X113" i="18"/>
  <c r="AB111" i="18"/>
  <c r="AB107" i="18"/>
  <c r="V104" i="18"/>
  <c r="AB101" i="18"/>
  <c r="X99" i="18"/>
  <c r="AB95" i="18"/>
  <c r="AD86" i="18"/>
  <c r="Z84" i="18"/>
  <c r="AB54" i="18"/>
  <c r="Z123" i="18"/>
  <c r="AD121" i="18"/>
  <c r="V121" i="18"/>
  <c r="Z119" i="18"/>
  <c r="AD117" i="18"/>
  <c r="V117" i="18"/>
  <c r="Z115" i="18"/>
  <c r="AD113" i="18"/>
  <c r="V113" i="18"/>
  <c r="Z111" i="18"/>
  <c r="AB109" i="18"/>
  <c r="X107" i="18"/>
  <c r="AB103" i="18"/>
  <c r="AB97" i="18"/>
  <c r="X95" i="18"/>
  <c r="AD88" i="18"/>
  <c r="Z86" i="18"/>
  <c r="X54" i="18"/>
  <c r="AB124" i="18"/>
  <c r="X123" i="18"/>
  <c r="AB121" i="18"/>
  <c r="AB120" i="18"/>
  <c r="X119" i="18"/>
  <c r="AB117" i="18"/>
  <c r="AB116" i="18"/>
  <c r="X115" i="18"/>
  <c r="AB113" i="18"/>
  <c r="AB112" i="18"/>
  <c r="X111" i="18"/>
  <c r="X103" i="18"/>
  <c r="AD100" i="18"/>
  <c r="AB91" i="18"/>
  <c r="V86" i="18"/>
  <c r="X72" i="18"/>
  <c r="AB72" i="18"/>
  <c r="W72" i="18"/>
  <c r="Y72" i="18"/>
  <c r="AD72" i="18"/>
  <c r="V72" i="18"/>
  <c r="Z72" i="18"/>
  <c r="AA72" i="18"/>
  <c r="AA71" i="18"/>
  <c r="V71" i="18"/>
  <c r="Y71" i="18"/>
  <c r="AC71" i="18"/>
  <c r="X71" i="18"/>
  <c r="Z71" i="18"/>
  <c r="U71" i="18"/>
  <c r="AB71" i="18"/>
  <c r="W71" i="18"/>
  <c r="U72" i="18"/>
  <c r="X53" i="18"/>
  <c r="AB53" i="18"/>
  <c r="U53" i="18"/>
  <c r="Y53" i="18"/>
  <c r="AC53" i="18"/>
  <c r="W53" i="18"/>
  <c r="AA53" i="18"/>
  <c r="V53" i="18"/>
  <c r="Z53" i="18"/>
  <c r="AC72" i="18"/>
  <c r="V56" i="18"/>
  <c r="Z56" i="18"/>
  <c r="AD56" i="18"/>
  <c r="W56" i="18"/>
  <c r="AA56" i="18"/>
  <c r="Y56" i="18"/>
  <c r="U56" i="18"/>
  <c r="AC56" i="18"/>
  <c r="V52" i="18"/>
  <c r="Z52" i="18"/>
  <c r="AD52" i="18"/>
  <c r="W52" i="18"/>
  <c r="AA52" i="18"/>
  <c r="Y52" i="18"/>
  <c r="U52" i="18"/>
  <c r="AC52" i="18"/>
  <c r="U89" i="18"/>
  <c r="Y89" i="18"/>
  <c r="AC89" i="18"/>
  <c r="V89" i="18"/>
  <c r="Z89" i="18"/>
  <c r="AD89" i="18"/>
  <c r="W89" i="18"/>
  <c r="AA89" i="18"/>
  <c r="U85" i="18"/>
  <c r="Y85" i="18"/>
  <c r="AC85" i="18"/>
  <c r="V85" i="18"/>
  <c r="Z85" i="18"/>
  <c r="AD85" i="18"/>
  <c r="W85" i="18"/>
  <c r="AA85" i="18"/>
  <c r="W92" i="18"/>
  <c r="AA92" i="18"/>
  <c r="X92" i="18"/>
  <c r="AB92" i="18"/>
  <c r="Y92" i="18"/>
  <c r="U92" i="18"/>
  <c r="AC92" i="18"/>
  <c r="U122" i="18"/>
  <c r="Y122" i="18"/>
  <c r="AC122" i="18"/>
  <c r="W122" i="18"/>
  <c r="AA122" i="18"/>
  <c r="U118" i="18"/>
  <c r="Y118" i="18"/>
  <c r="AC118" i="18"/>
  <c r="W118" i="18"/>
  <c r="AA118" i="18"/>
  <c r="U114" i="18"/>
  <c r="Y114" i="18"/>
  <c r="AC114" i="18"/>
  <c r="W114" i="18"/>
  <c r="AA114" i="18"/>
  <c r="U110" i="18"/>
  <c r="Y110" i="18"/>
  <c r="AC110" i="18"/>
  <c r="W110" i="18"/>
  <c r="AA110" i="18"/>
  <c r="W106" i="18"/>
  <c r="AA106" i="18"/>
  <c r="X106" i="18"/>
  <c r="AB106" i="18"/>
  <c r="U106" i="18"/>
  <c r="AC106" i="18"/>
  <c r="Y106" i="18"/>
  <c r="W102" i="18"/>
  <c r="AA102" i="18"/>
  <c r="X102" i="18"/>
  <c r="AB102" i="18"/>
  <c r="U102" i="18"/>
  <c r="AC102" i="18"/>
  <c r="Y102" i="18"/>
  <c r="W98" i="18"/>
  <c r="AA98" i="18"/>
  <c r="X98" i="18"/>
  <c r="AB98" i="18"/>
  <c r="U98" i="18"/>
  <c r="AC98" i="18"/>
  <c r="Y98" i="18"/>
  <c r="W94" i="18"/>
  <c r="AA94" i="18"/>
  <c r="X94" i="18"/>
  <c r="AB94" i="18"/>
  <c r="U94" i="18"/>
  <c r="AC94" i="18"/>
  <c r="Y94" i="18"/>
  <c r="Z124" i="18"/>
  <c r="AD122" i="18"/>
  <c r="V122" i="18"/>
  <c r="Z120" i="18"/>
  <c r="AD118" i="18"/>
  <c r="V118" i="18"/>
  <c r="Z116" i="18"/>
  <c r="AD114" i="18"/>
  <c r="V114" i="18"/>
  <c r="Z112" i="18"/>
  <c r="AD110" i="18"/>
  <c r="V110" i="18"/>
  <c r="Z108" i="18"/>
  <c r="AD106" i="18"/>
  <c r="V102" i="18"/>
  <c r="Z100" i="18"/>
  <c r="AD98" i="18"/>
  <c r="V94" i="18"/>
  <c r="Z92" i="18"/>
  <c r="AD90" i="18"/>
  <c r="X89" i="18"/>
  <c r="AB87" i="18"/>
  <c r="AB156" i="18"/>
  <c r="AB56" i="18"/>
  <c r="Z157" i="18"/>
  <c r="AD157" i="18"/>
  <c r="U157" i="18"/>
  <c r="AA157" i="18"/>
  <c r="V157" i="18"/>
  <c r="X157" i="18"/>
  <c r="AB157" i="18"/>
  <c r="W157" i="18"/>
  <c r="X55" i="18"/>
  <c r="AB55" i="18"/>
  <c r="U55" i="18"/>
  <c r="Y55" i="18"/>
  <c r="AC55" i="18"/>
  <c r="AA55" i="18"/>
  <c r="W55" i="18"/>
  <c r="AB122" i="18"/>
  <c r="AB118" i="18"/>
  <c r="AB114" i="18"/>
  <c r="AB110" i="18"/>
  <c r="Z106" i="18"/>
  <c r="Z98" i="18"/>
  <c r="V92" i="18"/>
  <c r="AB85" i="18"/>
  <c r="W156" i="18"/>
  <c r="X56" i="18"/>
  <c r="Y156" i="18"/>
  <c r="AC156" i="18"/>
  <c r="Z156" i="18"/>
  <c r="AD156" i="18"/>
  <c r="U156" i="18"/>
  <c r="V156" i="18"/>
  <c r="AA156" i="18"/>
  <c r="U87" i="18"/>
  <c r="Y87" i="18"/>
  <c r="AC87" i="18"/>
  <c r="V87" i="18"/>
  <c r="Z87" i="18"/>
  <c r="AD87" i="18"/>
  <c r="AA87" i="18"/>
  <c r="W87" i="18"/>
  <c r="W90" i="18"/>
  <c r="AA90" i="18"/>
  <c r="X90" i="18"/>
  <c r="AB90" i="18"/>
  <c r="U90" i="18"/>
  <c r="AC90" i="18"/>
  <c r="Y90" i="18"/>
  <c r="U124" i="18"/>
  <c r="Y124" i="18"/>
  <c r="AC124" i="18"/>
  <c r="W124" i="18"/>
  <c r="AA124" i="18"/>
  <c r="U120" i="18"/>
  <c r="Y120" i="18"/>
  <c r="AC120" i="18"/>
  <c r="W120" i="18"/>
  <c r="AA120" i="18"/>
  <c r="U116" i="18"/>
  <c r="Y116" i="18"/>
  <c r="AC116" i="18"/>
  <c r="W116" i="18"/>
  <c r="AA116" i="18"/>
  <c r="U112" i="18"/>
  <c r="Y112" i="18"/>
  <c r="AC112" i="18"/>
  <c r="W112" i="18"/>
  <c r="AA112" i="18"/>
  <c r="W108" i="18"/>
  <c r="AA108" i="18"/>
  <c r="X108" i="18"/>
  <c r="AB108" i="18"/>
  <c r="Y108" i="18"/>
  <c r="U108" i="18"/>
  <c r="AC108" i="18"/>
  <c r="W104" i="18"/>
  <c r="AA104" i="18"/>
  <c r="X104" i="18"/>
  <c r="AB104" i="18"/>
  <c r="Y104" i="18"/>
  <c r="U104" i="18"/>
  <c r="AC104" i="18"/>
  <c r="W100" i="18"/>
  <c r="AA100" i="18"/>
  <c r="X100" i="18"/>
  <c r="AB100" i="18"/>
  <c r="Y100" i="18"/>
  <c r="U100" i="18"/>
  <c r="AC100" i="18"/>
  <c r="W96" i="18"/>
  <c r="AA96" i="18"/>
  <c r="X96" i="18"/>
  <c r="AB96" i="18"/>
  <c r="Y96" i="18"/>
  <c r="U96" i="18"/>
  <c r="AC96" i="18"/>
  <c r="AD124" i="18"/>
  <c r="V124" i="18"/>
  <c r="Z122" i="18"/>
  <c r="AD120" i="18"/>
  <c r="V120" i="18"/>
  <c r="Z118" i="18"/>
  <c r="AD116" i="18"/>
  <c r="V116" i="18"/>
  <c r="Z114" i="18"/>
  <c r="AD112" i="18"/>
  <c r="V112" i="18"/>
  <c r="Z110" i="18"/>
  <c r="V106" i="18"/>
  <c r="Z104" i="18"/>
  <c r="AD102" i="18"/>
  <c r="V98" i="18"/>
  <c r="Z96" i="18"/>
  <c r="AD94" i="18"/>
  <c r="V90" i="18"/>
  <c r="X85" i="18"/>
  <c r="AC157" i="18"/>
  <c r="AD55" i="18"/>
  <c r="AB52" i="18"/>
  <c r="W88" i="18"/>
  <c r="AA88" i="18"/>
  <c r="X88" i="18"/>
  <c r="AB88" i="18"/>
  <c r="W84" i="18"/>
  <c r="AA84" i="18"/>
  <c r="X84" i="18"/>
  <c r="AB84" i="18"/>
  <c r="U93" i="18"/>
  <c r="Y93" i="18"/>
  <c r="AC93" i="18"/>
  <c r="V93" i="18"/>
  <c r="Z93" i="18"/>
  <c r="AD93" i="18"/>
  <c r="U109" i="18"/>
  <c r="Y109" i="18"/>
  <c r="AC109" i="18"/>
  <c r="V109" i="18"/>
  <c r="Z109" i="18"/>
  <c r="AD109" i="18"/>
  <c r="U105" i="18"/>
  <c r="Y105" i="18"/>
  <c r="AC105" i="18"/>
  <c r="V105" i="18"/>
  <c r="Z105" i="18"/>
  <c r="AD105" i="18"/>
  <c r="U101" i="18"/>
  <c r="Y101" i="18"/>
  <c r="AC101" i="18"/>
  <c r="V101" i="18"/>
  <c r="Z101" i="18"/>
  <c r="AD101" i="18"/>
  <c r="U97" i="18"/>
  <c r="Y97" i="18"/>
  <c r="AC97" i="18"/>
  <c r="V97" i="18"/>
  <c r="Z97" i="18"/>
  <c r="AD97" i="18"/>
  <c r="AC123" i="18"/>
  <c r="Y123" i="18"/>
  <c r="U123" i="18"/>
  <c r="AC121" i="18"/>
  <c r="Y121" i="18"/>
  <c r="U121" i="18"/>
  <c r="AC119" i="18"/>
  <c r="Y119" i="18"/>
  <c r="U119" i="18"/>
  <c r="AC117" i="18"/>
  <c r="Y117" i="18"/>
  <c r="U117" i="18"/>
  <c r="AC115" i="18"/>
  <c r="Y115" i="18"/>
  <c r="U115" i="18"/>
  <c r="AC113" i="18"/>
  <c r="Y113" i="18"/>
  <c r="U113" i="18"/>
  <c r="AC111" i="18"/>
  <c r="Y111" i="18"/>
  <c r="U111" i="18"/>
  <c r="AA109" i="18"/>
  <c r="AA105" i="18"/>
  <c r="AA101" i="18"/>
  <c r="AA97" i="18"/>
  <c r="AA93" i="18"/>
  <c r="AC88" i="18"/>
  <c r="U88" i="18"/>
  <c r="AC84" i="18"/>
  <c r="U84" i="18"/>
  <c r="V54" i="18"/>
  <c r="Z54" i="18"/>
  <c r="AD54" i="18"/>
  <c r="W54" i="18"/>
  <c r="AA54" i="18"/>
  <c r="W86" i="18"/>
  <c r="AA86" i="18"/>
  <c r="X86" i="18"/>
  <c r="AB86" i="18"/>
  <c r="U91" i="18"/>
  <c r="Y91" i="18"/>
  <c r="AC91" i="18"/>
  <c r="V91" i="18"/>
  <c r="Z91" i="18"/>
  <c r="AD91" i="18"/>
  <c r="U107" i="18"/>
  <c r="Y107" i="18"/>
  <c r="AC107" i="18"/>
  <c r="V107" i="18"/>
  <c r="Z107" i="18"/>
  <c r="AD107" i="18"/>
  <c r="U103" i="18"/>
  <c r="Y103" i="18"/>
  <c r="AC103" i="18"/>
  <c r="V103" i="18"/>
  <c r="Z103" i="18"/>
  <c r="AD103" i="18"/>
  <c r="U99" i="18"/>
  <c r="Y99" i="18"/>
  <c r="AC99" i="18"/>
  <c r="V99" i="18"/>
  <c r="Z99" i="18"/>
  <c r="AD99" i="18"/>
  <c r="U95" i="18"/>
  <c r="Y95" i="18"/>
  <c r="AC95" i="18"/>
  <c r="V95" i="18"/>
  <c r="Z95" i="18"/>
  <c r="AD95" i="18"/>
  <c r="AA123" i="18"/>
  <c r="AA121" i="18"/>
  <c r="AA119" i="18"/>
  <c r="AA117" i="18"/>
  <c r="AA115" i="18"/>
  <c r="AA113" i="18"/>
  <c r="AA111" i="18"/>
  <c r="W109" i="18"/>
  <c r="AA107" i="18"/>
  <c r="W105" i="18"/>
  <c r="AA103" i="18"/>
  <c r="W101" i="18"/>
  <c r="AA99" i="18"/>
  <c r="W97" i="18"/>
  <c r="AA95" i="18"/>
  <c r="W93" i="18"/>
  <c r="AA91" i="18"/>
  <c r="Y88" i="18"/>
  <c r="AC86" i="18"/>
  <c r="U86" i="18"/>
  <c r="Y84" i="18"/>
  <c r="AC54" i="18"/>
  <c r="U54" i="18"/>
  <c r="D29" i="50" l="1"/>
  <c r="E29" i="50"/>
  <c r="M23" i="48" l="1"/>
  <c r="H16" i="48"/>
  <c r="I15" i="24" l="1"/>
  <c r="N172" i="18" l="1"/>
  <c r="M172" i="18"/>
  <c r="L172" i="18"/>
  <c r="K172" i="18"/>
  <c r="D178" i="57" l="1"/>
  <c r="E178" i="57" s="1"/>
  <c r="F178" i="57" s="1"/>
  <c r="G178" i="57" s="1"/>
  <c r="I10" i="57"/>
  <c r="I11" i="57"/>
  <c r="F12" i="57"/>
  <c r="I12" i="57" s="1"/>
  <c r="I13" i="57"/>
  <c r="I14" i="57"/>
  <c r="I15" i="57"/>
  <c r="I16" i="57"/>
  <c r="D17" i="57"/>
  <c r="I17" i="57" s="1"/>
  <c r="D18" i="57"/>
  <c r="I18" i="57" s="1"/>
  <c r="D19" i="57"/>
  <c r="I19" i="57" s="1"/>
  <c r="D20" i="57"/>
  <c r="I20" i="57" s="1"/>
  <c r="E21" i="57"/>
  <c r="G21" i="57"/>
  <c r="D22" i="57"/>
  <c r="E22" i="57"/>
  <c r="F22" i="57"/>
  <c r="G22" i="57"/>
  <c r="H22" i="57"/>
  <c r="D24" i="57"/>
  <c r="E24" i="57"/>
  <c r="G24" i="57"/>
  <c r="E25" i="57"/>
  <c r="F25" i="57"/>
  <c r="G25" i="57"/>
  <c r="D26" i="57"/>
  <c r="D33" i="57" s="1"/>
  <c r="E75" i="57" s="1"/>
  <c r="E26" i="57"/>
  <c r="F26" i="57"/>
  <c r="G26" i="57"/>
  <c r="D27" i="57"/>
  <c r="D34" i="57" s="1"/>
  <c r="E27" i="57"/>
  <c r="F27" i="57"/>
  <c r="G27" i="57"/>
  <c r="D28" i="57"/>
  <c r="D35" i="57" s="1"/>
  <c r="E42" i="57" s="1"/>
  <c r="E28" i="57"/>
  <c r="F28" i="57"/>
  <c r="G28" i="57"/>
  <c r="D29" i="57"/>
  <c r="E29" i="57"/>
  <c r="F29" i="57"/>
  <c r="G29" i="57"/>
  <c r="H29" i="57"/>
  <c r="B31" i="57"/>
  <c r="D31" i="57"/>
  <c r="E38" i="57" s="1"/>
  <c r="B32" i="57"/>
  <c r="B33" i="57"/>
  <c r="B34" i="57"/>
  <c r="B35" i="57"/>
  <c r="D36" i="57"/>
  <c r="E36" i="57"/>
  <c r="F36" i="57"/>
  <c r="G36" i="57"/>
  <c r="H36" i="57"/>
  <c r="B38" i="57"/>
  <c r="B39" i="57"/>
  <c r="B40" i="57"/>
  <c r="B41" i="57"/>
  <c r="B42" i="57"/>
  <c r="D43" i="57"/>
  <c r="E43" i="57"/>
  <c r="F43" i="57"/>
  <c r="G43" i="57"/>
  <c r="H43" i="57"/>
  <c r="B45" i="57"/>
  <c r="B46" i="57"/>
  <c r="B47" i="57"/>
  <c r="B48" i="57"/>
  <c r="B49" i="57"/>
  <c r="D50" i="57"/>
  <c r="E50" i="57"/>
  <c r="F50" i="57"/>
  <c r="G50" i="57"/>
  <c r="H50" i="57"/>
  <c r="B52" i="57"/>
  <c r="B53" i="57"/>
  <c r="B54" i="57"/>
  <c r="B55" i="57"/>
  <c r="B56" i="57"/>
  <c r="D57" i="57"/>
  <c r="E57" i="57"/>
  <c r="F57" i="57"/>
  <c r="G57" i="57"/>
  <c r="H57" i="57"/>
  <c r="B59" i="57"/>
  <c r="E59" i="57"/>
  <c r="B60" i="57"/>
  <c r="E60" i="57"/>
  <c r="B61" i="57"/>
  <c r="E61" i="57"/>
  <c r="B62" i="57"/>
  <c r="E62" i="57"/>
  <c r="B63" i="57"/>
  <c r="E63" i="57"/>
  <c r="D64" i="57"/>
  <c r="E64" i="57"/>
  <c r="F64" i="57"/>
  <c r="G64" i="57"/>
  <c r="H64" i="57"/>
  <c r="B66" i="57"/>
  <c r="B67" i="57"/>
  <c r="B68" i="57"/>
  <c r="B69" i="57"/>
  <c r="B70" i="57"/>
  <c r="D71" i="57"/>
  <c r="E71" i="57"/>
  <c r="F71" i="57"/>
  <c r="G71" i="57"/>
  <c r="H71" i="57"/>
  <c r="B73" i="57"/>
  <c r="B74" i="57"/>
  <c r="B75" i="57"/>
  <c r="B76" i="57"/>
  <c r="B77" i="57"/>
  <c r="D78" i="57"/>
  <c r="E78" i="57"/>
  <c r="F78" i="57"/>
  <c r="G78" i="57"/>
  <c r="H78" i="57"/>
  <c r="B80" i="57"/>
  <c r="B81" i="57"/>
  <c r="B82" i="57"/>
  <c r="B83" i="57"/>
  <c r="B84" i="57"/>
  <c r="D88" i="57"/>
  <c r="E88" i="57"/>
  <c r="F88" i="57"/>
  <c r="G88" i="57"/>
  <c r="H88" i="57"/>
  <c r="D102" i="57"/>
  <c r="E102" i="57"/>
  <c r="F102" i="57"/>
  <c r="G102" i="57"/>
  <c r="H102" i="57"/>
  <c r="H104" i="57"/>
  <c r="H105" i="57"/>
  <c r="H106" i="57"/>
  <c r="D107" i="57"/>
  <c r="D114" i="57" s="1"/>
  <c r="E121" i="57" s="1"/>
  <c r="E128" i="57" s="1"/>
  <c r="H107" i="57"/>
  <c r="H108" i="57"/>
  <c r="D109" i="57"/>
  <c r="E109" i="57"/>
  <c r="F109" i="57"/>
  <c r="G109" i="57"/>
  <c r="H109" i="57"/>
  <c r="B111" i="57"/>
  <c r="B112" i="57"/>
  <c r="B113" i="57"/>
  <c r="B114" i="57"/>
  <c r="B115" i="57"/>
  <c r="D116" i="57"/>
  <c r="E116" i="57"/>
  <c r="F116" i="57"/>
  <c r="G116" i="57"/>
  <c r="H116" i="57"/>
  <c r="B118" i="57"/>
  <c r="B119" i="57"/>
  <c r="B120" i="57"/>
  <c r="B121" i="57"/>
  <c r="B122" i="57"/>
  <c r="D123" i="57"/>
  <c r="E123" i="57"/>
  <c r="F123" i="57"/>
  <c r="G123" i="57"/>
  <c r="H123" i="57"/>
  <c r="B125" i="57"/>
  <c r="B126" i="57"/>
  <c r="B127" i="57"/>
  <c r="B128" i="57"/>
  <c r="B129" i="57"/>
  <c r="D130" i="57"/>
  <c r="E130" i="57"/>
  <c r="F130" i="57"/>
  <c r="G130" i="57"/>
  <c r="H130" i="57"/>
  <c r="B132" i="57"/>
  <c r="B133" i="57"/>
  <c r="B134" i="57"/>
  <c r="B135" i="57"/>
  <c r="B136" i="57"/>
  <c r="D137" i="57"/>
  <c r="E137" i="57"/>
  <c r="F137" i="57"/>
  <c r="G137" i="57"/>
  <c r="H137" i="57"/>
  <c r="B139" i="57"/>
  <c r="E139" i="57"/>
  <c r="B140" i="57"/>
  <c r="E140" i="57"/>
  <c r="B141" i="57"/>
  <c r="E141" i="57"/>
  <c r="B142" i="57"/>
  <c r="E142" i="57"/>
  <c r="B143" i="57"/>
  <c r="E143" i="57"/>
  <c r="D144" i="57"/>
  <c r="E144" i="57"/>
  <c r="F144" i="57"/>
  <c r="G144" i="57"/>
  <c r="H144" i="57"/>
  <c r="B146" i="57"/>
  <c r="B147" i="57"/>
  <c r="B148" i="57"/>
  <c r="B149" i="57"/>
  <c r="B150" i="57"/>
  <c r="D151" i="57"/>
  <c r="E151" i="57"/>
  <c r="F151" i="57"/>
  <c r="G151" i="57"/>
  <c r="H151" i="57"/>
  <c r="B153" i="57"/>
  <c r="B154" i="57"/>
  <c r="B155" i="57"/>
  <c r="B156" i="57"/>
  <c r="B157" i="57"/>
  <c r="D158" i="57"/>
  <c r="E158" i="57"/>
  <c r="F158" i="57"/>
  <c r="G158" i="57"/>
  <c r="H158" i="57"/>
  <c r="B160" i="57"/>
  <c r="B161" i="57"/>
  <c r="B162" i="57"/>
  <c r="B163" i="57"/>
  <c r="B164" i="57"/>
  <c r="D166" i="57"/>
  <c r="E166" i="57"/>
  <c r="F166" i="57"/>
  <c r="G166" i="57"/>
  <c r="H166" i="57"/>
  <c r="B168" i="57"/>
  <c r="B169" i="57"/>
  <c r="B170" i="57"/>
  <c r="B171" i="57"/>
  <c r="B172" i="57"/>
  <c r="D173" i="57"/>
  <c r="E173" i="57"/>
  <c r="F173" i="57"/>
  <c r="G173" i="57"/>
  <c r="H173" i="57"/>
  <c r="H174" i="57"/>
  <c r="G174" i="57" s="1"/>
  <c r="F174" i="57" s="1"/>
  <c r="F21" i="57" l="1"/>
  <c r="E41" i="57"/>
  <c r="E48" i="57" s="1"/>
  <c r="E69" i="57"/>
  <c r="E23" i="57"/>
  <c r="F24" i="57"/>
  <c r="F23" i="57" s="1"/>
  <c r="E138" i="57"/>
  <c r="G23" i="57"/>
  <c r="E58" i="57"/>
  <c r="D21" i="57"/>
  <c r="I21" i="57" s="1"/>
  <c r="H103" i="57"/>
  <c r="D25" i="57"/>
  <c r="D32" i="57" s="1"/>
  <c r="E74" i="57" s="1"/>
  <c r="E149" i="57"/>
  <c r="E34" i="57"/>
  <c r="E76" i="57"/>
  <c r="E156" i="57"/>
  <c r="E49" i="57"/>
  <c r="E45" i="57"/>
  <c r="E77" i="57"/>
  <c r="E73" i="57"/>
  <c r="E68" i="57"/>
  <c r="E40" i="57"/>
  <c r="E35" i="57"/>
  <c r="E33" i="57"/>
  <c r="E31" i="57"/>
  <c r="E70" i="57"/>
  <c r="E66" i="57"/>
  <c r="G283" i="32"/>
  <c r="F283" i="32"/>
  <c r="E283" i="32"/>
  <c r="D283" i="32"/>
  <c r="D281" i="32"/>
  <c r="E281" i="32" s="1"/>
  <c r="F281" i="32" s="1"/>
  <c r="G281" i="32" s="1"/>
  <c r="E83" i="57" l="1"/>
  <c r="E163" i="57"/>
  <c r="E171" i="57" s="1"/>
  <c r="D23" i="57"/>
  <c r="D30" i="57"/>
  <c r="E39" i="57"/>
  <c r="E37" i="57" s="1"/>
  <c r="E67" i="57"/>
  <c r="E81" i="57" s="1"/>
  <c r="E32" i="57"/>
  <c r="F74" i="57" s="1"/>
  <c r="E80" i="57"/>
  <c r="E84" i="57"/>
  <c r="E47" i="57"/>
  <c r="E54" i="57" s="1"/>
  <c r="F61" i="57" s="1"/>
  <c r="E82" i="57"/>
  <c r="E52" i="57"/>
  <c r="F38" i="57"/>
  <c r="F66" i="57"/>
  <c r="F31" i="57"/>
  <c r="F73" i="57"/>
  <c r="F75" i="57"/>
  <c r="F40" i="57"/>
  <c r="F68" i="57"/>
  <c r="F33" i="57"/>
  <c r="E72" i="57"/>
  <c r="F41" i="57"/>
  <c r="F69" i="57"/>
  <c r="F34" i="57"/>
  <c r="F76" i="57"/>
  <c r="E55" i="57"/>
  <c r="F62" i="57" s="1"/>
  <c r="E56" i="57"/>
  <c r="F63" i="57" s="1"/>
  <c r="F42" i="57"/>
  <c r="F70" i="57"/>
  <c r="F35" i="57"/>
  <c r="F77" i="57"/>
  <c r="E30" i="57" l="1"/>
  <c r="F39" i="57"/>
  <c r="F67" i="57"/>
  <c r="F65" i="57" s="1"/>
  <c r="E65" i="57"/>
  <c r="F32" i="57"/>
  <c r="G74" i="57" s="1"/>
  <c r="E46" i="57"/>
  <c r="E53" i="57" s="1"/>
  <c r="F60" i="57" s="1"/>
  <c r="E79" i="57"/>
  <c r="G35" i="57"/>
  <c r="G77" i="57"/>
  <c r="G42" i="57"/>
  <c r="G70" i="57"/>
  <c r="G33" i="57"/>
  <c r="G40" i="57"/>
  <c r="G68" i="57"/>
  <c r="G75" i="57"/>
  <c r="F37" i="57"/>
  <c r="F45" i="57"/>
  <c r="F52" i="57" s="1"/>
  <c r="G41" i="57"/>
  <c r="G69" i="57"/>
  <c r="G34" i="57"/>
  <c r="G76" i="57"/>
  <c r="F72" i="57"/>
  <c r="F59" i="57"/>
  <c r="F84" i="57"/>
  <c r="F49" i="57"/>
  <c r="F82" i="57"/>
  <c r="G31" i="57"/>
  <c r="G73" i="57"/>
  <c r="G38" i="57"/>
  <c r="G66" i="57"/>
  <c r="F83" i="57"/>
  <c r="F48" i="57"/>
  <c r="F47" i="57"/>
  <c r="F54" i="57" s="1"/>
  <c r="G61" i="57" s="1"/>
  <c r="G32" i="57" l="1"/>
  <c r="F81" i="57"/>
  <c r="F30" i="57"/>
  <c r="G39" i="57"/>
  <c r="G67" i="57"/>
  <c r="G65" i="57" s="1"/>
  <c r="E44" i="57"/>
  <c r="F58" i="57"/>
  <c r="F46" i="57"/>
  <c r="F53" i="57" s="1"/>
  <c r="G60" i="57" s="1"/>
  <c r="G49" i="57"/>
  <c r="E51" i="57"/>
  <c r="G48" i="57"/>
  <c r="G55" i="57" s="1"/>
  <c r="H62" i="57" s="1"/>
  <c r="F56" i="57"/>
  <c r="G63" i="57" s="1"/>
  <c r="G84" i="57" s="1"/>
  <c r="H31" i="57"/>
  <c r="H73" i="57"/>
  <c r="G30" i="57"/>
  <c r="H38" i="57"/>
  <c r="H66" i="57"/>
  <c r="G82" i="57"/>
  <c r="G45" i="57"/>
  <c r="G52" i="57" s="1"/>
  <c r="H33" i="57"/>
  <c r="H40" i="57"/>
  <c r="H68" i="57"/>
  <c r="H75" i="57"/>
  <c r="G59" i="57"/>
  <c r="G80" i="57" s="1"/>
  <c r="F55" i="57"/>
  <c r="G62" i="57" s="1"/>
  <c r="G83" i="57" s="1"/>
  <c r="H35" i="57"/>
  <c r="H77" i="57"/>
  <c r="G56" i="57"/>
  <c r="H63" i="57" s="1"/>
  <c r="H42" i="57"/>
  <c r="H70" i="57"/>
  <c r="G37" i="57"/>
  <c r="G47" i="57"/>
  <c r="G72" i="57"/>
  <c r="H76" i="57"/>
  <c r="H41" i="57"/>
  <c r="H69" i="57"/>
  <c r="H34" i="57"/>
  <c r="H39" i="57"/>
  <c r="H67" i="57"/>
  <c r="H74" i="57"/>
  <c r="H32" i="57"/>
  <c r="F80" i="57"/>
  <c r="G46" i="57" l="1"/>
  <c r="G53" i="57" s="1"/>
  <c r="H60" i="57" s="1"/>
  <c r="F79" i="57"/>
  <c r="H48" i="57"/>
  <c r="G81" i="57"/>
  <c r="G79" i="57" s="1"/>
  <c r="F44" i="57"/>
  <c r="H47" i="57"/>
  <c r="H54" i="57" s="1"/>
  <c r="H49" i="57"/>
  <c r="H56" i="57" s="1"/>
  <c r="H55" i="57"/>
  <c r="H59" i="57"/>
  <c r="H80" i="57" s="1"/>
  <c r="G54" i="57"/>
  <c r="H61" i="57" s="1"/>
  <c r="H82" i="57" s="1"/>
  <c r="H81" i="57"/>
  <c r="H46" i="57"/>
  <c r="H53" i="57" s="1"/>
  <c r="H83" i="57"/>
  <c r="G58" i="57"/>
  <c r="H65" i="57"/>
  <c r="H72" i="57"/>
  <c r="H84" i="57"/>
  <c r="F51" i="57"/>
  <c r="H45" i="57"/>
  <c r="G44" i="57"/>
  <c r="H37" i="57"/>
  <c r="H30" i="57"/>
  <c r="G51" i="57" l="1"/>
  <c r="H44" i="57"/>
  <c r="H52" i="57"/>
  <c r="H51" i="57" s="1"/>
  <c r="H79" i="57"/>
  <c r="H58" i="57"/>
  <c r="AN94" i="32" l="1"/>
  <c r="AS94" i="32" s="1"/>
  <c r="AN93" i="32"/>
  <c r="AS93" i="32" s="1"/>
  <c r="AN92" i="32"/>
  <c r="AS92" i="32" s="1"/>
  <c r="AN91" i="32"/>
  <c r="AN90" i="32"/>
  <c r="AS90" i="32" s="1"/>
  <c r="AN89" i="32"/>
  <c r="AS89" i="32" s="1"/>
  <c r="AN88" i="32"/>
  <c r="AS88" i="32" s="1"/>
  <c r="AN87" i="32"/>
  <c r="AS87" i="32" s="1"/>
  <c r="AN86" i="32"/>
  <c r="AS86" i="32" s="1"/>
  <c r="AN85" i="32"/>
  <c r="AS85" i="32" s="1"/>
  <c r="AN84" i="32"/>
  <c r="AS84" i="32" s="1"/>
  <c r="AN83" i="32"/>
  <c r="AN82" i="32"/>
  <c r="AS82" i="32" s="1"/>
  <c r="AN81" i="32"/>
  <c r="AS81" i="32" s="1"/>
  <c r="AN80" i="32"/>
  <c r="AS80" i="32" s="1"/>
  <c r="D177" i="32"/>
  <c r="E172" i="32"/>
  <c r="F172" i="32" s="1"/>
  <c r="G172" i="32" l="1"/>
  <c r="F177" i="32"/>
  <c r="E177" i="32"/>
  <c r="AS83" i="32"/>
  <c r="AS91" i="32"/>
  <c r="N131" i="33"/>
  <c r="C131" i="33"/>
  <c r="F131" i="33" s="1"/>
  <c r="O131" i="33" s="1"/>
  <c r="H172" i="32" l="1"/>
  <c r="H177" i="32" s="1"/>
  <c r="G177" i="32"/>
  <c r="J52" i="44"/>
  <c r="K52" i="44"/>
  <c r="L52" i="44"/>
  <c r="I52" i="44"/>
  <c r="CB156" i="32" l="1"/>
  <c r="CB155" i="32"/>
  <c r="CB154" i="32"/>
  <c r="BR156" i="32"/>
  <c r="BR155" i="32"/>
  <c r="BR154" i="32"/>
  <c r="BH156" i="32"/>
  <c r="BH155" i="32"/>
  <c r="BH154" i="32"/>
  <c r="AX156" i="32"/>
  <c r="AX155" i="32"/>
  <c r="AX154" i="32"/>
  <c r="AP94" i="32" l="1"/>
  <c r="AP93" i="32"/>
  <c r="AP92" i="32"/>
  <c r="AP91" i="32"/>
  <c r="AP90" i="32"/>
  <c r="AP89" i="32"/>
  <c r="AP88" i="32"/>
  <c r="AP87" i="32"/>
  <c r="AP86" i="32"/>
  <c r="AP85" i="32"/>
  <c r="AP84" i="32"/>
  <c r="AP83" i="32"/>
  <c r="AP82" i="32"/>
  <c r="AP81" i="32"/>
  <c r="AP80" i="32"/>
  <c r="H46" i="27" l="1"/>
  <c r="H54" i="27"/>
  <c r="F54" i="27"/>
  <c r="F46" i="27"/>
  <c r="G46" i="27"/>
  <c r="G54" i="27"/>
  <c r="CB149" i="32"/>
  <c r="L54" i="44"/>
  <c r="K54" i="44"/>
  <c r="I54" i="44"/>
  <c r="M54" i="44" l="1"/>
  <c r="X66" i="44"/>
  <c r="Y66" i="44"/>
  <c r="Z66" i="44"/>
  <c r="W66" i="44"/>
  <c r="AZ117" i="32"/>
  <c r="BJ117" i="32" s="1"/>
  <c r="BT117" i="32" s="1"/>
  <c r="CD117" i="32" s="1"/>
  <c r="AZ113" i="32"/>
  <c r="BJ113" i="32" s="1"/>
  <c r="BT113" i="32" s="1"/>
  <c r="CD113" i="32" s="1"/>
  <c r="AZ112" i="32"/>
  <c r="BJ112" i="32" s="1"/>
  <c r="BT112" i="32" s="1"/>
  <c r="CD112" i="32" s="1"/>
  <c r="F19" i="45"/>
  <c r="D71" i="19" l="1"/>
  <c r="C33" i="19"/>
  <c r="C29" i="19"/>
  <c r="C39" i="19"/>
  <c r="C48" i="19"/>
  <c r="C52" i="19"/>
  <c r="C56" i="19"/>
  <c r="L26" i="19"/>
  <c r="K26" i="19"/>
  <c r="J26" i="19"/>
  <c r="I26" i="19"/>
  <c r="H26" i="19"/>
  <c r="G26" i="19"/>
  <c r="F26" i="19"/>
  <c r="E26" i="19"/>
  <c r="D26" i="19"/>
  <c r="C27" i="19" l="1"/>
  <c r="C61" i="19"/>
  <c r="L19" i="19"/>
  <c r="K19" i="19"/>
  <c r="J19" i="19"/>
  <c r="I19" i="19"/>
  <c r="H19" i="19"/>
  <c r="G19" i="19"/>
  <c r="F19" i="19"/>
  <c r="E19" i="19"/>
  <c r="D19" i="19"/>
  <c r="C71" i="19" l="1"/>
  <c r="E9" i="19"/>
  <c r="F9" i="19" s="1"/>
  <c r="G9" i="19" s="1"/>
  <c r="H9" i="19" s="1"/>
  <c r="I9" i="19" s="1"/>
  <c r="J9" i="19" s="1"/>
  <c r="K9" i="19" s="1"/>
  <c r="L9" i="19" s="1"/>
  <c r="K100" i="19"/>
  <c r="L100" i="19" s="1"/>
  <c r="I100" i="19"/>
  <c r="G100" i="19"/>
  <c r="E100" i="19"/>
  <c r="C100" i="19"/>
  <c r="C98" i="19"/>
  <c r="K98" i="19"/>
  <c r="L98" i="19" s="1"/>
  <c r="I98" i="19"/>
  <c r="G98" i="19"/>
  <c r="D101" i="19"/>
  <c r="F99" i="19"/>
  <c r="G99" i="19" s="1"/>
  <c r="H99" i="19" s="1"/>
  <c r="I99" i="19" s="1"/>
  <c r="J99" i="19" s="1"/>
  <c r="K99" i="19" s="1"/>
  <c r="L99" i="19" s="1"/>
  <c r="C101" i="19" l="1"/>
  <c r="D102" i="19" s="1"/>
  <c r="E7" i="19" s="1"/>
  <c r="E8" i="19" s="1"/>
  <c r="I101" i="19"/>
  <c r="L101" i="19"/>
  <c r="E98" i="19"/>
  <c r="E101" i="19" s="1"/>
  <c r="E102" i="19" s="1"/>
  <c r="F7" i="19" s="1"/>
  <c r="F101" i="19"/>
  <c r="J101" i="19"/>
  <c r="G101" i="19"/>
  <c r="K101" i="19"/>
  <c r="H101" i="19"/>
  <c r="J102" i="19" l="1"/>
  <c r="K7" i="19" s="1"/>
  <c r="K102" i="19"/>
  <c r="L7" i="19" s="1"/>
  <c r="G102" i="19"/>
  <c r="H7" i="19" s="1"/>
  <c r="F102" i="19"/>
  <c r="G7" i="19" s="1"/>
  <c r="L102" i="19"/>
  <c r="H102" i="19"/>
  <c r="I7" i="19" s="1"/>
  <c r="I102" i="19"/>
  <c r="J7" i="19" s="1"/>
  <c r="AF4" i="55" l="1"/>
  <c r="AF5" i="55"/>
  <c r="AF6" i="55"/>
  <c r="AB9" i="55"/>
  <c r="D13" i="54"/>
  <c r="D15" i="54" s="1"/>
  <c r="E13" i="54"/>
  <c r="E15" i="54" s="1"/>
  <c r="F13" i="54"/>
  <c r="F15" i="54" s="1"/>
  <c r="G13" i="54"/>
  <c r="H13" i="54"/>
  <c r="I13" i="54"/>
  <c r="F16" i="54"/>
  <c r="F18" i="54" s="1"/>
  <c r="H16" i="54"/>
  <c r="H18" i="54" s="1"/>
  <c r="I16" i="54"/>
  <c r="I18" i="54" s="1"/>
  <c r="M17" i="54"/>
  <c r="P17" i="54"/>
  <c r="S17" i="54"/>
  <c r="D18" i="54"/>
  <c r="E18" i="54"/>
  <c r="G18" i="54"/>
  <c r="D19" i="54"/>
  <c r="E19" i="54"/>
  <c r="G19" i="54"/>
  <c r="H19" i="54"/>
  <c r="I19" i="54"/>
  <c r="D20" i="54"/>
  <c r="D23" i="54" s="1"/>
  <c r="E20" i="54"/>
  <c r="E23" i="54" s="1"/>
  <c r="F20" i="54"/>
  <c r="F23" i="54" s="1"/>
  <c r="G20" i="54"/>
  <c r="H20" i="54"/>
  <c r="I20" i="54"/>
  <c r="M28" i="54"/>
  <c r="P28" i="54"/>
  <c r="S28" i="54"/>
  <c r="M46" i="54"/>
  <c r="P46" i="54"/>
  <c r="S46" i="54"/>
  <c r="M56" i="54"/>
  <c r="P56" i="54"/>
  <c r="S56" i="54"/>
  <c r="M73" i="54"/>
  <c r="P73" i="54"/>
  <c r="S73" i="54"/>
  <c r="M83" i="54"/>
  <c r="P83" i="54"/>
  <c r="S83" i="54"/>
  <c r="M100" i="54"/>
  <c r="P100" i="54"/>
  <c r="S100" i="54"/>
  <c r="S111" i="54" s="1"/>
  <c r="M110" i="54"/>
  <c r="P110" i="54"/>
  <c r="S110" i="54"/>
  <c r="M127" i="54"/>
  <c r="P127" i="54"/>
  <c r="S127" i="54"/>
  <c r="M137" i="54"/>
  <c r="P137" i="54"/>
  <c r="S137" i="54"/>
  <c r="F4" i="53"/>
  <c r="H17" i="53"/>
  <c r="I17" i="53"/>
  <c r="H18" i="53"/>
  <c r="I18" i="53"/>
  <c r="H19" i="53"/>
  <c r="I19" i="53"/>
  <c r="B13" i="52"/>
  <c r="F5" i="53"/>
  <c r="D4" i="53"/>
  <c r="F6" i="53"/>
  <c r="D6" i="53"/>
  <c r="H87" i="27"/>
  <c r="G87" i="27"/>
  <c r="F87" i="27"/>
  <c r="E87" i="27"/>
  <c r="H77" i="27"/>
  <c r="G77" i="27"/>
  <c r="F77" i="27"/>
  <c r="E77" i="27"/>
  <c r="E8" i="24"/>
  <c r="E6" i="27"/>
  <c r="S138" i="54" l="1"/>
  <c r="E49" i="27"/>
  <c r="E41" i="27"/>
  <c r="P84" i="54"/>
  <c r="M57" i="54"/>
  <c r="P111" i="54"/>
  <c r="P57" i="54"/>
  <c r="M111" i="54"/>
  <c r="U73" i="54"/>
  <c r="G14" i="54"/>
  <c r="G23" i="54" s="1"/>
  <c r="G22" i="54"/>
  <c r="P138" i="54"/>
  <c r="M138" i="54"/>
  <c r="S57" i="54"/>
  <c r="P29" i="54"/>
  <c r="M29" i="54"/>
  <c r="I21" i="54"/>
  <c r="M84" i="54"/>
  <c r="U17" i="54"/>
  <c r="D27" i="54" s="1"/>
  <c r="E7" i="54" s="1"/>
  <c r="U100" i="54"/>
  <c r="G27" i="54" s="1"/>
  <c r="H7" i="54" s="1"/>
  <c r="E21" i="54"/>
  <c r="E24" i="54" s="1"/>
  <c r="F5" i="54" s="1"/>
  <c r="F22" i="54"/>
  <c r="U127" i="54"/>
  <c r="H27" i="54" s="1"/>
  <c r="I7" i="54" s="1"/>
  <c r="U46" i="54"/>
  <c r="H21" i="54"/>
  <c r="U83" i="54"/>
  <c r="F28" i="54" s="1"/>
  <c r="G6" i="54" s="1"/>
  <c r="G21" i="54"/>
  <c r="S29" i="54"/>
  <c r="U110" i="54"/>
  <c r="G28" i="54" s="1"/>
  <c r="H6" i="54" s="1"/>
  <c r="U28" i="54"/>
  <c r="D28" i="54" s="1"/>
  <c r="E6" i="54" s="1"/>
  <c r="F21" i="54"/>
  <c r="F24" i="54" s="1"/>
  <c r="G5" i="54" s="1"/>
  <c r="D21" i="54"/>
  <c r="D24" i="54" s="1"/>
  <c r="E5" i="54" s="1"/>
  <c r="H14" i="54"/>
  <c r="H15" i="54" s="1"/>
  <c r="G6" i="53"/>
  <c r="D8" i="53"/>
  <c r="F27" i="54"/>
  <c r="G7" i="54" s="1"/>
  <c r="C5" i="52"/>
  <c r="G4" i="53"/>
  <c r="E4" i="53"/>
  <c r="E6" i="53"/>
  <c r="E5" i="53"/>
  <c r="H5" i="53"/>
  <c r="F7" i="53"/>
  <c r="F21" i="53"/>
  <c r="G21" i="53"/>
  <c r="F8" i="53"/>
  <c r="G5" i="53"/>
  <c r="S84" i="54"/>
  <c r="C7" i="52"/>
  <c r="U137" i="54"/>
  <c r="H28" i="54" s="1"/>
  <c r="I6" i="54" s="1"/>
  <c r="U56" i="54"/>
  <c r="E28" i="54" s="1"/>
  <c r="F6" i="54" s="1"/>
  <c r="H22" i="54"/>
  <c r="D22" i="54"/>
  <c r="G15" i="54"/>
  <c r="I14" i="54"/>
  <c r="I23" i="54" s="1"/>
  <c r="D5" i="53"/>
  <c r="D7" i="53" s="1"/>
  <c r="C4" i="55" s="1"/>
  <c r="C10" i="55" s="1"/>
  <c r="C14" i="55" s="1"/>
  <c r="I22" i="54"/>
  <c r="E22" i="54"/>
  <c r="C9" i="52" l="1"/>
  <c r="E10" i="30" s="1"/>
  <c r="E14" i="30" s="1"/>
  <c r="G8" i="54"/>
  <c r="L4" i="55" s="1"/>
  <c r="L10" i="55" s="1"/>
  <c r="L14" i="55" s="1"/>
  <c r="G7" i="53"/>
  <c r="O4" i="55" s="1"/>
  <c r="O10" i="55" s="1"/>
  <c r="O14" i="55" s="1"/>
  <c r="U57" i="54"/>
  <c r="E29" i="54" s="1"/>
  <c r="H23" i="54"/>
  <c r="C6" i="52"/>
  <c r="C8" i="52" s="1"/>
  <c r="G8" i="53"/>
  <c r="O5" i="55" s="1"/>
  <c r="O11" i="55" s="1"/>
  <c r="O15" i="55" s="1"/>
  <c r="O16" i="55" s="1"/>
  <c r="U111" i="54"/>
  <c r="G29" i="54" s="1"/>
  <c r="E8" i="54"/>
  <c r="D4" i="55" s="1"/>
  <c r="D10" i="55" s="1"/>
  <c r="D14" i="55" s="1"/>
  <c r="H24" i="54"/>
  <c r="I5" i="54" s="1"/>
  <c r="I8" i="54" s="1"/>
  <c r="T4" i="55" s="1"/>
  <c r="T10" i="55" s="1"/>
  <c r="T14" i="55" s="1"/>
  <c r="G24" i="54"/>
  <c r="H5" i="54" s="1"/>
  <c r="H9" i="54" s="1"/>
  <c r="E27" i="54"/>
  <c r="F7" i="54" s="1"/>
  <c r="F9" i="54" s="1"/>
  <c r="H5" i="55" s="1"/>
  <c r="H11" i="55" s="1"/>
  <c r="H15" i="55" s="1"/>
  <c r="U29" i="54"/>
  <c r="D29" i="54" s="1"/>
  <c r="U84" i="54"/>
  <c r="F29" i="54" s="1"/>
  <c r="E9" i="54"/>
  <c r="G9" i="54"/>
  <c r="L5" i="55" s="1"/>
  <c r="L11" i="55" s="1"/>
  <c r="L15" i="55" s="1"/>
  <c r="K5" i="55"/>
  <c r="K11" i="55" s="1"/>
  <c r="K15" i="55" s="1"/>
  <c r="F9" i="53"/>
  <c r="K4" i="55"/>
  <c r="K10" i="55" s="1"/>
  <c r="K14" i="55" s="1"/>
  <c r="I15" i="54"/>
  <c r="I24" i="54" s="1"/>
  <c r="E7" i="53"/>
  <c r="G4" i="55" s="1"/>
  <c r="G10" i="55" s="1"/>
  <c r="G14" i="55" s="1"/>
  <c r="C5" i="55"/>
  <c r="C11" i="55" s="1"/>
  <c r="C15" i="55" s="1"/>
  <c r="C16" i="55" s="1"/>
  <c r="D9" i="53"/>
  <c r="C6" i="55" s="1"/>
  <c r="C12" i="55" s="1"/>
  <c r="H4" i="53"/>
  <c r="H7" i="53" s="1"/>
  <c r="H6" i="53"/>
  <c r="F8" i="54"/>
  <c r="H4" i="55" s="1"/>
  <c r="H10" i="55" s="1"/>
  <c r="H14" i="55" s="1"/>
  <c r="U138" i="54"/>
  <c r="H29" i="54" s="1"/>
  <c r="E8" i="53"/>
  <c r="W5" i="55" l="1"/>
  <c r="AB5" i="55" s="1"/>
  <c r="AB11" i="55" s="1"/>
  <c r="AB15" i="55" s="1"/>
  <c r="W4" i="55"/>
  <c r="E9" i="30"/>
  <c r="E13" i="30" s="1"/>
  <c r="E15" i="30" s="1"/>
  <c r="C10" i="52"/>
  <c r="G10" i="54"/>
  <c r="L6" i="55" s="1"/>
  <c r="L12" i="55" s="1"/>
  <c r="E10" i="54"/>
  <c r="D6" i="55" s="1"/>
  <c r="D12" i="55" s="1"/>
  <c r="G9" i="53"/>
  <c r="O6" i="55" s="1"/>
  <c r="O12" i="55" s="1"/>
  <c r="I9" i="54"/>
  <c r="T5" i="55" s="1"/>
  <c r="T11" i="55" s="1"/>
  <c r="T15" i="55" s="1"/>
  <c r="T16" i="55" s="1"/>
  <c r="K16" i="55"/>
  <c r="D5" i="55"/>
  <c r="D11" i="55" s="1"/>
  <c r="D15" i="55" s="1"/>
  <c r="D16" i="55" s="1"/>
  <c r="D18" i="55" s="1"/>
  <c r="H8" i="54"/>
  <c r="P4" i="55" s="1"/>
  <c r="P10" i="55" s="1"/>
  <c r="P14" i="55" s="1"/>
  <c r="L16" i="55"/>
  <c r="L18" i="55" s="1"/>
  <c r="S4" i="55"/>
  <c r="S10" i="55" s="1"/>
  <c r="S14" i="55" s="1"/>
  <c r="I7" i="53"/>
  <c r="H8" i="53"/>
  <c r="I8" i="53" s="1"/>
  <c r="K6" i="55"/>
  <c r="K12" i="55" s="1"/>
  <c r="E9" i="53"/>
  <c r="G6" i="55" s="1"/>
  <c r="G12" i="55" s="1"/>
  <c r="G5" i="55"/>
  <c r="G11" i="55" s="1"/>
  <c r="G15" i="55" s="1"/>
  <c r="G16" i="55" s="1"/>
  <c r="W11" i="55"/>
  <c r="W15" i="55" s="1"/>
  <c r="H16" i="55"/>
  <c r="P5" i="55"/>
  <c r="P11" i="55" s="1"/>
  <c r="P15" i="55" s="1"/>
  <c r="F10" i="54"/>
  <c r="H6" i="55" s="1"/>
  <c r="H12" i="55" s="1"/>
  <c r="Z5" i="55" l="1"/>
  <c r="Z11" i="55" s="1"/>
  <c r="Z15" i="55" s="1"/>
  <c r="C10" i="30"/>
  <c r="C14" i="30" s="1"/>
  <c r="Z4" i="55"/>
  <c r="Z10" i="55" s="1"/>
  <c r="Z14" i="55" s="1"/>
  <c r="Z16" i="55" s="1"/>
  <c r="C9" i="30"/>
  <c r="C13" i="30" s="1"/>
  <c r="W6" i="55"/>
  <c r="W12" i="55" s="1"/>
  <c r="E11" i="30"/>
  <c r="W10" i="55"/>
  <c r="W14" i="55" s="1"/>
  <c r="W16" i="55" s="1"/>
  <c r="AB4" i="55"/>
  <c r="AB10" i="55" s="1"/>
  <c r="AB14" i="55" s="1"/>
  <c r="AB16" i="55" s="1"/>
  <c r="J8" i="54"/>
  <c r="J9" i="54"/>
  <c r="I10" i="54"/>
  <c r="T6" i="55" s="1"/>
  <c r="T12" i="55" s="1"/>
  <c r="H10" i="54"/>
  <c r="P6" i="55" s="1"/>
  <c r="P12" i="55" s="1"/>
  <c r="P16" i="55"/>
  <c r="P18" i="55" s="1"/>
  <c r="H18" i="55"/>
  <c r="H9" i="53"/>
  <c r="S6" i="55" s="1"/>
  <c r="S12" i="55" s="1"/>
  <c r="S5" i="55"/>
  <c r="S11" i="55" s="1"/>
  <c r="S15" i="55" l="1"/>
  <c r="S16" i="55" s="1"/>
  <c r="T18" i="55" s="1"/>
  <c r="AB6" i="55"/>
  <c r="AB12" i="55" s="1"/>
  <c r="C15" i="30"/>
  <c r="AA4" i="55"/>
  <c r="D9" i="30"/>
  <c r="D13" i="30" s="1"/>
  <c r="F13" i="30" s="1"/>
  <c r="E8" i="27" s="1"/>
  <c r="AA5" i="55"/>
  <c r="D10" i="30"/>
  <c r="D14" i="30" s="1"/>
  <c r="J10" i="54"/>
  <c r="I9" i="53"/>
  <c r="Z6" i="55" l="1"/>
  <c r="C11" i="30"/>
  <c r="F14" i="30"/>
  <c r="E7" i="27" s="1"/>
  <c r="D15" i="30"/>
  <c r="F15" i="30" s="1"/>
  <c r="AA6" i="55"/>
  <c r="AA12" i="55" s="1"/>
  <c r="D11" i="30"/>
  <c r="AA11" i="55"/>
  <c r="AA15" i="55" s="1"/>
  <c r="AC5" i="55"/>
  <c r="AA10" i="55"/>
  <c r="AA14" i="55" s="1"/>
  <c r="AC14" i="55" s="1"/>
  <c r="AC4" i="55"/>
  <c r="Z12" i="55"/>
  <c r="AC6" i="55" l="1"/>
  <c r="AC15" i="55"/>
  <c r="AA16" i="55"/>
  <c r="AC16" i="55" s="1"/>
  <c r="B23" i="16"/>
  <c r="B24" i="16" s="1"/>
  <c r="B25" i="16" s="1"/>
  <c r="B26" i="16" s="1"/>
  <c r="B15" i="16"/>
  <c r="B16" i="16" s="1"/>
  <c r="B17" i="16" s="1"/>
  <c r="B18" i="16" s="1"/>
  <c r="B7" i="16"/>
  <c r="B8" i="16" s="1"/>
  <c r="B9" i="16" s="1"/>
  <c r="B10" i="16" s="1"/>
  <c r="C168" i="23"/>
  <c r="C157" i="23"/>
  <c r="C33" i="23"/>
  <c r="C24" i="23"/>
  <c r="C14" i="23"/>
  <c r="D4" i="23"/>
  <c r="D168" i="23" s="1"/>
  <c r="D24" i="23" l="1"/>
  <c r="D157" i="23"/>
  <c r="E4" i="23"/>
  <c r="D14" i="23"/>
  <c r="D33" i="23"/>
  <c r="L8" i="50"/>
  <c r="L15" i="50" s="1"/>
  <c r="F12" i="50"/>
  <c r="O12" i="50" s="1"/>
  <c r="I12" i="50"/>
  <c r="F13" i="50"/>
  <c r="O13" i="50" s="1"/>
  <c r="I13" i="50"/>
  <c r="F14" i="50"/>
  <c r="O14" i="50" s="1"/>
  <c r="I14" i="50"/>
  <c r="F15" i="50"/>
  <c r="O15" i="50" s="1"/>
  <c r="I15" i="50"/>
  <c r="F16" i="50"/>
  <c r="O16" i="50" s="1"/>
  <c r="I16" i="50"/>
  <c r="F17" i="50"/>
  <c r="O17" i="50" s="1"/>
  <c r="I17" i="50"/>
  <c r="F18" i="50"/>
  <c r="O18" i="50" s="1"/>
  <c r="I18" i="50"/>
  <c r="F19" i="50"/>
  <c r="O19" i="50" s="1"/>
  <c r="I19" i="50"/>
  <c r="F20" i="50"/>
  <c r="O20" i="50" s="1"/>
  <c r="I20" i="50"/>
  <c r="F21" i="50"/>
  <c r="O21" i="50" s="1"/>
  <c r="I21" i="50"/>
  <c r="F22" i="50"/>
  <c r="O22" i="50" s="1"/>
  <c r="I22" i="50"/>
  <c r="F23" i="50"/>
  <c r="O23" i="50" s="1"/>
  <c r="I23" i="50"/>
  <c r="F24" i="50"/>
  <c r="O24" i="50" s="1"/>
  <c r="I24" i="50"/>
  <c r="F25" i="50"/>
  <c r="O25" i="50" s="1"/>
  <c r="I25" i="50"/>
  <c r="F26" i="50"/>
  <c r="O26" i="50" s="1"/>
  <c r="I26" i="50"/>
  <c r="D67" i="50"/>
  <c r="D75" i="50" s="1"/>
  <c r="E31" i="50"/>
  <c r="K33" i="50"/>
  <c r="F39" i="50"/>
  <c r="O39" i="50" s="1"/>
  <c r="I39" i="50"/>
  <c r="F40" i="50"/>
  <c r="O40" i="50" s="1"/>
  <c r="I40" i="50"/>
  <c r="F41" i="50"/>
  <c r="O41" i="50" s="1"/>
  <c r="I41" i="50"/>
  <c r="D42" i="50"/>
  <c r="E42" i="50"/>
  <c r="G42" i="50"/>
  <c r="H42" i="50"/>
  <c r="K42" i="50"/>
  <c r="F49" i="50"/>
  <c r="O49" i="50" s="1"/>
  <c r="I49" i="50"/>
  <c r="F50" i="50"/>
  <c r="O50" i="50" s="1"/>
  <c r="I50" i="50"/>
  <c r="F51" i="50"/>
  <c r="O51" i="50" s="1"/>
  <c r="I51" i="50"/>
  <c r="F52" i="50"/>
  <c r="O52" i="50" s="1"/>
  <c r="I52" i="50"/>
  <c r="F53" i="50"/>
  <c r="O53" i="50" s="1"/>
  <c r="I53" i="50"/>
  <c r="F54" i="50"/>
  <c r="O54" i="50" s="1"/>
  <c r="I54" i="50"/>
  <c r="F55" i="50"/>
  <c r="O55" i="50" s="1"/>
  <c r="I55" i="50"/>
  <c r="F56" i="50"/>
  <c r="O56" i="50" s="1"/>
  <c r="I56" i="50"/>
  <c r="F57" i="50"/>
  <c r="O57" i="50" s="1"/>
  <c r="I57" i="50"/>
  <c r="D68" i="50"/>
  <c r="D81" i="50"/>
  <c r="O42" i="50" l="1"/>
  <c r="O58" i="50"/>
  <c r="O33" i="50"/>
  <c r="O29" i="50"/>
  <c r="G67" i="50" s="1"/>
  <c r="D69" i="50"/>
  <c r="D76" i="50" s="1"/>
  <c r="K59" i="50"/>
  <c r="I58" i="50"/>
  <c r="F58" i="50"/>
  <c r="L57" i="50"/>
  <c r="F29" i="50"/>
  <c r="I29" i="50"/>
  <c r="J15" i="50"/>
  <c r="L53" i="50"/>
  <c r="J41" i="50"/>
  <c r="J51" i="50"/>
  <c r="J26" i="50"/>
  <c r="J20" i="50"/>
  <c r="J25" i="50"/>
  <c r="J24" i="50"/>
  <c r="J12" i="50"/>
  <c r="J23" i="50"/>
  <c r="J21" i="50"/>
  <c r="J17" i="50"/>
  <c r="J55" i="50"/>
  <c r="J40" i="50"/>
  <c r="J19" i="50"/>
  <c r="J14" i="50"/>
  <c r="J18" i="50"/>
  <c r="J57" i="50"/>
  <c r="J52" i="50"/>
  <c r="E67" i="50"/>
  <c r="J22" i="50"/>
  <c r="I42" i="50"/>
  <c r="J54" i="50"/>
  <c r="J16" i="50"/>
  <c r="J56" i="50"/>
  <c r="L24" i="50"/>
  <c r="K32" i="50"/>
  <c r="L20" i="50"/>
  <c r="E68" i="50"/>
  <c r="L39" i="50"/>
  <c r="J53" i="50"/>
  <c r="J39" i="50"/>
  <c r="F33" i="50"/>
  <c r="F42" i="50"/>
  <c r="J49" i="50"/>
  <c r="F4" i="23"/>
  <c r="E168" i="23"/>
  <c r="E33" i="23"/>
  <c r="E14" i="23"/>
  <c r="E157" i="23"/>
  <c r="E24" i="23"/>
  <c r="J13" i="50"/>
  <c r="L25" i="50"/>
  <c r="L21" i="50"/>
  <c r="L55" i="50"/>
  <c r="L51" i="50"/>
  <c r="L41" i="50"/>
  <c r="L26" i="50"/>
  <c r="L22" i="50"/>
  <c r="L18" i="50"/>
  <c r="L14" i="50"/>
  <c r="L16" i="50"/>
  <c r="L12" i="50"/>
  <c r="L56" i="50"/>
  <c r="L52" i="50"/>
  <c r="L50" i="50"/>
  <c r="L49" i="50"/>
  <c r="L40" i="50"/>
  <c r="L17" i="50"/>
  <c r="L13" i="50"/>
  <c r="L54" i="50"/>
  <c r="L23" i="50"/>
  <c r="L19" i="50"/>
  <c r="D82" i="50"/>
  <c r="D83" i="50" s="1"/>
  <c r="E81" i="50"/>
  <c r="F59" i="50" l="1"/>
  <c r="L59" i="50" s="1"/>
  <c r="O32" i="50"/>
  <c r="D5" i="50"/>
  <c r="G68" i="50"/>
  <c r="G69" i="50"/>
  <c r="D6" i="50"/>
  <c r="E82" i="50"/>
  <c r="E83" i="50" s="1"/>
  <c r="E84" i="50" s="1"/>
  <c r="F68" i="50"/>
  <c r="F82" i="50" s="1"/>
  <c r="F83" i="50" s="1"/>
  <c r="F84" i="50" s="1"/>
  <c r="E75" i="50"/>
  <c r="F67" i="50"/>
  <c r="L58" i="50"/>
  <c r="L29" i="50"/>
  <c r="F32" i="50"/>
  <c r="J58" i="50"/>
  <c r="J29" i="50"/>
  <c r="E69" i="50"/>
  <c r="F69" i="50" s="1"/>
  <c r="F76" i="50" s="1"/>
  <c r="J42" i="50"/>
  <c r="G4" i="23"/>
  <c r="F33" i="23"/>
  <c r="F24" i="23"/>
  <c r="F157" i="23"/>
  <c r="F168" i="23"/>
  <c r="F14" i="23"/>
  <c r="L42" i="50"/>
  <c r="D3" i="50" l="1"/>
  <c r="O60" i="50"/>
  <c r="F75" i="50"/>
  <c r="F77" i="50" s="1"/>
  <c r="F70" i="50"/>
  <c r="E76" i="50"/>
  <c r="H4" i="23"/>
  <c r="G33" i="23"/>
  <c r="G168" i="23"/>
  <c r="G157" i="23"/>
  <c r="G24" i="23"/>
  <c r="G14" i="23"/>
  <c r="H157" i="23" l="1"/>
  <c r="H24" i="23"/>
  <c r="H168" i="23"/>
  <c r="H33" i="23"/>
  <c r="H14" i="23"/>
  <c r="P16" i="48" l="1"/>
  <c r="M16" i="48"/>
  <c r="H17" i="48"/>
  <c r="H18" i="48"/>
  <c r="H19" i="48"/>
  <c r="H20" i="48"/>
  <c r="M20" i="48"/>
  <c r="H21" i="48"/>
  <c r="M21" i="48"/>
  <c r="H22" i="48"/>
  <c r="M22" i="48"/>
  <c r="P22" i="48"/>
  <c r="H23" i="48"/>
  <c r="H24" i="48"/>
  <c r="M24" i="48"/>
  <c r="H25" i="48"/>
  <c r="H26" i="48"/>
  <c r="H27" i="48"/>
  <c r="M27" i="48"/>
  <c r="H28" i="48"/>
  <c r="M28" i="48"/>
  <c r="H29" i="48"/>
  <c r="M29" i="48"/>
  <c r="H30" i="48"/>
  <c r="M30" i="48"/>
  <c r="P30" i="48"/>
  <c r="H31" i="48"/>
  <c r="M31" i="48"/>
  <c r="P31" i="48"/>
  <c r="H32" i="48"/>
  <c r="M32" i="48"/>
  <c r="P32" i="48"/>
  <c r="H33" i="48"/>
  <c r="M33" i="48"/>
  <c r="P33" i="48"/>
  <c r="H34" i="48"/>
  <c r="M34" i="48"/>
  <c r="P34" i="48"/>
  <c r="M35" i="48"/>
  <c r="P35" i="48"/>
  <c r="G36" i="48"/>
  <c r="H36" i="48" s="1"/>
  <c r="H38" i="48"/>
  <c r="H39" i="48"/>
  <c r="M39" i="48"/>
  <c r="H46" i="48"/>
  <c r="M46" i="48"/>
  <c r="H49" i="48"/>
  <c r="M49" i="48"/>
  <c r="J50" i="48"/>
  <c r="L50" i="48"/>
  <c r="N50" i="48" s="1"/>
  <c r="O50" i="48"/>
  <c r="S51" i="48"/>
  <c r="T51" i="48"/>
  <c r="H52" i="48"/>
  <c r="M52" i="48"/>
  <c r="P52" i="48"/>
  <c r="H53" i="48"/>
  <c r="M53" i="48"/>
  <c r="P53" i="48"/>
  <c r="H54" i="48"/>
  <c r="M54" i="48"/>
  <c r="P54" i="48"/>
  <c r="H55" i="48"/>
  <c r="M55" i="48"/>
  <c r="P55" i="48"/>
  <c r="J56" i="48"/>
  <c r="L56" i="48"/>
  <c r="N56" i="48" s="1"/>
  <c r="O56" i="48"/>
  <c r="S57" i="48"/>
  <c r="T57" i="48"/>
  <c r="H58" i="48"/>
  <c r="M58" i="48"/>
  <c r="H59" i="48"/>
  <c r="M59" i="48"/>
  <c r="P59" i="48"/>
  <c r="H60" i="48"/>
  <c r="M60" i="48"/>
  <c r="P60" i="48"/>
  <c r="Q60" i="48"/>
  <c r="H61" i="48"/>
  <c r="Q61" i="48"/>
  <c r="H62" i="48"/>
  <c r="H63" i="48"/>
  <c r="H64" i="48"/>
  <c r="M64" i="48"/>
  <c r="J65" i="48"/>
  <c r="L65" i="48"/>
  <c r="N65" i="48" s="1"/>
  <c r="O65" i="48"/>
  <c r="S66" i="48"/>
  <c r="T66" i="48"/>
  <c r="H67" i="48"/>
  <c r="M67" i="48"/>
  <c r="P67" i="48"/>
  <c r="M68" i="48"/>
  <c r="P68" i="48"/>
  <c r="J69" i="48"/>
  <c r="L69" i="48"/>
  <c r="N69" i="48" s="1"/>
  <c r="O69" i="48"/>
  <c r="H79" i="48"/>
  <c r="M79" i="48"/>
  <c r="H80" i="48"/>
  <c r="M80" i="48"/>
  <c r="H81" i="48"/>
  <c r="M81" i="48"/>
  <c r="P81" i="48"/>
  <c r="H82" i="48"/>
  <c r="M82" i="48"/>
  <c r="P82" i="48"/>
  <c r="S84" i="48"/>
  <c r="T84" i="48"/>
  <c r="H83" i="48" l="1"/>
  <c r="P21" i="48"/>
  <c r="H68" i="48"/>
  <c r="H69" i="48" s="1"/>
  <c r="M83" i="48"/>
  <c r="M69" i="48"/>
  <c r="M56" i="48"/>
  <c r="J70" i="48"/>
  <c r="E65" i="50" s="1"/>
  <c r="M65" i="48"/>
  <c r="H56" i="48"/>
  <c r="M50" i="48"/>
  <c r="O70" i="48"/>
  <c r="H50" i="48"/>
  <c r="P29" i="48"/>
  <c r="P20" i="48"/>
  <c r="H65" i="48"/>
  <c r="P24" i="48"/>
  <c r="P80" i="48"/>
  <c r="P79" i="48"/>
  <c r="P64" i="48"/>
  <c r="P58" i="48"/>
  <c r="P49" i="48"/>
  <c r="P46" i="48"/>
  <c r="P44" i="48"/>
  <c r="P39" i="48"/>
  <c r="P56" i="48"/>
  <c r="P28" i="48"/>
  <c r="P27" i="48"/>
  <c r="P23" i="48"/>
  <c r="P69" i="48"/>
  <c r="L70" i="48"/>
  <c r="E74" i="50" l="1"/>
  <c r="E77" i="50" s="1"/>
  <c r="E70" i="50"/>
  <c r="L85" i="48"/>
  <c r="N85" i="48" s="1"/>
  <c r="N70" i="48"/>
  <c r="O85" i="48"/>
  <c r="D65" i="50"/>
  <c r="P83" i="48"/>
  <c r="J85" i="48"/>
  <c r="P65" i="48"/>
  <c r="H70" i="48"/>
  <c r="H85" i="48" s="1"/>
  <c r="M70" i="48"/>
  <c r="P50" i="48"/>
  <c r="D74" i="50" l="1"/>
  <c r="D77" i="50" s="1"/>
  <c r="F78" i="50" s="1"/>
  <c r="D70" i="50"/>
  <c r="F71" i="50" s="1"/>
  <c r="M85" i="48"/>
  <c r="P70" i="48"/>
  <c r="P85" i="48" s="1"/>
  <c r="AJ34" i="37"/>
  <c r="H32" i="59" s="1"/>
  <c r="AJ27" i="37"/>
  <c r="H22" i="59" s="1"/>
  <c r="N23" i="37"/>
  <c r="E78" i="50" l="1"/>
  <c r="E71" i="50"/>
  <c r="AD160" i="18"/>
  <c r="AC160" i="18"/>
  <c r="AB160" i="18"/>
  <c r="W160" i="18"/>
  <c r="V160" i="18"/>
  <c r="U160" i="18"/>
  <c r="AD159" i="18"/>
  <c r="AC159" i="18"/>
  <c r="AM159" i="18" s="1"/>
  <c r="AW159" i="18" s="1"/>
  <c r="AB159" i="18"/>
  <c r="AL159" i="18" s="1"/>
  <c r="AV159" i="18" s="1"/>
  <c r="AA159" i="18"/>
  <c r="AK159" i="18" s="1"/>
  <c r="AU159" i="18" s="1"/>
  <c r="Z159" i="18"/>
  <c r="AJ159" i="18" s="1"/>
  <c r="AT159" i="18" s="1"/>
  <c r="Y159" i="18"/>
  <c r="AI159" i="18" s="1"/>
  <c r="AS159" i="18" s="1"/>
  <c r="X159" i="18"/>
  <c r="W159" i="18"/>
  <c r="AG159" i="18" s="1"/>
  <c r="AQ159" i="18" s="1"/>
  <c r="V159" i="18"/>
  <c r="U159" i="18"/>
  <c r="AD158" i="18"/>
  <c r="AN158" i="18" s="1"/>
  <c r="AX158" i="18" s="1"/>
  <c r="AC158" i="18"/>
  <c r="AM158" i="18" s="1"/>
  <c r="AW158" i="18" s="1"/>
  <c r="AB158" i="18"/>
  <c r="W158" i="18"/>
  <c r="V158" i="18"/>
  <c r="AF158" i="18" s="1"/>
  <c r="U158" i="18"/>
  <c r="AE158" i="18" s="1"/>
  <c r="AN157" i="18"/>
  <c r="AM157" i="18"/>
  <c r="AI157" i="18"/>
  <c r="AF157" i="18"/>
  <c r="AE157" i="18"/>
  <c r="AN156" i="18"/>
  <c r="AM156" i="18"/>
  <c r="AL156" i="18"/>
  <c r="AK156" i="18"/>
  <c r="AD155" i="18"/>
  <c r="AN155" i="18" s="1"/>
  <c r="AX155" i="18" s="1"/>
  <c r="AC155" i="18"/>
  <c r="AM155" i="18" s="1"/>
  <c r="AW155" i="18" s="1"/>
  <c r="AB155" i="18"/>
  <c r="AL155" i="18" s="1"/>
  <c r="AV155" i="18" s="1"/>
  <c r="AA155" i="18"/>
  <c r="AK155" i="18" s="1"/>
  <c r="AU155" i="18" s="1"/>
  <c r="Z155" i="18"/>
  <c r="AJ155" i="18" s="1"/>
  <c r="AT155" i="18" s="1"/>
  <c r="Y155" i="18"/>
  <c r="AI155" i="18" s="1"/>
  <c r="AS155" i="18" s="1"/>
  <c r="W155" i="18"/>
  <c r="AG155" i="18" s="1"/>
  <c r="AQ155" i="18" s="1"/>
  <c r="V155" i="18"/>
  <c r="U155" i="18"/>
  <c r="AE155" i="18" s="1"/>
  <c r="AD154" i="18"/>
  <c r="AC154" i="18"/>
  <c r="AM154" i="18" s="1"/>
  <c r="AW154" i="18" s="1"/>
  <c r="AB154" i="18"/>
  <c r="AL154" i="18" s="1"/>
  <c r="AV154" i="18" s="1"/>
  <c r="AA154" i="18"/>
  <c r="AK154" i="18" s="1"/>
  <c r="AU154" i="18" s="1"/>
  <c r="W154" i="18"/>
  <c r="V154" i="18"/>
  <c r="AF154" i="18" s="1"/>
  <c r="U154" i="18"/>
  <c r="AE154" i="18" s="1"/>
  <c r="AD153" i="18"/>
  <c r="AN153" i="18" s="1"/>
  <c r="AX153" i="18" s="1"/>
  <c r="AC153" i="18"/>
  <c r="AM153" i="18" s="1"/>
  <c r="AW153" i="18" s="1"/>
  <c r="AB153" i="18"/>
  <c r="AA153" i="18"/>
  <c r="Z153" i="18"/>
  <c r="AJ153" i="18" s="1"/>
  <c r="AT153" i="18" s="1"/>
  <c r="W153" i="18"/>
  <c r="V153" i="18"/>
  <c r="AF153" i="18" s="1"/>
  <c r="U153" i="18"/>
  <c r="AD152" i="18"/>
  <c r="AC152" i="18"/>
  <c r="AM152" i="18" s="1"/>
  <c r="AB152" i="18"/>
  <c r="AL152" i="18" s="1"/>
  <c r="AA152" i="18"/>
  <c r="AK152" i="18" s="1"/>
  <c r="Z152" i="18"/>
  <c r="W152" i="18"/>
  <c r="AG152" i="18" s="1"/>
  <c r="V152" i="18"/>
  <c r="AF152" i="18" s="1"/>
  <c r="U152" i="18"/>
  <c r="AD145" i="18"/>
  <c r="AC145" i="18"/>
  <c r="AB145" i="18"/>
  <c r="AL145" i="18" s="1"/>
  <c r="AA145" i="18"/>
  <c r="Z145" i="18"/>
  <c r="AJ145" i="18" s="1"/>
  <c r="Y145" i="18"/>
  <c r="AI145" i="18" s="1"/>
  <c r="X145" i="18"/>
  <c r="AH145" i="18" s="1"/>
  <c r="W145" i="18"/>
  <c r="AG145" i="18" s="1"/>
  <c r="V145" i="18"/>
  <c r="AF145" i="18" s="1"/>
  <c r="U145" i="18"/>
  <c r="AE145" i="18" s="1"/>
  <c r="AD144" i="18"/>
  <c r="AN144" i="18" s="1"/>
  <c r="AC144" i="18"/>
  <c r="AM144" i="18" s="1"/>
  <c r="AB144" i="18"/>
  <c r="AL144" i="18" s="1"/>
  <c r="AA144" i="18"/>
  <c r="Z144" i="18"/>
  <c r="AJ144" i="18" s="1"/>
  <c r="Y144" i="18"/>
  <c r="AI144" i="18" s="1"/>
  <c r="X144" i="18"/>
  <c r="AH144" i="18" s="1"/>
  <c r="W144" i="18"/>
  <c r="AG144" i="18" s="1"/>
  <c r="V144" i="18"/>
  <c r="AF144" i="18" s="1"/>
  <c r="U144" i="18"/>
  <c r="AE144" i="18" s="1"/>
  <c r="AD143" i="18"/>
  <c r="AN143" i="18" s="1"/>
  <c r="AC143" i="18"/>
  <c r="AM143" i="18" s="1"/>
  <c r="AB143" i="18"/>
  <c r="AL143" i="18" s="1"/>
  <c r="AA143" i="18"/>
  <c r="AK143" i="18" s="1"/>
  <c r="Z143" i="18"/>
  <c r="Y143" i="18"/>
  <c r="X143" i="18"/>
  <c r="W143" i="18"/>
  <c r="V143" i="18"/>
  <c r="AF143" i="18" s="1"/>
  <c r="U143" i="18"/>
  <c r="AD142" i="18"/>
  <c r="AN142" i="18" s="1"/>
  <c r="AC142" i="18"/>
  <c r="AM142" i="18" s="1"/>
  <c r="AB142" i="18"/>
  <c r="AL142" i="18" s="1"/>
  <c r="AA142" i="18"/>
  <c r="AK142" i="18" s="1"/>
  <c r="Z142" i="18"/>
  <c r="AJ142" i="18" s="1"/>
  <c r="Y142" i="18"/>
  <c r="AI142" i="18" s="1"/>
  <c r="X142" i="18"/>
  <c r="AH142" i="18" s="1"/>
  <c r="W142" i="18"/>
  <c r="V142" i="18"/>
  <c r="AF142" i="18" s="1"/>
  <c r="U142" i="18"/>
  <c r="AE142" i="18" s="1"/>
  <c r="AD141" i="18"/>
  <c r="AN141" i="18" s="1"/>
  <c r="AC141" i="18"/>
  <c r="AM141" i="18" s="1"/>
  <c r="AB141" i="18"/>
  <c r="AL141" i="18" s="1"/>
  <c r="AA141" i="18"/>
  <c r="AK141" i="18" s="1"/>
  <c r="Z141" i="18"/>
  <c r="AJ141" i="18" s="1"/>
  <c r="Y141" i="18"/>
  <c r="AI141" i="18" s="1"/>
  <c r="X141" i="18"/>
  <c r="AH141" i="18" s="1"/>
  <c r="W141" i="18"/>
  <c r="V141" i="18"/>
  <c r="AF141" i="18" s="1"/>
  <c r="U141" i="18"/>
  <c r="AE141" i="18" s="1"/>
  <c r="AD140" i="18"/>
  <c r="AN140" i="18" s="1"/>
  <c r="AC140" i="18"/>
  <c r="AM140" i="18" s="1"/>
  <c r="AB140" i="18"/>
  <c r="AL140" i="18" s="1"/>
  <c r="AA140" i="18"/>
  <c r="AK140" i="18" s="1"/>
  <c r="Z140" i="18"/>
  <c r="AJ140" i="18" s="1"/>
  <c r="Y140" i="18"/>
  <c r="AI140" i="18" s="1"/>
  <c r="X140" i="18"/>
  <c r="AH140" i="18" s="1"/>
  <c r="W140" i="18"/>
  <c r="V140" i="18"/>
  <c r="AF140" i="18" s="1"/>
  <c r="U140" i="18"/>
  <c r="AE140" i="18" s="1"/>
  <c r="AD139" i="18"/>
  <c r="AN139" i="18" s="1"/>
  <c r="AC139" i="18"/>
  <c r="AM139" i="18" s="1"/>
  <c r="AB139" i="18"/>
  <c r="AL139" i="18" s="1"/>
  <c r="AA139" i="18"/>
  <c r="AK139" i="18" s="1"/>
  <c r="Z139" i="18"/>
  <c r="AJ139" i="18" s="1"/>
  <c r="Y139" i="18"/>
  <c r="AI139" i="18" s="1"/>
  <c r="X139" i="18"/>
  <c r="AH139" i="18" s="1"/>
  <c r="W139" i="18"/>
  <c r="V139" i="18"/>
  <c r="AF139" i="18" s="1"/>
  <c r="U139" i="18"/>
  <c r="AE139" i="18" s="1"/>
  <c r="AD138" i="18"/>
  <c r="AN138" i="18" s="1"/>
  <c r="AC138" i="18"/>
  <c r="AM138" i="18" s="1"/>
  <c r="AB138" i="18"/>
  <c r="AL138" i="18" s="1"/>
  <c r="AA138" i="18"/>
  <c r="AK138" i="18" s="1"/>
  <c r="Z138" i="18"/>
  <c r="AJ138" i="18" s="1"/>
  <c r="Y138" i="18"/>
  <c r="AI138" i="18" s="1"/>
  <c r="X138" i="18"/>
  <c r="AH138" i="18" s="1"/>
  <c r="W138" i="18"/>
  <c r="V138" i="18"/>
  <c r="AF138" i="18" s="1"/>
  <c r="U138" i="18"/>
  <c r="AE138" i="18" s="1"/>
  <c r="AD137" i="18"/>
  <c r="AN137" i="18" s="1"/>
  <c r="AC137" i="18"/>
  <c r="AM137" i="18" s="1"/>
  <c r="AB137" i="18"/>
  <c r="AL137" i="18" s="1"/>
  <c r="AA137" i="18"/>
  <c r="AK137" i="18" s="1"/>
  <c r="Z137" i="18"/>
  <c r="AJ137" i="18" s="1"/>
  <c r="Y137" i="18"/>
  <c r="AI137" i="18" s="1"/>
  <c r="X137" i="18"/>
  <c r="AH137" i="18" s="1"/>
  <c r="W137" i="18"/>
  <c r="V137" i="18"/>
  <c r="AF137" i="18" s="1"/>
  <c r="U137" i="18"/>
  <c r="AE137" i="18" s="1"/>
  <c r="AD133" i="18"/>
  <c r="AN133" i="18" s="1"/>
  <c r="AC133" i="18"/>
  <c r="AB133" i="18"/>
  <c r="AL133" i="18" s="1"/>
  <c r="AA133" i="18"/>
  <c r="AK133" i="18" s="1"/>
  <c r="Z133" i="18"/>
  <c r="AJ133" i="18" s="1"/>
  <c r="Y133" i="18"/>
  <c r="X133" i="18"/>
  <c r="AH133" i="18" s="1"/>
  <c r="W133" i="18"/>
  <c r="V133" i="18"/>
  <c r="AF133" i="18" s="1"/>
  <c r="U133" i="18"/>
  <c r="AE133" i="18" s="1"/>
  <c r="AD132" i="18"/>
  <c r="AN132" i="18" s="1"/>
  <c r="AC132" i="18"/>
  <c r="AM132" i="18" s="1"/>
  <c r="AB132" i="18"/>
  <c r="AL132" i="18" s="1"/>
  <c r="AA132" i="18"/>
  <c r="Z132" i="18"/>
  <c r="AJ132" i="18" s="1"/>
  <c r="Y132" i="18"/>
  <c r="AI132" i="18" s="1"/>
  <c r="X132" i="18"/>
  <c r="AH132" i="18" s="1"/>
  <c r="W132" i="18"/>
  <c r="AG132" i="18" s="1"/>
  <c r="V132" i="18"/>
  <c r="AF132" i="18" s="1"/>
  <c r="U132" i="18"/>
  <c r="AE132" i="18" s="1"/>
  <c r="AD131" i="18"/>
  <c r="AN131" i="18" s="1"/>
  <c r="AC131" i="18"/>
  <c r="AM131" i="18" s="1"/>
  <c r="AB131" i="18"/>
  <c r="AL131" i="18" s="1"/>
  <c r="AA131" i="18"/>
  <c r="AK131" i="18" s="1"/>
  <c r="Z131" i="18"/>
  <c r="Y131" i="18"/>
  <c r="AI131" i="18" s="1"/>
  <c r="X131" i="18"/>
  <c r="AH131" i="18" s="1"/>
  <c r="W131" i="18"/>
  <c r="AG131" i="18" s="1"/>
  <c r="V131" i="18"/>
  <c r="AF131" i="18" s="1"/>
  <c r="U131" i="18"/>
  <c r="AE131" i="18" s="1"/>
  <c r="AG128" i="18"/>
  <c r="AQ128" i="18" s="1"/>
  <c r="AF128" i="18"/>
  <c r="AN127" i="18"/>
  <c r="AX127" i="18" s="1"/>
  <c r="AM127" i="18"/>
  <c r="AW127" i="18" s="1"/>
  <c r="AL127" i="18"/>
  <c r="AV127" i="18" s="1"/>
  <c r="AM126" i="18"/>
  <c r="AW126" i="18" s="1"/>
  <c r="AK126" i="18"/>
  <c r="AU126" i="18" s="1"/>
  <c r="AJ126" i="18"/>
  <c r="AT126" i="18" s="1"/>
  <c r="AG126" i="18"/>
  <c r="AQ126" i="18" s="1"/>
  <c r="AF126" i="18"/>
  <c r="AL125" i="18"/>
  <c r="AI125" i="18"/>
  <c r="AG125" i="18"/>
  <c r="AF125" i="18"/>
  <c r="AE125" i="18"/>
  <c r="AN124" i="18"/>
  <c r="AM124" i="18"/>
  <c r="AI124" i="18"/>
  <c r="AH124" i="18"/>
  <c r="AG124" i="18"/>
  <c r="AE124" i="18"/>
  <c r="AN123" i="18"/>
  <c r="AM123" i="18"/>
  <c r="AL123" i="18"/>
  <c r="AK123" i="18"/>
  <c r="AH123" i="18"/>
  <c r="AG123" i="18"/>
  <c r="AF123" i="18"/>
  <c r="AE123" i="18"/>
  <c r="AM122" i="18"/>
  <c r="AL122" i="18"/>
  <c r="AK122" i="18"/>
  <c r="AI122" i="18"/>
  <c r="AF122" i="18"/>
  <c r="AE122" i="18"/>
  <c r="AN121" i="18"/>
  <c r="AM121" i="18"/>
  <c r="AK121" i="18"/>
  <c r="AJ121" i="18"/>
  <c r="AH121" i="18"/>
  <c r="AG121" i="18"/>
  <c r="AN120" i="18"/>
  <c r="AM120" i="18"/>
  <c r="AL120" i="18"/>
  <c r="AK120" i="18"/>
  <c r="AH120" i="18"/>
  <c r="AG120" i="18"/>
  <c r="AF120" i="18"/>
  <c r="AE120" i="18"/>
  <c r="AL119" i="18"/>
  <c r="AK119" i="18"/>
  <c r="AJ119" i="18"/>
  <c r="AG119" i="18"/>
  <c r="AF119" i="18"/>
  <c r="AE119" i="18"/>
  <c r="AN118" i="18"/>
  <c r="AM118" i="18"/>
  <c r="AJ118" i="18"/>
  <c r="AH118" i="18"/>
  <c r="AG118" i="18"/>
  <c r="AE118" i="18"/>
  <c r="AN117" i="18"/>
  <c r="AM117" i="18"/>
  <c r="AL117" i="18"/>
  <c r="AH117" i="18"/>
  <c r="AG117" i="18"/>
  <c r="AF117" i="18"/>
  <c r="AE117" i="18"/>
  <c r="AM116" i="18"/>
  <c r="AL116" i="18"/>
  <c r="AK116" i="18"/>
  <c r="AJ116" i="18"/>
  <c r="AF116" i="18"/>
  <c r="AE116" i="18"/>
  <c r="AN115" i="18"/>
  <c r="AM115" i="18"/>
  <c r="AK115" i="18"/>
  <c r="AJ115" i="18"/>
  <c r="AH115" i="18"/>
  <c r="AN114" i="18"/>
  <c r="AM114" i="18"/>
  <c r="AL114" i="18"/>
  <c r="AK114" i="18"/>
  <c r="AH114" i="18"/>
  <c r="AG114" i="18"/>
  <c r="AF114" i="18"/>
  <c r="AE114" i="18"/>
  <c r="AL113" i="18"/>
  <c r="AK113" i="18"/>
  <c r="AJ113" i="18"/>
  <c r="AG113" i="18"/>
  <c r="AF113" i="18"/>
  <c r="AE113" i="18"/>
  <c r="AN112" i="18"/>
  <c r="AM112" i="18"/>
  <c r="AH112" i="18"/>
  <c r="AG112" i="18"/>
  <c r="AE112" i="18"/>
  <c r="AN111" i="18"/>
  <c r="AM111" i="18"/>
  <c r="AL111" i="18"/>
  <c r="AH111" i="18"/>
  <c r="AE111" i="18"/>
  <c r="AL110" i="18"/>
  <c r="AK110" i="18"/>
  <c r="AJ110" i="18"/>
  <c r="AF110" i="18"/>
  <c r="AE110" i="18"/>
  <c r="AN109" i="18"/>
  <c r="AM109" i="18"/>
  <c r="AK109" i="18"/>
  <c r="AJ109" i="18"/>
  <c r="AH109" i="18"/>
  <c r="AG109" i="18"/>
  <c r="AN108" i="18"/>
  <c r="AM108" i="18"/>
  <c r="AL108" i="18"/>
  <c r="AK108" i="18"/>
  <c r="AH108" i="18"/>
  <c r="AG108" i="18"/>
  <c r="AF108" i="18"/>
  <c r="AE108" i="18"/>
  <c r="AL107" i="18"/>
  <c r="AK107" i="18"/>
  <c r="AJ107" i="18"/>
  <c r="AG107" i="18"/>
  <c r="AF107" i="18"/>
  <c r="AE107" i="18"/>
  <c r="AN106" i="18"/>
  <c r="AM106" i="18"/>
  <c r="AJ106" i="18"/>
  <c r="AH106" i="18"/>
  <c r="AG106" i="18"/>
  <c r="AE106" i="18"/>
  <c r="AN105" i="18"/>
  <c r="AM105" i="18"/>
  <c r="AL105" i="18"/>
  <c r="AK105" i="18"/>
  <c r="AG105" i="18"/>
  <c r="AF105" i="18"/>
  <c r="AE105" i="18"/>
  <c r="AM104" i="18"/>
  <c r="AL104" i="18"/>
  <c r="AK104" i="18"/>
  <c r="AJ104" i="18"/>
  <c r="AF104" i="18"/>
  <c r="AE104" i="18"/>
  <c r="AN103" i="18"/>
  <c r="AM103" i="18"/>
  <c r="AK103" i="18"/>
  <c r="AJ103" i="18"/>
  <c r="AI103" i="18"/>
  <c r="AN102" i="18"/>
  <c r="AM102" i="18"/>
  <c r="AL102" i="18"/>
  <c r="AK102" i="18"/>
  <c r="AI102" i="18"/>
  <c r="AG102" i="18"/>
  <c r="AF102" i="18"/>
  <c r="AL101" i="18"/>
  <c r="AK101" i="18"/>
  <c r="AJ101" i="18"/>
  <c r="AI101" i="18"/>
  <c r="AG101" i="18"/>
  <c r="AF101" i="18"/>
  <c r="AE101" i="18"/>
  <c r="AN100" i="18"/>
  <c r="AJ100" i="18"/>
  <c r="AI100" i="18"/>
  <c r="AG100" i="18"/>
  <c r="AN99" i="18"/>
  <c r="AL99" i="18"/>
  <c r="AK99" i="18"/>
  <c r="AG99" i="18"/>
  <c r="AF99" i="18"/>
  <c r="AE99" i="18"/>
  <c r="AM98" i="18"/>
  <c r="AL98" i="18"/>
  <c r="AK98" i="18"/>
  <c r="AJ98" i="18"/>
  <c r="AI98" i="18"/>
  <c r="AF98" i="18"/>
  <c r="AN97" i="18"/>
  <c r="AM97" i="18"/>
  <c r="AK97" i="18"/>
  <c r="AJ97" i="18"/>
  <c r="AI97" i="18"/>
  <c r="AN96" i="18"/>
  <c r="AK96" i="18"/>
  <c r="AI96" i="18"/>
  <c r="AG96" i="18"/>
  <c r="AF96" i="18"/>
  <c r="AE96" i="18"/>
  <c r="AL95" i="18"/>
  <c r="AK95" i="18"/>
  <c r="AJ95" i="18"/>
  <c r="AI95" i="18"/>
  <c r="AG95" i="18"/>
  <c r="AF95" i="18"/>
  <c r="AE95" i="18"/>
  <c r="AN94" i="18"/>
  <c r="AM94" i="18"/>
  <c r="AJ94" i="18"/>
  <c r="AI94" i="18"/>
  <c r="AG94" i="18"/>
  <c r="AE94" i="18"/>
  <c r="AN93" i="18"/>
  <c r="AM93" i="18"/>
  <c r="AL93" i="18"/>
  <c r="AK93" i="18"/>
  <c r="AG93" i="18"/>
  <c r="AF93" i="18"/>
  <c r="AE93" i="18"/>
  <c r="AM92" i="18"/>
  <c r="AL92" i="18"/>
  <c r="AK92" i="18"/>
  <c r="AJ92" i="18"/>
  <c r="AI92" i="18"/>
  <c r="AF92" i="18"/>
  <c r="AE92" i="18"/>
  <c r="AN91" i="18"/>
  <c r="AM91" i="18"/>
  <c r="AJ91" i="18"/>
  <c r="AI91" i="18"/>
  <c r="AG91" i="18"/>
  <c r="AN90" i="18"/>
  <c r="AM90" i="18"/>
  <c r="AL90" i="18"/>
  <c r="AK90" i="18"/>
  <c r="AI90" i="18"/>
  <c r="AG90" i="18"/>
  <c r="AF90" i="18"/>
  <c r="AE90" i="18"/>
  <c r="AL89" i="18"/>
  <c r="AK89" i="18"/>
  <c r="AJ89" i="18"/>
  <c r="AI89" i="18"/>
  <c r="AG89" i="18"/>
  <c r="AF89" i="18"/>
  <c r="AN88" i="18"/>
  <c r="AJ88" i="18"/>
  <c r="AI88" i="18"/>
  <c r="AG88" i="18"/>
  <c r="AF88" i="18"/>
  <c r="AE88" i="18"/>
  <c r="AM87" i="18"/>
  <c r="AL87" i="18"/>
  <c r="AG87" i="18"/>
  <c r="AF87" i="18"/>
  <c r="AE87" i="18"/>
  <c r="AM86" i="18"/>
  <c r="AL86" i="18"/>
  <c r="AJ86" i="18"/>
  <c r="AH86" i="18"/>
  <c r="AF86" i="18"/>
  <c r="AE86" i="18"/>
  <c r="AN85" i="18"/>
  <c r="AM85" i="18"/>
  <c r="AK85" i="18"/>
  <c r="AI85" i="18"/>
  <c r="AH85" i="18"/>
  <c r="AN84" i="18"/>
  <c r="AM84" i="18"/>
  <c r="AL84" i="18"/>
  <c r="AK84" i="18"/>
  <c r="AI84" i="18"/>
  <c r="AH84" i="18"/>
  <c r="AF84" i="18"/>
  <c r="AE84" i="18"/>
  <c r="AD83" i="18"/>
  <c r="AN83" i="18" s="1"/>
  <c r="AC83" i="18"/>
  <c r="AM83" i="18" s="1"/>
  <c r="AB83" i="18"/>
  <c r="AL83" i="18" s="1"/>
  <c r="AA83" i="18"/>
  <c r="AK83" i="18" s="1"/>
  <c r="Z83" i="18"/>
  <c r="AJ83" i="18" s="1"/>
  <c r="Y83" i="18"/>
  <c r="AI83" i="18" s="1"/>
  <c r="X83" i="18"/>
  <c r="AH83" i="18" s="1"/>
  <c r="W83" i="18"/>
  <c r="AG83" i="18" s="1"/>
  <c r="V83" i="18"/>
  <c r="U83" i="18"/>
  <c r="AE83" i="18" s="1"/>
  <c r="AN72" i="18"/>
  <c r="AJ72" i="18"/>
  <c r="AI72" i="18"/>
  <c r="AG72" i="18"/>
  <c r="AF72" i="18"/>
  <c r="AN71" i="18"/>
  <c r="AM71" i="18"/>
  <c r="AL71" i="18"/>
  <c r="AK71" i="18"/>
  <c r="AG71" i="18"/>
  <c r="AF71" i="18"/>
  <c r="AE71" i="18"/>
  <c r="AD70" i="18"/>
  <c r="AN70" i="18" s="1"/>
  <c r="AX70" i="18" s="1"/>
  <c r="AC70" i="18"/>
  <c r="AM70" i="18" s="1"/>
  <c r="AW70" i="18" s="1"/>
  <c r="AB70" i="18"/>
  <c r="AL70" i="18" s="1"/>
  <c r="AV70" i="18" s="1"/>
  <c r="AA70" i="18"/>
  <c r="AK70" i="18" s="1"/>
  <c r="AU70" i="18" s="1"/>
  <c r="Z70" i="18"/>
  <c r="AJ70" i="18" s="1"/>
  <c r="AT70" i="18" s="1"/>
  <c r="W70" i="18"/>
  <c r="V70" i="18"/>
  <c r="AF70" i="18" s="1"/>
  <c r="U70" i="18"/>
  <c r="AE70" i="18" s="1"/>
  <c r="AD69" i="18"/>
  <c r="AC69" i="18"/>
  <c r="AB69" i="18"/>
  <c r="AL69" i="18" s="1"/>
  <c r="AV69" i="18" s="1"/>
  <c r="AA69" i="18"/>
  <c r="AK69" i="18" s="1"/>
  <c r="AU69" i="18" s="1"/>
  <c r="W69" i="18"/>
  <c r="V69" i="18"/>
  <c r="AF69" i="18" s="1"/>
  <c r="U69" i="18"/>
  <c r="AD68" i="18"/>
  <c r="AN68" i="18" s="1"/>
  <c r="AX68" i="18" s="1"/>
  <c r="AC68" i="18"/>
  <c r="AM68" i="18" s="1"/>
  <c r="AW68" i="18" s="1"/>
  <c r="AB68" i="18"/>
  <c r="AL68" i="18" s="1"/>
  <c r="AV68" i="18" s="1"/>
  <c r="AA68" i="18"/>
  <c r="AK68" i="18" s="1"/>
  <c r="AU68" i="18" s="1"/>
  <c r="Z68" i="18"/>
  <c r="AJ68" i="18" s="1"/>
  <c r="AT68" i="18" s="1"/>
  <c r="W68" i="18"/>
  <c r="AG68" i="18" s="1"/>
  <c r="AQ68" i="18" s="1"/>
  <c r="V68" i="18"/>
  <c r="AF68" i="18" s="1"/>
  <c r="U68" i="18"/>
  <c r="AE68" i="18" s="1"/>
  <c r="AD67" i="18"/>
  <c r="AN67" i="18" s="1"/>
  <c r="AX67" i="18" s="1"/>
  <c r="AC67" i="18"/>
  <c r="AB67" i="18"/>
  <c r="AL67" i="18" s="1"/>
  <c r="AV67" i="18" s="1"/>
  <c r="AA67" i="18"/>
  <c r="AK67" i="18" s="1"/>
  <c r="AU67" i="18" s="1"/>
  <c r="Z67" i="18"/>
  <c r="AJ67" i="18" s="1"/>
  <c r="AT67" i="18" s="1"/>
  <c r="W67" i="18"/>
  <c r="AG67" i="18" s="1"/>
  <c r="AQ67" i="18" s="1"/>
  <c r="V67" i="18"/>
  <c r="U67" i="18"/>
  <c r="AE67" i="18" s="1"/>
  <c r="AD66" i="18"/>
  <c r="AN66" i="18" s="1"/>
  <c r="AX66" i="18" s="1"/>
  <c r="AC66" i="18"/>
  <c r="AM66" i="18" s="1"/>
  <c r="AW66" i="18" s="1"/>
  <c r="AB66" i="18"/>
  <c r="AA66" i="18"/>
  <c r="AK66" i="18" s="1"/>
  <c r="AU66" i="18" s="1"/>
  <c r="Z66" i="18"/>
  <c r="AJ66" i="18" s="1"/>
  <c r="AT66" i="18" s="1"/>
  <c r="V66" i="18"/>
  <c r="AF66" i="18" s="1"/>
  <c r="U66" i="18"/>
  <c r="AD65" i="18"/>
  <c r="AN65" i="18" s="1"/>
  <c r="AC65" i="18"/>
  <c r="AM65" i="18" s="1"/>
  <c r="AB65" i="18"/>
  <c r="AL65" i="18" s="1"/>
  <c r="AA65" i="18"/>
  <c r="Z65" i="18"/>
  <c r="AJ65" i="18" s="1"/>
  <c r="Y65" i="18"/>
  <c r="AI65" i="18" s="1"/>
  <c r="V65" i="18"/>
  <c r="U65" i="18"/>
  <c r="AE65" i="18" s="1"/>
  <c r="AJ57" i="18"/>
  <c r="AH57" i="18"/>
  <c r="AF57" i="18"/>
  <c r="AN56" i="18"/>
  <c r="AM56" i="18"/>
  <c r="AK56" i="18"/>
  <c r="AH56" i="18"/>
  <c r="AG56" i="18"/>
  <c r="AF56" i="18"/>
  <c r="AN55" i="18"/>
  <c r="AM55" i="18"/>
  <c r="AL55" i="18"/>
  <c r="AK55" i="18"/>
  <c r="AI55" i="18"/>
  <c r="AF55" i="18"/>
  <c r="AE55" i="18"/>
  <c r="AN54" i="18"/>
  <c r="AL54" i="18"/>
  <c r="AK54" i="18"/>
  <c r="AJ54" i="18"/>
  <c r="AI54" i="18"/>
  <c r="AG54" i="18"/>
  <c r="AN53" i="18"/>
  <c r="AM53" i="18"/>
  <c r="AJ53" i="18"/>
  <c r="AI53" i="18"/>
  <c r="AH53" i="18"/>
  <c r="AG53" i="18"/>
  <c r="AF53" i="18"/>
  <c r="AE53" i="18"/>
  <c r="AL52" i="18"/>
  <c r="AJ52" i="18"/>
  <c r="AH52" i="18"/>
  <c r="AG52" i="18"/>
  <c r="AF52" i="18"/>
  <c r="AE52" i="18"/>
  <c r="AD51" i="18"/>
  <c r="AN51" i="18" s="1"/>
  <c r="AC51" i="18"/>
  <c r="AM51" i="18" s="1"/>
  <c r="AB51" i="18"/>
  <c r="AL51" i="18" s="1"/>
  <c r="AA51" i="18"/>
  <c r="Z51" i="18"/>
  <c r="AJ51" i="18" s="1"/>
  <c r="Y51" i="18"/>
  <c r="AI51" i="18" s="1"/>
  <c r="X51" i="18"/>
  <c r="AH51" i="18" s="1"/>
  <c r="W51" i="18"/>
  <c r="AG51" i="18" s="1"/>
  <c r="V51" i="18"/>
  <c r="AF51" i="18" s="1"/>
  <c r="U51" i="18"/>
  <c r="AE51" i="18" s="1"/>
  <c r="AD50" i="18"/>
  <c r="AN50" i="18" s="1"/>
  <c r="AC50" i="18"/>
  <c r="AM50" i="18" s="1"/>
  <c r="AB50" i="18"/>
  <c r="AL50" i="18" s="1"/>
  <c r="AA50" i="18"/>
  <c r="Z50" i="18"/>
  <c r="AJ50" i="18" s="1"/>
  <c r="Y50" i="18"/>
  <c r="AI50" i="18" s="1"/>
  <c r="X50" i="18"/>
  <c r="AH50" i="18" s="1"/>
  <c r="W50" i="18"/>
  <c r="AG50" i="18" s="1"/>
  <c r="V50" i="18"/>
  <c r="AF50" i="18" s="1"/>
  <c r="U50" i="18"/>
  <c r="AE50" i="18" s="1"/>
  <c r="AD46" i="18"/>
  <c r="AN46" i="18" s="1"/>
  <c r="AC46" i="18"/>
  <c r="AM46" i="18" s="1"/>
  <c r="AB46" i="18"/>
  <c r="AL46" i="18" s="1"/>
  <c r="AA46" i="18"/>
  <c r="AK46" i="18" s="1"/>
  <c r="Z46" i="18"/>
  <c r="Y46" i="18"/>
  <c r="AI46" i="18" s="1"/>
  <c r="X46" i="18"/>
  <c r="AH46" i="18" s="1"/>
  <c r="W46" i="18"/>
  <c r="AG46" i="18" s="1"/>
  <c r="V46" i="18"/>
  <c r="AF46" i="18" s="1"/>
  <c r="U46" i="18"/>
  <c r="AE46" i="18" s="1"/>
  <c r="AD45" i="18"/>
  <c r="AN45" i="18" s="1"/>
  <c r="AC45" i="18"/>
  <c r="AM45" i="18" s="1"/>
  <c r="AB45" i="18"/>
  <c r="AL45" i="18" s="1"/>
  <c r="AA45" i="18"/>
  <c r="AK45" i="18" s="1"/>
  <c r="Z45" i="18"/>
  <c r="Y45" i="18"/>
  <c r="X45" i="18"/>
  <c r="AH45" i="18" s="1"/>
  <c r="W45" i="18"/>
  <c r="AG45" i="18" s="1"/>
  <c r="V45" i="18"/>
  <c r="AF45" i="18" s="1"/>
  <c r="U45" i="18"/>
  <c r="AE45" i="18" s="1"/>
  <c r="AD44" i="18"/>
  <c r="AN44" i="18" s="1"/>
  <c r="AC44" i="18"/>
  <c r="AM44" i="18" s="1"/>
  <c r="AB44" i="18"/>
  <c r="AL44" i="18" s="1"/>
  <c r="AA44" i="18"/>
  <c r="AK44" i="18" s="1"/>
  <c r="Z44" i="18"/>
  <c r="Y44" i="18"/>
  <c r="AI44" i="18" s="1"/>
  <c r="X44" i="18"/>
  <c r="AH44" i="18" s="1"/>
  <c r="W44" i="18"/>
  <c r="AG44" i="18" s="1"/>
  <c r="V44" i="18"/>
  <c r="AF44" i="18" s="1"/>
  <c r="U44" i="18"/>
  <c r="AE44" i="18" s="1"/>
  <c r="AD43" i="18"/>
  <c r="AN43" i="18" s="1"/>
  <c r="AC43" i="18"/>
  <c r="AM43" i="18" s="1"/>
  <c r="AB43" i="18"/>
  <c r="AL43" i="18" s="1"/>
  <c r="AA43" i="18"/>
  <c r="AK43" i="18" s="1"/>
  <c r="Z43" i="18"/>
  <c r="Y43" i="18"/>
  <c r="AI43" i="18" s="1"/>
  <c r="X43" i="18"/>
  <c r="AH43" i="18" s="1"/>
  <c r="W43" i="18"/>
  <c r="AG43" i="18" s="1"/>
  <c r="V43" i="18"/>
  <c r="AF43" i="18" s="1"/>
  <c r="U43" i="18"/>
  <c r="AE43" i="18" s="1"/>
  <c r="AD42" i="18"/>
  <c r="AN42" i="18" s="1"/>
  <c r="AC42" i="18"/>
  <c r="AM42" i="18" s="1"/>
  <c r="AB42" i="18"/>
  <c r="AL42" i="18" s="1"/>
  <c r="AA42" i="18"/>
  <c r="AK42" i="18" s="1"/>
  <c r="Z42" i="18"/>
  <c r="Y42" i="18"/>
  <c r="X42" i="18"/>
  <c r="AH42" i="18" s="1"/>
  <c r="W42" i="18"/>
  <c r="AG42" i="18" s="1"/>
  <c r="V42" i="18"/>
  <c r="AF42" i="18" s="1"/>
  <c r="U42" i="18"/>
  <c r="AE42" i="18" s="1"/>
  <c r="AD41" i="18"/>
  <c r="AN41" i="18" s="1"/>
  <c r="AC41" i="18"/>
  <c r="AM41" i="18" s="1"/>
  <c r="AB41" i="18"/>
  <c r="AL41" i="18" s="1"/>
  <c r="AA41" i="18"/>
  <c r="AK41" i="18" s="1"/>
  <c r="Z41" i="18"/>
  <c r="Y41" i="18"/>
  <c r="X41" i="18"/>
  <c r="AH41" i="18" s="1"/>
  <c r="W41" i="18"/>
  <c r="AG41" i="18" s="1"/>
  <c r="V41" i="18"/>
  <c r="AF41" i="18" s="1"/>
  <c r="U41" i="18"/>
  <c r="AE41" i="18" s="1"/>
  <c r="AD40" i="18"/>
  <c r="AN40" i="18" s="1"/>
  <c r="AC40" i="18"/>
  <c r="AM40" i="18" s="1"/>
  <c r="AB40" i="18"/>
  <c r="AL40" i="18" s="1"/>
  <c r="AA40" i="18"/>
  <c r="AK40" i="18" s="1"/>
  <c r="Z40" i="18"/>
  <c r="Y40" i="18"/>
  <c r="AI40" i="18" s="1"/>
  <c r="X40" i="18"/>
  <c r="AH40" i="18" s="1"/>
  <c r="W40" i="18"/>
  <c r="AG40" i="18" s="1"/>
  <c r="V40" i="18"/>
  <c r="AF40" i="18" s="1"/>
  <c r="U40" i="18"/>
  <c r="AE40" i="18" s="1"/>
  <c r="AD39" i="18"/>
  <c r="AN39" i="18" s="1"/>
  <c r="AC39" i="18"/>
  <c r="AM39" i="18" s="1"/>
  <c r="AB39" i="18"/>
  <c r="AL39" i="18" s="1"/>
  <c r="AA39" i="18"/>
  <c r="AK39" i="18" s="1"/>
  <c r="Z39" i="18"/>
  <c r="Y39" i="18"/>
  <c r="AI39" i="18" s="1"/>
  <c r="X39" i="18"/>
  <c r="AH39" i="18" s="1"/>
  <c r="W39" i="18"/>
  <c r="AG39" i="18" s="1"/>
  <c r="V39" i="18"/>
  <c r="AF39" i="18" s="1"/>
  <c r="U39" i="18"/>
  <c r="AE39" i="18" s="1"/>
  <c r="AD38" i="18"/>
  <c r="AN38" i="18" s="1"/>
  <c r="AC38" i="18"/>
  <c r="AM38" i="18" s="1"/>
  <c r="AB38" i="18"/>
  <c r="AL38" i="18" s="1"/>
  <c r="AA38" i="18"/>
  <c r="AK38" i="18" s="1"/>
  <c r="Z38" i="18"/>
  <c r="Y38" i="18"/>
  <c r="AI38" i="18" s="1"/>
  <c r="X38" i="18"/>
  <c r="AH38" i="18" s="1"/>
  <c r="W38" i="18"/>
  <c r="AG38" i="18" s="1"/>
  <c r="V38" i="18"/>
  <c r="AF38" i="18" s="1"/>
  <c r="U38" i="18"/>
  <c r="AE38" i="18" s="1"/>
  <c r="AD37" i="18"/>
  <c r="AN37" i="18" s="1"/>
  <c r="AC37" i="18"/>
  <c r="AM37" i="18" s="1"/>
  <c r="AB37" i="18"/>
  <c r="AL37" i="18" s="1"/>
  <c r="AA37" i="18"/>
  <c r="AK37" i="18" s="1"/>
  <c r="Z37" i="18"/>
  <c r="AJ37" i="18" s="1"/>
  <c r="Y37" i="18"/>
  <c r="X37" i="18"/>
  <c r="AH37" i="18" s="1"/>
  <c r="W37" i="18"/>
  <c r="AG37" i="18" s="1"/>
  <c r="V37" i="18"/>
  <c r="AF37" i="18" s="1"/>
  <c r="U37" i="18"/>
  <c r="AE37" i="18" s="1"/>
  <c r="AD36" i="18"/>
  <c r="AN36" i="18" s="1"/>
  <c r="AC36" i="18"/>
  <c r="AM36" i="18" s="1"/>
  <c r="AB36" i="18"/>
  <c r="AL36" i="18" s="1"/>
  <c r="AA36" i="18"/>
  <c r="AK36" i="18" s="1"/>
  <c r="Z36" i="18"/>
  <c r="AJ36" i="18" s="1"/>
  <c r="Y36" i="18"/>
  <c r="X36" i="18"/>
  <c r="AH36" i="18" s="1"/>
  <c r="W36" i="18"/>
  <c r="AG36" i="18" s="1"/>
  <c r="V36" i="18"/>
  <c r="AF36" i="18" s="1"/>
  <c r="U36" i="18"/>
  <c r="AE36" i="18" s="1"/>
  <c r="AD35" i="18"/>
  <c r="AN35" i="18" s="1"/>
  <c r="AC35" i="18"/>
  <c r="AM35" i="18" s="1"/>
  <c r="AB35" i="18"/>
  <c r="AL35" i="18" s="1"/>
  <c r="AA35" i="18"/>
  <c r="AK35" i="18" s="1"/>
  <c r="Z35" i="18"/>
  <c r="Y35" i="18"/>
  <c r="X35" i="18"/>
  <c r="AH35" i="18" s="1"/>
  <c r="W35" i="18"/>
  <c r="AG35" i="18" s="1"/>
  <c r="V35" i="18"/>
  <c r="AF35" i="18" s="1"/>
  <c r="U35" i="18"/>
  <c r="AE35" i="18" s="1"/>
  <c r="AD34" i="18"/>
  <c r="AN34" i="18" s="1"/>
  <c r="AC34" i="18"/>
  <c r="AM34" i="18" s="1"/>
  <c r="AB34" i="18"/>
  <c r="AL34" i="18" s="1"/>
  <c r="AA34" i="18"/>
  <c r="AK34" i="18" s="1"/>
  <c r="Z34" i="18"/>
  <c r="AJ34" i="18" s="1"/>
  <c r="Y34" i="18"/>
  <c r="X34" i="18"/>
  <c r="AH34" i="18" s="1"/>
  <c r="W34" i="18"/>
  <c r="AG34" i="18" s="1"/>
  <c r="V34" i="18"/>
  <c r="AF34" i="18" s="1"/>
  <c r="U34" i="18"/>
  <c r="AE34" i="18" s="1"/>
  <c r="AD33" i="18"/>
  <c r="AN33" i="18" s="1"/>
  <c r="AC33" i="18"/>
  <c r="AM33" i="18" s="1"/>
  <c r="AB33" i="18"/>
  <c r="AL33" i="18" s="1"/>
  <c r="AA33" i="18"/>
  <c r="AK33" i="18" s="1"/>
  <c r="Z33" i="18"/>
  <c r="Y33" i="18"/>
  <c r="X33" i="18"/>
  <c r="AH33" i="18" s="1"/>
  <c r="W33" i="18"/>
  <c r="AG33" i="18" s="1"/>
  <c r="V33" i="18"/>
  <c r="AF33" i="18" s="1"/>
  <c r="U33" i="18"/>
  <c r="AE33" i="18" s="1"/>
  <c r="AD32" i="18"/>
  <c r="AN32" i="18" s="1"/>
  <c r="AC32" i="18"/>
  <c r="AM32" i="18" s="1"/>
  <c r="AB32" i="18"/>
  <c r="AL32" i="18" s="1"/>
  <c r="AA32" i="18"/>
  <c r="AK32" i="18" s="1"/>
  <c r="Z32" i="18"/>
  <c r="Y32" i="18"/>
  <c r="X32" i="18"/>
  <c r="AH32" i="18" s="1"/>
  <c r="W32" i="18"/>
  <c r="AG32" i="18" s="1"/>
  <c r="V32" i="18"/>
  <c r="AF32" i="18" s="1"/>
  <c r="U32" i="18"/>
  <c r="AE32" i="18" s="1"/>
  <c r="AD31" i="18"/>
  <c r="AN31" i="18" s="1"/>
  <c r="AC31" i="18"/>
  <c r="AM31" i="18" s="1"/>
  <c r="AB31" i="18"/>
  <c r="AL31" i="18" s="1"/>
  <c r="AA31" i="18"/>
  <c r="AK31" i="18" s="1"/>
  <c r="Z31" i="18"/>
  <c r="Y31" i="18"/>
  <c r="X31" i="18"/>
  <c r="AH31" i="18" s="1"/>
  <c r="W31" i="18"/>
  <c r="AG31" i="18" s="1"/>
  <c r="V31" i="18"/>
  <c r="AF31" i="18" s="1"/>
  <c r="U31" i="18"/>
  <c r="AE31" i="18" s="1"/>
  <c r="U13" i="18"/>
  <c r="AE13" i="18" s="1"/>
  <c r="V13" i="18"/>
  <c r="AF13" i="18" s="1"/>
  <c r="W13" i="18"/>
  <c r="AG13" i="18" s="1"/>
  <c r="X13" i="18"/>
  <c r="Y13" i="18"/>
  <c r="AI13" i="18" s="1"/>
  <c r="Z13" i="18"/>
  <c r="AJ13" i="18" s="1"/>
  <c r="AA13" i="18"/>
  <c r="AK13" i="18" s="1"/>
  <c r="AB13" i="18"/>
  <c r="AL13" i="18" s="1"/>
  <c r="AC13" i="18"/>
  <c r="AM13" i="18" s="1"/>
  <c r="AD13" i="18"/>
  <c r="AN13" i="18" s="1"/>
  <c r="U14" i="18"/>
  <c r="AE14" i="18" s="1"/>
  <c r="V14" i="18"/>
  <c r="AF14" i="18" s="1"/>
  <c r="W14" i="18"/>
  <c r="AG14" i="18" s="1"/>
  <c r="X14" i="18"/>
  <c r="Y14" i="18"/>
  <c r="AI14" i="18" s="1"/>
  <c r="Z14" i="18"/>
  <c r="AJ14" i="18" s="1"/>
  <c r="AA14" i="18"/>
  <c r="AK14" i="18" s="1"/>
  <c r="AB14" i="18"/>
  <c r="AL14" i="18" s="1"/>
  <c r="AC14" i="18"/>
  <c r="AM14" i="18" s="1"/>
  <c r="AD14" i="18"/>
  <c r="AN14" i="18" s="1"/>
  <c r="U15" i="18"/>
  <c r="AE15" i="18" s="1"/>
  <c r="V15" i="18"/>
  <c r="AF15" i="18" s="1"/>
  <c r="W15" i="18"/>
  <c r="AG15" i="18" s="1"/>
  <c r="X15" i="18"/>
  <c r="Y15" i="18"/>
  <c r="Z15" i="18"/>
  <c r="AJ15" i="18" s="1"/>
  <c r="AA15" i="18"/>
  <c r="AK15" i="18" s="1"/>
  <c r="AB15" i="18"/>
  <c r="AL15" i="18" s="1"/>
  <c r="AC15" i="18"/>
  <c r="AM15" i="18" s="1"/>
  <c r="AD15" i="18"/>
  <c r="AN15" i="18" s="1"/>
  <c r="U16" i="18"/>
  <c r="AE16" i="18" s="1"/>
  <c r="V16" i="18"/>
  <c r="AF16" i="18" s="1"/>
  <c r="W16" i="18"/>
  <c r="AG16" i="18" s="1"/>
  <c r="X16" i="18"/>
  <c r="Y16" i="18"/>
  <c r="Z16" i="18"/>
  <c r="AJ16" i="18" s="1"/>
  <c r="AA16" i="18"/>
  <c r="AK16" i="18" s="1"/>
  <c r="AB16" i="18"/>
  <c r="AL16" i="18" s="1"/>
  <c r="AC16" i="18"/>
  <c r="AM16" i="18" s="1"/>
  <c r="AD16" i="18"/>
  <c r="AN16" i="18" s="1"/>
  <c r="U17" i="18"/>
  <c r="AE17" i="18" s="1"/>
  <c r="V17" i="18"/>
  <c r="AF17" i="18" s="1"/>
  <c r="W17" i="18"/>
  <c r="AG17" i="18" s="1"/>
  <c r="X17" i="18"/>
  <c r="Y17" i="18"/>
  <c r="Z17" i="18"/>
  <c r="AJ17" i="18" s="1"/>
  <c r="AA17" i="18"/>
  <c r="AK17" i="18" s="1"/>
  <c r="AB17" i="18"/>
  <c r="AL17" i="18" s="1"/>
  <c r="AC17" i="18"/>
  <c r="AM17" i="18" s="1"/>
  <c r="AD17" i="18"/>
  <c r="AN17" i="18" s="1"/>
  <c r="U18" i="18"/>
  <c r="AE18" i="18" s="1"/>
  <c r="V18" i="18"/>
  <c r="AF18" i="18" s="1"/>
  <c r="W18" i="18"/>
  <c r="AG18" i="18" s="1"/>
  <c r="X18" i="18"/>
  <c r="Y18" i="18"/>
  <c r="Z18" i="18"/>
  <c r="AJ18" i="18" s="1"/>
  <c r="AA18" i="18"/>
  <c r="AK18" i="18" s="1"/>
  <c r="AB18" i="18"/>
  <c r="AL18" i="18" s="1"/>
  <c r="AC18" i="18"/>
  <c r="AM18" i="18" s="1"/>
  <c r="AD18" i="18"/>
  <c r="AN18" i="18" s="1"/>
  <c r="U19" i="18"/>
  <c r="AE19" i="18" s="1"/>
  <c r="V19" i="18"/>
  <c r="AF19" i="18" s="1"/>
  <c r="W19" i="18"/>
  <c r="AG19" i="18" s="1"/>
  <c r="X19" i="18"/>
  <c r="Y19" i="18"/>
  <c r="AI19" i="18" s="1"/>
  <c r="Z19" i="18"/>
  <c r="AA19" i="18"/>
  <c r="AK19" i="18" s="1"/>
  <c r="AB19" i="18"/>
  <c r="AL19" i="18" s="1"/>
  <c r="AC19" i="18"/>
  <c r="AM19" i="18" s="1"/>
  <c r="AD19" i="18"/>
  <c r="AN19" i="18" s="1"/>
  <c r="U20" i="18"/>
  <c r="AE20" i="18" s="1"/>
  <c r="V20" i="18"/>
  <c r="AF20" i="18" s="1"/>
  <c r="W20" i="18"/>
  <c r="AG20" i="18" s="1"/>
  <c r="X20" i="18"/>
  <c r="AH20" i="18" s="1"/>
  <c r="Y20" i="18"/>
  <c r="Z20" i="18"/>
  <c r="AA20" i="18"/>
  <c r="AK20" i="18" s="1"/>
  <c r="AB20" i="18"/>
  <c r="AL20" i="18" s="1"/>
  <c r="AC20" i="18"/>
  <c r="AM20" i="18" s="1"/>
  <c r="AD20" i="18"/>
  <c r="AN20" i="18" s="1"/>
  <c r="U21" i="18"/>
  <c r="AE21" i="18" s="1"/>
  <c r="V21" i="18"/>
  <c r="AF21" i="18" s="1"/>
  <c r="W21" i="18"/>
  <c r="AG21" i="18" s="1"/>
  <c r="X21" i="18"/>
  <c r="AH21" i="18" s="1"/>
  <c r="Y21" i="18"/>
  <c r="Z21" i="18"/>
  <c r="AJ21" i="18" s="1"/>
  <c r="AA21" i="18"/>
  <c r="AK21" i="18" s="1"/>
  <c r="AB21" i="18"/>
  <c r="AL21" i="18" s="1"/>
  <c r="AC21" i="18"/>
  <c r="AM21" i="18" s="1"/>
  <c r="AD21" i="18"/>
  <c r="AN21" i="18" s="1"/>
  <c r="U22" i="18"/>
  <c r="AE22" i="18" s="1"/>
  <c r="V22" i="18"/>
  <c r="AF22" i="18" s="1"/>
  <c r="W22" i="18"/>
  <c r="AG22" i="18" s="1"/>
  <c r="X22" i="18"/>
  <c r="AH22" i="18" s="1"/>
  <c r="Y22" i="18"/>
  <c r="Z22" i="18"/>
  <c r="AJ22" i="18" s="1"/>
  <c r="AA22" i="18"/>
  <c r="AK22" i="18" s="1"/>
  <c r="AB22" i="18"/>
  <c r="AL22" i="18" s="1"/>
  <c r="AC22" i="18"/>
  <c r="AM22" i="18" s="1"/>
  <c r="AD22" i="18"/>
  <c r="AN22" i="18" s="1"/>
  <c r="U23" i="18"/>
  <c r="AE23" i="18" s="1"/>
  <c r="AO23" i="18" s="1"/>
  <c r="V23" i="18"/>
  <c r="AF23" i="18" s="1"/>
  <c r="AP23" i="18" s="1"/>
  <c r="W23" i="18"/>
  <c r="AG23" i="18" s="1"/>
  <c r="AQ23" i="18" s="1"/>
  <c r="X23" i="18"/>
  <c r="AH23" i="18" s="1"/>
  <c r="AR23" i="18" s="1"/>
  <c r="Y23" i="18"/>
  <c r="AI23" i="18" s="1"/>
  <c r="AS23" i="18" s="1"/>
  <c r="Z23" i="18"/>
  <c r="AJ23" i="18" s="1"/>
  <c r="AT23" i="18" s="1"/>
  <c r="AA23" i="18"/>
  <c r="AK23" i="18" s="1"/>
  <c r="AU23" i="18" s="1"/>
  <c r="AB23" i="18"/>
  <c r="AL23" i="18" s="1"/>
  <c r="AV23" i="18" s="1"/>
  <c r="AC23" i="18"/>
  <c r="AM23" i="18" s="1"/>
  <c r="AW23" i="18" s="1"/>
  <c r="AD23" i="18"/>
  <c r="AN23" i="18" s="1"/>
  <c r="AX23" i="18" s="1"/>
  <c r="AN165" i="18"/>
  <c r="AM165" i="18"/>
  <c r="AL165" i="18"/>
  <c r="AK165" i="18"/>
  <c r="AJ165" i="18"/>
  <c r="AI165" i="18"/>
  <c r="AH165" i="18"/>
  <c r="AG165" i="18"/>
  <c r="AF165" i="18"/>
  <c r="AE165" i="18"/>
  <c r="AN164" i="18"/>
  <c r="AM164" i="18"/>
  <c r="AL164" i="18"/>
  <c r="AK164" i="18"/>
  <c r="AJ164" i="18"/>
  <c r="AI164" i="18"/>
  <c r="AH164" i="18"/>
  <c r="AG164" i="18"/>
  <c r="AF164" i="18"/>
  <c r="AE164" i="18"/>
  <c r="AN163" i="18"/>
  <c r="AM163" i="18"/>
  <c r="AL163" i="18"/>
  <c r="AK163" i="18"/>
  <c r="AJ163" i="18"/>
  <c r="AI163" i="18"/>
  <c r="AH163" i="18"/>
  <c r="AG163" i="18"/>
  <c r="AF163" i="18"/>
  <c r="AE163" i="18"/>
  <c r="AN162" i="18"/>
  <c r="AM162" i="18"/>
  <c r="AL162" i="18"/>
  <c r="AK162" i="18"/>
  <c r="AJ162" i="18"/>
  <c r="AI162" i="18"/>
  <c r="AH162" i="18"/>
  <c r="AG162" i="18"/>
  <c r="AF162" i="18"/>
  <c r="AE162" i="18"/>
  <c r="AN161" i="18"/>
  <c r="AM161" i="18"/>
  <c r="AL161" i="18"/>
  <c r="AK161" i="18"/>
  <c r="AJ161" i="18"/>
  <c r="AI161" i="18"/>
  <c r="AH161" i="18"/>
  <c r="AG161" i="18"/>
  <c r="AF161" i="18"/>
  <c r="AE161" i="18"/>
  <c r="AN160" i="18"/>
  <c r="AX160" i="18" s="1"/>
  <c r="AM160" i="18"/>
  <c r="AW160" i="18" s="1"/>
  <c r="AL160" i="18"/>
  <c r="AV160" i="18" s="1"/>
  <c r="AG160" i="18"/>
  <c r="AQ160" i="18" s="1"/>
  <c r="AF160" i="18"/>
  <c r="AE160" i="18"/>
  <c r="AN159" i="18"/>
  <c r="AX159" i="18" s="1"/>
  <c r="AH159" i="18"/>
  <c r="AR159" i="18" s="1"/>
  <c r="AF159" i="18"/>
  <c r="AE159" i="18"/>
  <c r="AL158" i="18"/>
  <c r="AV158" i="18" s="1"/>
  <c r="AG158" i="18"/>
  <c r="AQ158" i="18" s="1"/>
  <c r="AL157" i="18"/>
  <c r="AK157" i="18"/>
  <c r="AJ157" i="18"/>
  <c r="AH157" i="18"/>
  <c r="AJ156" i="18"/>
  <c r="AI156" i="18"/>
  <c r="AH156" i="18"/>
  <c r="AF156" i="18"/>
  <c r="AE156" i="18"/>
  <c r="AF155" i="18"/>
  <c r="AN154" i="18"/>
  <c r="AX154" i="18" s="1"/>
  <c r="AG154" i="18"/>
  <c r="AQ154" i="18" s="1"/>
  <c r="AL153" i="18"/>
  <c r="AV153" i="18" s="1"/>
  <c r="AK153" i="18"/>
  <c r="AU153" i="18" s="1"/>
  <c r="AG153" i="18"/>
  <c r="AQ153" i="18" s="1"/>
  <c r="AE153" i="18"/>
  <c r="AN152" i="18"/>
  <c r="AJ152" i="18"/>
  <c r="AE152" i="18"/>
  <c r="AN151" i="18"/>
  <c r="AM151" i="18"/>
  <c r="AL151" i="18"/>
  <c r="AK151" i="18"/>
  <c r="AJ151" i="18"/>
  <c r="AI151" i="18"/>
  <c r="AH151" i="18"/>
  <c r="AG151" i="18"/>
  <c r="AF151" i="18"/>
  <c r="AE151" i="18"/>
  <c r="AN150" i="18"/>
  <c r="AM150" i="18"/>
  <c r="AL150" i="18"/>
  <c r="AK150" i="18"/>
  <c r="AJ150" i="18"/>
  <c r="AI150" i="18"/>
  <c r="AH150" i="18"/>
  <c r="AG150" i="18"/>
  <c r="AF150" i="18"/>
  <c r="AE150" i="18"/>
  <c r="AN149" i="18"/>
  <c r="AM149" i="18"/>
  <c r="AL149" i="18"/>
  <c r="AK149" i="18"/>
  <c r="AJ149" i="18"/>
  <c r="AI149" i="18"/>
  <c r="AH149" i="18"/>
  <c r="AG149" i="18"/>
  <c r="AF149" i="18"/>
  <c r="AE149" i="18"/>
  <c r="AN148" i="18"/>
  <c r="AM148" i="18"/>
  <c r="AL148" i="18"/>
  <c r="AK148" i="18"/>
  <c r="AJ148" i="18"/>
  <c r="AI148" i="18"/>
  <c r="AH148" i="18"/>
  <c r="AG148" i="18"/>
  <c r="AF148" i="18"/>
  <c r="AE148" i="18"/>
  <c r="AN147" i="18"/>
  <c r="AM147" i="18"/>
  <c r="AL147" i="18"/>
  <c r="AK147" i="18"/>
  <c r="AJ147" i="18"/>
  <c r="AI147" i="18"/>
  <c r="AH147" i="18"/>
  <c r="AG147" i="18"/>
  <c r="AF147" i="18"/>
  <c r="AE147" i="18"/>
  <c r="AN146" i="18"/>
  <c r="AM146" i="18"/>
  <c r="AL146" i="18"/>
  <c r="AK146" i="18"/>
  <c r="AJ146" i="18"/>
  <c r="AI146" i="18"/>
  <c r="AH146" i="18"/>
  <c r="AG146" i="18"/>
  <c r="AF146" i="18"/>
  <c r="AE146" i="18"/>
  <c r="AN145" i="18"/>
  <c r="AM145" i="18"/>
  <c r="AK145" i="18"/>
  <c r="AJ143" i="18"/>
  <c r="AG143" i="18"/>
  <c r="AE143" i="18"/>
  <c r="AN136" i="18"/>
  <c r="AM136" i="18"/>
  <c r="AL136" i="18"/>
  <c r="AK136" i="18"/>
  <c r="AJ136" i="18"/>
  <c r="AI136" i="18"/>
  <c r="AH136" i="18"/>
  <c r="AG136" i="18"/>
  <c r="AF136" i="18"/>
  <c r="AE136" i="18"/>
  <c r="AN135" i="18"/>
  <c r="AM135" i="18"/>
  <c r="AL135" i="18"/>
  <c r="AK135" i="18"/>
  <c r="AJ135" i="18"/>
  <c r="AI135" i="18"/>
  <c r="AH135" i="18"/>
  <c r="AG135" i="18"/>
  <c r="AF135" i="18"/>
  <c r="AE135" i="18"/>
  <c r="AN134" i="18"/>
  <c r="AM134" i="18"/>
  <c r="AL134" i="18"/>
  <c r="AK134" i="18"/>
  <c r="AJ134" i="18"/>
  <c r="AI134" i="18"/>
  <c r="AH134" i="18"/>
  <c r="AG134" i="18"/>
  <c r="AF134" i="18"/>
  <c r="AE134" i="18"/>
  <c r="AI133" i="18"/>
  <c r="AG133" i="18"/>
  <c r="AN130" i="18"/>
  <c r="AM130" i="18"/>
  <c r="AL130" i="18"/>
  <c r="AK130" i="18"/>
  <c r="AJ130" i="18"/>
  <c r="AI130" i="18"/>
  <c r="AH130" i="18"/>
  <c r="AG130" i="18"/>
  <c r="AF130" i="18"/>
  <c r="AE130" i="18"/>
  <c r="AN129" i="18"/>
  <c r="AM129" i="18"/>
  <c r="AL129" i="18"/>
  <c r="AK129" i="18"/>
  <c r="AJ129" i="18"/>
  <c r="AI129" i="18"/>
  <c r="AH129" i="18"/>
  <c r="AG129" i="18"/>
  <c r="AF129" i="18"/>
  <c r="AE129" i="18"/>
  <c r="AN128" i="18"/>
  <c r="AX128" i="18" s="1"/>
  <c r="AM128" i="18"/>
  <c r="AW128" i="18" s="1"/>
  <c r="AL128" i="18"/>
  <c r="AV128" i="18" s="1"/>
  <c r="AK128" i="18"/>
  <c r="AU128" i="18" s="1"/>
  <c r="AE128" i="18"/>
  <c r="AK127" i="18"/>
  <c r="AU127" i="18" s="1"/>
  <c r="AJ127" i="18"/>
  <c r="AT127" i="18" s="1"/>
  <c r="AG127" i="18"/>
  <c r="AQ127" i="18" s="1"/>
  <c r="AF127" i="18"/>
  <c r="AE127" i="18"/>
  <c r="AN126" i="18"/>
  <c r="AX126" i="18" s="1"/>
  <c r="AL126" i="18"/>
  <c r="AV126" i="18" s="1"/>
  <c r="AE126" i="18"/>
  <c r="AN125" i="18"/>
  <c r="AM125" i="18"/>
  <c r="AK125" i="18"/>
  <c r="AL124" i="18"/>
  <c r="AK124" i="18"/>
  <c r="AF124" i="18"/>
  <c r="AI123" i="18"/>
  <c r="AN122" i="18"/>
  <c r="AH122" i="18"/>
  <c r="AG122" i="18"/>
  <c r="AL121" i="18"/>
  <c r="AF121" i="18"/>
  <c r="AE121" i="18"/>
  <c r="AJ120" i="18"/>
  <c r="AN119" i="18"/>
  <c r="AM119" i="18"/>
  <c r="AH119" i="18"/>
  <c r="AL118" i="18"/>
  <c r="AK118" i="18"/>
  <c r="AF118" i="18"/>
  <c r="AK117" i="18"/>
  <c r="AJ117" i="18"/>
  <c r="AN116" i="18"/>
  <c r="AH116" i="18"/>
  <c r="AG116" i="18"/>
  <c r="AL115" i="18"/>
  <c r="AG115" i="18"/>
  <c r="AF115" i="18"/>
  <c r="AE115" i="18"/>
  <c r="AJ114" i="18"/>
  <c r="AN113" i="18"/>
  <c r="AM113" i="18"/>
  <c r="AH113" i="18"/>
  <c r="AL112" i="18"/>
  <c r="AK112" i="18"/>
  <c r="AJ112" i="18"/>
  <c r="AF112" i="18"/>
  <c r="AK111" i="18"/>
  <c r="AJ111" i="18"/>
  <c r="AG111" i="18"/>
  <c r="AF111" i="18"/>
  <c r="AN110" i="18"/>
  <c r="AM110" i="18"/>
  <c r="AH110" i="18"/>
  <c r="AG110" i="18"/>
  <c r="AL109" i="18"/>
  <c r="AF109" i="18"/>
  <c r="AE109" i="18"/>
  <c r="AJ108" i="18"/>
  <c r="AN107" i="18"/>
  <c r="AM107" i="18"/>
  <c r="AH107" i="18"/>
  <c r="AL106" i="18"/>
  <c r="AK106" i="18"/>
  <c r="AF106" i="18"/>
  <c r="AJ105" i="18"/>
  <c r="AN104" i="18"/>
  <c r="AG104" i="18"/>
  <c r="AL103" i="18"/>
  <c r="AG103" i="18"/>
  <c r="AF103" i="18"/>
  <c r="AE103" i="18"/>
  <c r="AJ102" i="18"/>
  <c r="AE102" i="18"/>
  <c r="AN101" i="18"/>
  <c r="AM101" i="18"/>
  <c r="AM100" i="18"/>
  <c r="AL100" i="18"/>
  <c r="AK100" i="18"/>
  <c r="AF100" i="18"/>
  <c r="AE100" i="18"/>
  <c r="AM99" i="18"/>
  <c r="AJ99" i="18"/>
  <c r="AI99" i="18"/>
  <c r="AN98" i="18"/>
  <c r="AG98" i="18"/>
  <c r="AE98" i="18"/>
  <c r="AL97" i="18"/>
  <c r="AG97" i="18"/>
  <c r="AF97" i="18"/>
  <c r="AE97" i="18"/>
  <c r="AM96" i="18"/>
  <c r="AL96" i="18"/>
  <c r="AJ96" i="18"/>
  <c r="AN95" i="18"/>
  <c r="AM95" i="18"/>
  <c r="AL94" i="18"/>
  <c r="AK94" i="18"/>
  <c r="AF94" i="18"/>
  <c r="AJ93" i="18"/>
  <c r="AI93" i="18"/>
  <c r="AN92" i="18"/>
  <c r="AG92" i="18"/>
  <c r="AL91" i="18"/>
  <c r="AK91" i="18"/>
  <c r="AF91" i="18"/>
  <c r="AE91" i="18"/>
  <c r="AJ90" i="18"/>
  <c r="AN89" i="18"/>
  <c r="AM89" i="18"/>
  <c r="AE89" i="18"/>
  <c r="AM88" i="18"/>
  <c r="AL88" i="18"/>
  <c r="AK88" i="18"/>
  <c r="AN87" i="18"/>
  <c r="AK87" i="18"/>
  <c r="AJ87" i="18"/>
  <c r="AI87" i="18"/>
  <c r="AN86" i="18"/>
  <c r="AK86" i="18"/>
  <c r="AI86" i="18"/>
  <c r="AL85" i="18"/>
  <c r="AJ85" i="18"/>
  <c r="AF85" i="18"/>
  <c r="AE85" i="18"/>
  <c r="AJ84" i="18"/>
  <c r="AN82" i="18"/>
  <c r="AM82" i="18"/>
  <c r="AL82" i="18"/>
  <c r="AK82" i="18"/>
  <c r="AJ82" i="18"/>
  <c r="AI82" i="18"/>
  <c r="AH82" i="18"/>
  <c r="AG82" i="18"/>
  <c r="AF82" i="18"/>
  <c r="AE82" i="18"/>
  <c r="AN81" i="18"/>
  <c r="AM81" i="18"/>
  <c r="AL81" i="18"/>
  <c r="AK81" i="18"/>
  <c r="AJ81" i="18"/>
  <c r="AI81" i="18"/>
  <c r="AH81" i="18"/>
  <c r="AG81" i="18"/>
  <c r="AF81" i="18"/>
  <c r="AE81" i="18"/>
  <c r="AN80" i="18"/>
  <c r="AM80" i="18"/>
  <c r="AL80" i="18"/>
  <c r="AK80" i="18"/>
  <c r="AJ80" i="18"/>
  <c r="AI80" i="18"/>
  <c r="AH80" i="18"/>
  <c r="AG80" i="18"/>
  <c r="AF80" i="18"/>
  <c r="AE80" i="18"/>
  <c r="AN79" i="18"/>
  <c r="AM79" i="18"/>
  <c r="AL79" i="18"/>
  <c r="AK79" i="18"/>
  <c r="AJ79" i="18"/>
  <c r="AI79" i="18"/>
  <c r="AH79" i="18"/>
  <c r="AG79" i="18"/>
  <c r="AF79" i="18"/>
  <c r="AE79" i="18"/>
  <c r="AN78" i="18"/>
  <c r="AM78" i="18"/>
  <c r="AL78" i="18"/>
  <c r="AK78" i="18"/>
  <c r="AJ78" i="18"/>
  <c r="AI78" i="18"/>
  <c r="AH78" i="18"/>
  <c r="AG78" i="18"/>
  <c r="AF78" i="18"/>
  <c r="AE78" i="18"/>
  <c r="AN77" i="18"/>
  <c r="AM77" i="18"/>
  <c r="AL77" i="18"/>
  <c r="AK77" i="18"/>
  <c r="AJ77" i="18"/>
  <c r="AI77" i="18"/>
  <c r="AH77" i="18"/>
  <c r="AG77" i="18"/>
  <c r="AF77" i="18"/>
  <c r="AE77" i="18"/>
  <c r="AN76" i="18"/>
  <c r="AM76" i="18"/>
  <c r="AL76" i="18"/>
  <c r="AK76" i="18"/>
  <c r="AJ76" i="18"/>
  <c r="AI76" i="18"/>
  <c r="AH76" i="18"/>
  <c r="AG76" i="18"/>
  <c r="AF76" i="18"/>
  <c r="AE76" i="18"/>
  <c r="AN75" i="18"/>
  <c r="AM75" i="18"/>
  <c r="AL75" i="18"/>
  <c r="AK75" i="18"/>
  <c r="AJ75" i="18"/>
  <c r="AI75" i="18"/>
  <c r="AH75" i="18"/>
  <c r="AG75" i="18"/>
  <c r="AF75" i="18"/>
  <c r="AE75" i="18"/>
  <c r="AN74" i="18"/>
  <c r="AM74" i="18"/>
  <c r="AL74" i="18"/>
  <c r="AK74" i="18"/>
  <c r="AJ74" i="18"/>
  <c r="AI74" i="18"/>
  <c r="AH74" i="18"/>
  <c r="AG74" i="18"/>
  <c r="AF74" i="18"/>
  <c r="AE74" i="18"/>
  <c r="AN73" i="18"/>
  <c r="AM73" i="18"/>
  <c r="AL73" i="18"/>
  <c r="AK73" i="18"/>
  <c r="AJ73" i="18"/>
  <c r="AI73" i="18"/>
  <c r="AH73" i="18"/>
  <c r="AG73" i="18"/>
  <c r="AF73" i="18"/>
  <c r="AE73" i="18"/>
  <c r="AM72" i="18"/>
  <c r="AL72" i="18"/>
  <c r="AK72" i="18"/>
  <c r="AE72" i="18"/>
  <c r="AJ71" i="18"/>
  <c r="AI71" i="18"/>
  <c r="AG70" i="18"/>
  <c r="AQ70" i="18" s="1"/>
  <c r="AN69" i="18"/>
  <c r="AX69" i="18" s="1"/>
  <c r="AM69" i="18"/>
  <c r="AW69" i="18" s="1"/>
  <c r="AG69" i="18"/>
  <c r="AQ69" i="18" s="1"/>
  <c r="AE69" i="18"/>
  <c r="AM67" i="18"/>
  <c r="AW67" i="18" s="1"/>
  <c r="AI67" i="18"/>
  <c r="AS67" i="18" s="1"/>
  <c r="AF67" i="18"/>
  <c r="AL66" i="18"/>
  <c r="AV66" i="18" s="1"/>
  <c r="AG66" i="18"/>
  <c r="AQ66" i="18" s="1"/>
  <c r="AE66" i="18"/>
  <c r="AK65" i="18"/>
  <c r="AG65" i="18"/>
  <c r="AF65" i="18"/>
  <c r="AN64" i="18"/>
  <c r="AM64" i="18"/>
  <c r="AL64" i="18"/>
  <c r="AK64" i="18"/>
  <c r="AJ64" i="18"/>
  <c r="AI64" i="18"/>
  <c r="AH64" i="18"/>
  <c r="AG64" i="18"/>
  <c r="AF64" i="18"/>
  <c r="AE64" i="18"/>
  <c r="AN63" i="18"/>
  <c r="AM63" i="18"/>
  <c r="AL63" i="18"/>
  <c r="AK63" i="18"/>
  <c r="AJ63" i="18"/>
  <c r="AI63" i="18"/>
  <c r="AH63" i="18"/>
  <c r="AG63" i="18"/>
  <c r="AF63" i="18"/>
  <c r="AE63" i="18"/>
  <c r="AN62" i="18"/>
  <c r="AM62" i="18"/>
  <c r="AL62" i="18"/>
  <c r="AK62" i="18"/>
  <c r="AJ62" i="18"/>
  <c r="AI62" i="18"/>
  <c r="AH62" i="18"/>
  <c r="AG62" i="18"/>
  <c r="AF62" i="18"/>
  <c r="AE62" i="18"/>
  <c r="AN61" i="18"/>
  <c r="AM61" i="18"/>
  <c r="AL61" i="18"/>
  <c r="AK61" i="18"/>
  <c r="AJ61" i="18"/>
  <c r="AI61" i="18"/>
  <c r="AH61" i="18"/>
  <c r="AG61" i="18"/>
  <c r="AF61" i="18"/>
  <c r="AE61" i="18"/>
  <c r="AN60" i="18"/>
  <c r="AM60" i="18"/>
  <c r="AL60" i="18"/>
  <c r="AK60" i="18"/>
  <c r="AJ60" i="18"/>
  <c r="AI60" i="18"/>
  <c r="AH60" i="18"/>
  <c r="AG60" i="18"/>
  <c r="AF60" i="18"/>
  <c r="AE60" i="18"/>
  <c r="AN59" i="18"/>
  <c r="AM59" i="18"/>
  <c r="AL59" i="18"/>
  <c r="AK59" i="18"/>
  <c r="AJ59" i="18"/>
  <c r="AI59" i="18"/>
  <c r="AH59" i="18"/>
  <c r="AG59" i="18"/>
  <c r="AF59" i="18"/>
  <c r="AE59" i="18"/>
  <c r="AN58" i="18"/>
  <c r="AM58" i="18"/>
  <c r="AL58" i="18"/>
  <c r="AK58" i="18"/>
  <c r="AJ58" i="18"/>
  <c r="AI58" i="18"/>
  <c r="AH58" i="18"/>
  <c r="AG58" i="18"/>
  <c r="AF58" i="18"/>
  <c r="AE58" i="18"/>
  <c r="AN57" i="18"/>
  <c r="AM57" i="18"/>
  <c r="AL57" i="18"/>
  <c r="AK57" i="18"/>
  <c r="AI57" i="18"/>
  <c r="AG57" i="18"/>
  <c r="AE57" i="18"/>
  <c r="AL56" i="18"/>
  <c r="AJ56" i="18"/>
  <c r="AI56" i="18"/>
  <c r="AE56" i="18"/>
  <c r="AJ55" i="18"/>
  <c r="AH55" i="18"/>
  <c r="AG55" i="18"/>
  <c r="AH54" i="18"/>
  <c r="AF54" i="18"/>
  <c r="AE54" i="18"/>
  <c r="AK53" i="18"/>
  <c r="AN52" i="18"/>
  <c r="AM52" i="18"/>
  <c r="AI52" i="18"/>
  <c r="AN49" i="18"/>
  <c r="AM49" i="18"/>
  <c r="AL49" i="18"/>
  <c r="AK49" i="18"/>
  <c r="AJ49" i="18"/>
  <c r="AI49" i="18"/>
  <c r="AH49" i="18"/>
  <c r="AG49" i="18"/>
  <c r="AF49" i="18"/>
  <c r="AE49" i="18"/>
  <c r="V12" i="18"/>
  <c r="AF12" i="18" s="1"/>
  <c r="W12" i="18"/>
  <c r="AG12" i="18" s="1"/>
  <c r="X12" i="18"/>
  <c r="Y12" i="18"/>
  <c r="AI12" i="18" s="1"/>
  <c r="Z12" i="18"/>
  <c r="AJ12" i="18" s="1"/>
  <c r="AA12" i="18"/>
  <c r="AK12" i="18" s="1"/>
  <c r="AB12" i="18"/>
  <c r="AL12" i="18" s="1"/>
  <c r="AC12" i="18"/>
  <c r="AM12" i="18" s="1"/>
  <c r="AD12" i="18"/>
  <c r="AN12" i="18" s="1"/>
  <c r="U12" i="18"/>
  <c r="AE12" i="18" s="1"/>
  <c r="N104" i="33"/>
  <c r="N146" i="33"/>
  <c r="N148" i="33"/>
  <c r="N147" i="33"/>
  <c r="N144" i="33"/>
  <c r="N141" i="33"/>
  <c r="N140" i="33"/>
  <c r="N134" i="33"/>
  <c r="N114" i="33"/>
  <c r="N113" i="33"/>
  <c r="N110" i="33"/>
  <c r="N106" i="33"/>
  <c r="N105" i="33"/>
  <c r="N100" i="33"/>
  <c r="J172" i="18" l="1"/>
  <c r="AQ65" i="18"/>
  <c r="AS65" i="18"/>
  <c r="AT65" i="18"/>
  <c r="AU65" i="18"/>
  <c r="AW152" i="18"/>
  <c r="AX152" i="18"/>
  <c r="AV65" i="18"/>
  <c r="AX65" i="18"/>
  <c r="AT152" i="18"/>
  <c r="AU152" i="18"/>
  <c r="AV152" i="18"/>
  <c r="AW65" i="18"/>
  <c r="AQ152" i="18"/>
  <c r="H172" i="18"/>
  <c r="I172" i="18"/>
  <c r="B12" i="45"/>
  <c r="B16" i="45" s="1"/>
  <c r="B20" i="45" s="1"/>
  <c r="B25" i="45" s="1"/>
  <c r="B13" i="45"/>
  <c r="B17" i="45" s="1"/>
  <c r="B21" i="45" s="1"/>
  <c r="B26" i="45" s="1"/>
  <c r="B22" i="45" l="1"/>
  <c r="B11" i="45"/>
  <c r="B15" i="45" s="1"/>
  <c r="B19" i="45" s="1"/>
  <c r="B24" i="45" s="1"/>
  <c r="B10" i="45"/>
  <c r="B14" i="45" s="1"/>
  <c r="B18" i="45" s="1"/>
  <c r="B23" i="45" s="1"/>
  <c r="H298" i="33"/>
  <c r="I298" i="33"/>
  <c r="J298" i="33"/>
  <c r="G298" i="33"/>
  <c r="J302" i="33"/>
  <c r="F18" i="45" s="1"/>
  <c r="F22" i="45" s="1"/>
  <c r="I302" i="33"/>
  <c r="E18" i="45" s="1"/>
  <c r="H302" i="33"/>
  <c r="D18" i="45" s="1"/>
  <c r="G302" i="33"/>
  <c r="C18" i="45" s="1"/>
  <c r="G18" i="45" l="1"/>
  <c r="V445" i="33"/>
  <c r="W445" i="33"/>
  <c r="U445" i="33"/>
  <c r="J457" i="33" l="1"/>
  <c r="N457" i="33" s="1"/>
  <c r="R457" i="33" s="1"/>
  <c r="H457" i="33"/>
  <c r="L457" i="33" s="1"/>
  <c r="P457" i="33" s="1"/>
  <c r="G458" i="33"/>
  <c r="U458" i="33" s="1"/>
  <c r="D456" i="33"/>
  <c r="E456" i="33" s="1"/>
  <c r="F456" i="33" s="1"/>
  <c r="G456" i="33" s="1"/>
  <c r="M445" i="33"/>
  <c r="Q445" i="33" s="1"/>
  <c r="J445" i="33"/>
  <c r="N445" i="33" s="1"/>
  <c r="R445" i="33" s="1"/>
  <c r="N454" i="33"/>
  <c r="M454" i="33"/>
  <c r="L454" i="33"/>
  <c r="J454" i="33"/>
  <c r="I454" i="33"/>
  <c r="H454" i="33"/>
  <c r="H445" i="33"/>
  <c r="L445" i="33" s="1"/>
  <c r="P445" i="33" s="1"/>
  <c r="G447" i="33"/>
  <c r="U447" i="33" s="1"/>
  <c r="G448" i="33"/>
  <c r="U448" i="33" s="1"/>
  <c r="G449" i="33"/>
  <c r="U449" i="33" s="1"/>
  <c r="G450" i="33"/>
  <c r="U450" i="33" s="1"/>
  <c r="G451" i="33"/>
  <c r="U451" i="33" s="1"/>
  <c r="G452" i="33"/>
  <c r="U452" i="33" s="1"/>
  <c r="F454" i="33"/>
  <c r="D454" i="33"/>
  <c r="C454" i="33"/>
  <c r="D444" i="33"/>
  <c r="E444" i="33" s="1"/>
  <c r="F444" i="33" s="1"/>
  <c r="G444" i="33" s="1"/>
  <c r="G446" i="33"/>
  <c r="U446" i="33" s="1"/>
  <c r="G417" i="33"/>
  <c r="U417" i="33" s="1"/>
  <c r="G418" i="33"/>
  <c r="U418" i="33" s="1"/>
  <c r="G419" i="33"/>
  <c r="U419" i="33" s="1"/>
  <c r="G420" i="33"/>
  <c r="U420" i="33" s="1"/>
  <c r="G421" i="33"/>
  <c r="U421" i="33" s="1"/>
  <c r="G422" i="33"/>
  <c r="U422" i="33" s="1"/>
  <c r="G423" i="33"/>
  <c r="U423" i="33" s="1"/>
  <c r="G424" i="33"/>
  <c r="U424" i="33" s="1"/>
  <c r="G425" i="33"/>
  <c r="U425" i="33" s="1"/>
  <c r="G426" i="33"/>
  <c r="U426" i="33" s="1"/>
  <c r="G427" i="33"/>
  <c r="U427" i="33" s="1"/>
  <c r="G428" i="33"/>
  <c r="U428" i="33" s="1"/>
  <c r="G429" i="33"/>
  <c r="U429" i="33" s="1"/>
  <c r="G430" i="33"/>
  <c r="U430" i="33" s="1"/>
  <c r="G431" i="33"/>
  <c r="U431" i="33" s="1"/>
  <c r="G432" i="33"/>
  <c r="U432" i="33" s="1"/>
  <c r="G433" i="33"/>
  <c r="U433" i="33" s="1"/>
  <c r="G434" i="33"/>
  <c r="U434" i="33" s="1"/>
  <c r="G435" i="33"/>
  <c r="U435" i="33" s="1"/>
  <c r="G436" i="33"/>
  <c r="U436" i="33" s="1"/>
  <c r="G437" i="33"/>
  <c r="U437" i="33" s="1"/>
  <c r="G438" i="33"/>
  <c r="U438" i="33" s="1"/>
  <c r="G439" i="33"/>
  <c r="U439" i="33" s="1"/>
  <c r="G416" i="33"/>
  <c r="D414" i="33"/>
  <c r="E414" i="33" s="1"/>
  <c r="F414" i="33" s="1"/>
  <c r="G414" i="33" s="1"/>
  <c r="H414" i="33" s="1"/>
  <c r="L441" i="33"/>
  <c r="J441" i="33"/>
  <c r="I441" i="33"/>
  <c r="H441" i="33"/>
  <c r="F441" i="33"/>
  <c r="E441" i="33"/>
  <c r="D441" i="33"/>
  <c r="C441" i="33"/>
  <c r="N441" i="33"/>
  <c r="M441" i="33"/>
  <c r="H444" i="33" l="1"/>
  <c r="L444" i="33" s="1"/>
  <c r="M444" i="33" s="1"/>
  <c r="N444" i="33" s="1"/>
  <c r="O444" i="33" s="1"/>
  <c r="K431" i="33"/>
  <c r="V431" i="33" s="1"/>
  <c r="K446" i="33"/>
  <c r="V446" i="33" s="1"/>
  <c r="K427" i="33"/>
  <c r="V427" i="33" s="1"/>
  <c r="U465" i="33"/>
  <c r="U472" i="33" s="1"/>
  <c r="U466" i="33"/>
  <c r="K419" i="33"/>
  <c r="V419" i="33" s="1"/>
  <c r="K435" i="33"/>
  <c r="V435" i="33" s="1"/>
  <c r="U464" i="33"/>
  <c r="U471" i="33" s="1"/>
  <c r="K423" i="33"/>
  <c r="V423" i="33" s="1"/>
  <c r="K439" i="33"/>
  <c r="V439" i="33" s="1"/>
  <c r="I414" i="33"/>
  <c r="J414" i="33" s="1"/>
  <c r="L414" i="33"/>
  <c r="M414" i="33" s="1"/>
  <c r="N414" i="33" s="1"/>
  <c r="O414" i="33" s="1"/>
  <c r="G441" i="33"/>
  <c r="U416" i="33"/>
  <c r="U463" i="33" s="1"/>
  <c r="U470" i="33" s="1"/>
  <c r="K416" i="33"/>
  <c r="K420" i="33"/>
  <c r="K424" i="33"/>
  <c r="K428" i="33"/>
  <c r="K432" i="33"/>
  <c r="K436" i="33"/>
  <c r="K447" i="33"/>
  <c r="K451" i="33"/>
  <c r="O431" i="33"/>
  <c r="K450" i="33"/>
  <c r="K417" i="33"/>
  <c r="K421" i="33"/>
  <c r="K425" i="33"/>
  <c r="K429" i="33"/>
  <c r="K433" i="33"/>
  <c r="K437" i="33"/>
  <c r="U454" i="33"/>
  <c r="K448" i="33"/>
  <c r="K452" i="33"/>
  <c r="K418" i="33"/>
  <c r="K422" i="33"/>
  <c r="K426" i="33"/>
  <c r="K430" i="33"/>
  <c r="K434" i="33"/>
  <c r="K438" i="33"/>
  <c r="I444" i="33"/>
  <c r="J444" i="33" s="1"/>
  <c r="K444" i="33" s="1"/>
  <c r="K449" i="33"/>
  <c r="O446" i="33"/>
  <c r="S446" i="33" s="1"/>
  <c r="K458" i="33"/>
  <c r="H456" i="33"/>
  <c r="G454" i="33"/>
  <c r="N166" i="33"/>
  <c r="N165" i="33"/>
  <c r="N145" i="33"/>
  <c r="N135" i="33"/>
  <c r="N136" i="33"/>
  <c r="N117" i="33"/>
  <c r="N133" i="33"/>
  <c r="N138" i="33"/>
  <c r="N137" i="33"/>
  <c r="N132" i="33"/>
  <c r="N130" i="33"/>
  <c r="N127" i="33"/>
  <c r="N126" i="33"/>
  <c r="N124" i="33"/>
  <c r="N123" i="33"/>
  <c r="N122" i="33"/>
  <c r="N121" i="33"/>
  <c r="N120" i="33"/>
  <c r="N119" i="33"/>
  <c r="N118" i="33"/>
  <c r="N102" i="33"/>
  <c r="N112" i="33"/>
  <c r="N99" i="33"/>
  <c r="N98" i="33"/>
  <c r="N101" i="33"/>
  <c r="N103" i="33"/>
  <c r="N107" i="33"/>
  <c r="N111" i="33"/>
  <c r="N97" i="33"/>
  <c r="L160" i="33"/>
  <c r="P160" i="33" s="1"/>
  <c r="L153" i="33"/>
  <c r="P153" i="33" s="1"/>
  <c r="L151" i="33"/>
  <c r="P151" i="33" s="1"/>
  <c r="J111" i="33"/>
  <c r="I111" i="33"/>
  <c r="H111" i="33"/>
  <c r="I96" i="33"/>
  <c r="J96" i="33"/>
  <c r="K96" i="33"/>
  <c r="H96" i="33"/>
  <c r="H97" i="33"/>
  <c r="F135" i="33"/>
  <c r="O135" i="33" s="1"/>
  <c r="F117" i="33"/>
  <c r="O117" i="33" s="1"/>
  <c r="F133" i="33"/>
  <c r="O133" i="33" s="1"/>
  <c r="F107" i="33"/>
  <c r="O107" i="33" s="1"/>
  <c r="D153" i="33"/>
  <c r="D157" i="33"/>
  <c r="D155" i="33"/>
  <c r="D152" i="33"/>
  <c r="D149" i="33"/>
  <c r="E36" i="45" s="1"/>
  <c r="D145" i="33"/>
  <c r="D136" i="33"/>
  <c r="F136" i="33" s="1"/>
  <c r="O136" i="33" s="1"/>
  <c r="D123" i="33"/>
  <c r="D122" i="33"/>
  <c r="D121" i="33"/>
  <c r="D119" i="33"/>
  <c r="C98" i="33"/>
  <c r="F98" i="33" s="1"/>
  <c r="O98" i="33" s="1"/>
  <c r="C99" i="33"/>
  <c r="F99" i="33" s="1"/>
  <c r="O99" i="33" s="1"/>
  <c r="C112" i="33"/>
  <c r="F112" i="33" s="1"/>
  <c r="O112" i="33" s="1"/>
  <c r="C102" i="33"/>
  <c r="F102" i="33" s="1"/>
  <c r="O102" i="33" s="1"/>
  <c r="C118" i="33"/>
  <c r="C120" i="33"/>
  <c r="F120" i="33" s="1"/>
  <c r="O120" i="33" s="1"/>
  <c r="C121" i="33"/>
  <c r="C122" i="33"/>
  <c r="C123" i="33"/>
  <c r="C124" i="33"/>
  <c r="C126" i="33"/>
  <c r="C130" i="33"/>
  <c r="F138" i="33"/>
  <c r="O138" i="33" s="1"/>
  <c r="C145" i="33"/>
  <c r="C149" i="33"/>
  <c r="C152" i="33"/>
  <c r="C155" i="33"/>
  <c r="C157" i="33"/>
  <c r="C161" i="33"/>
  <c r="C162" i="33"/>
  <c r="F162" i="33" s="1"/>
  <c r="O162" i="33" s="1"/>
  <c r="C97" i="33"/>
  <c r="B151" i="33"/>
  <c r="F151" i="33" s="1"/>
  <c r="O151" i="33" s="1"/>
  <c r="B160" i="33"/>
  <c r="B137" i="33"/>
  <c r="F137" i="33" s="1"/>
  <c r="O137" i="33" s="1"/>
  <c r="B101" i="33"/>
  <c r="B119" i="33"/>
  <c r="B121" i="33"/>
  <c r="B122" i="33"/>
  <c r="B123" i="33"/>
  <c r="B124" i="33"/>
  <c r="B126" i="33"/>
  <c r="B127" i="33"/>
  <c r="F127" i="33" s="1"/>
  <c r="O127" i="33" s="1"/>
  <c r="B130" i="33"/>
  <c r="B132" i="33"/>
  <c r="F132" i="33" s="1"/>
  <c r="O132" i="33" s="1"/>
  <c r="B149" i="33"/>
  <c r="C36" i="45" s="1"/>
  <c r="B150" i="33"/>
  <c r="B152" i="33"/>
  <c r="B155" i="33"/>
  <c r="B157" i="33"/>
  <c r="B159" i="33"/>
  <c r="F159" i="33" s="1"/>
  <c r="O159" i="33" s="1"/>
  <c r="B161" i="33"/>
  <c r="B103" i="33"/>
  <c r="F101" i="33" l="1"/>
  <c r="O101" i="33" s="1"/>
  <c r="C45" i="45"/>
  <c r="C33" i="45"/>
  <c r="E33" i="45"/>
  <c r="E45" i="45"/>
  <c r="E53" i="45" s="1"/>
  <c r="D36" i="45"/>
  <c r="G36" i="45" s="1"/>
  <c r="D33" i="45"/>
  <c r="D45" i="45"/>
  <c r="W431" i="33"/>
  <c r="S431" i="33"/>
  <c r="X431" i="33" s="1"/>
  <c r="X446" i="33"/>
  <c r="F145" i="33"/>
  <c r="O145" i="33" s="1"/>
  <c r="F119" i="33"/>
  <c r="O119" i="33" s="1"/>
  <c r="R119" i="33" s="1"/>
  <c r="F111" i="33"/>
  <c r="O111" i="33" s="1"/>
  <c r="F53" i="45"/>
  <c r="F8" i="45"/>
  <c r="O427" i="33"/>
  <c r="O423" i="33"/>
  <c r="F153" i="33"/>
  <c r="O153" i="33" s="1"/>
  <c r="U153" i="33" s="1"/>
  <c r="F103" i="33"/>
  <c r="O103" i="33" s="1"/>
  <c r="C8" i="45"/>
  <c r="D12" i="45"/>
  <c r="E8" i="45"/>
  <c r="F97" i="33"/>
  <c r="O97" i="33" s="1"/>
  <c r="D8" i="45"/>
  <c r="D53" i="45"/>
  <c r="C12" i="45"/>
  <c r="F150" i="33"/>
  <c r="O150" i="33" s="1"/>
  <c r="E12" i="45"/>
  <c r="C19" i="45"/>
  <c r="C22" i="45" s="1"/>
  <c r="U474" i="33"/>
  <c r="C11" i="45"/>
  <c r="O439" i="33"/>
  <c r="K454" i="33"/>
  <c r="O435" i="33"/>
  <c r="O419" i="33"/>
  <c r="V422" i="33"/>
  <c r="O422" i="33"/>
  <c r="V425" i="33"/>
  <c r="O425" i="33"/>
  <c r="V432" i="33"/>
  <c r="O432" i="33"/>
  <c r="W446" i="33"/>
  <c r="V434" i="33"/>
  <c r="O434" i="33"/>
  <c r="V418" i="33"/>
  <c r="O418" i="33"/>
  <c r="V437" i="33"/>
  <c r="O437" i="33"/>
  <c r="V421" i="33"/>
  <c r="O421" i="33"/>
  <c r="V451" i="33"/>
  <c r="O451" i="33"/>
  <c r="V428" i="33"/>
  <c r="O428" i="33"/>
  <c r="V450" i="33"/>
  <c r="O450" i="33"/>
  <c r="V449" i="33"/>
  <c r="O449" i="33"/>
  <c r="V430" i="33"/>
  <c r="O430" i="33"/>
  <c r="C15" i="45"/>
  <c r="V452" i="33"/>
  <c r="O452" i="33"/>
  <c r="V433" i="33"/>
  <c r="O433" i="33"/>
  <c r="K441" i="33"/>
  <c r="V417" i="33"/>
  <c r="O417" i="33"/>
  <c r="V447" i="33"/>
  <c r="O447" i="33"/>
  <c r="V424" i="33"/>
  <c r="O424" i="33"/>
  <c r="U441" i="33"/>
  <c r="U460" i="33" s="1"/>
  <c r="C7" i="45"/>
  <c r="V438" i="33"/>
  <c r="O438" i="33"/>
  <c r="V416" i="33"/>
  <c r="O416" i="33"/>
  <c r="S416" i="33" s="1"/>
  <c r="V426" i="33"/>
  <c r="O426" i="33"/>
  <c r="V448" i="33"/>
  <c r="O448" i="33"/>
  <c r="V429" i="33"/>
  <c r="O429" i="33"/>
  <c r="V436" i="33"/>
  <c r="O436" i="33"/>
  <c r="V420" i="33"/>
  <c r="O420" i="33"/>
  <c r="V458" i="33"/>
  <c r="O458" i="33"/>
  <c r="D166" i="33"/>
  <c r="E166" i="33"/>
  <c r="F122" i="33"/>
  <c r="O122" i="33" s="1"/>
  <c r="F121" i="33"/>
  <c r="O121" i="33" s="1"/>
  <c r="F160" i="33"/>
  <c r="O160" i="33" s="1"/>
  <c r="U160" i="33" s="1"/>
  <c r="F118" i="33"/>
  <c r="O118" i="33" s="1"/>
  <c r="I456" i="33"/>
  <c r="J456" i="33" s="1"/>
  <c r="K456" i="33" s="1"/>
  <c r="L456" i="33"/>
  <c r="M456" i="33" s="1"/>
  <c r="N456" i="33" s="1"/>
  <c r="O456" i="33" s="1"/>
  <c r="F149" i="33"/>
  <c r="O149" i="33" s="1"/>
  <c r="F155" i="33"/>
  <c r="O155" i="33" s="1"/>
  <c r="F124" i="33"/>
  <c r="O124" i="33" s="1"/>
  <c r="F161" i="33"/>
  <c r="O161" i="33" s="1"/>
  <c r="F152" i="33"/>
  <c r="O152" i="33" s="1"/>
  <c r="F130" i="33"/>
  <c r="O130" i="33" s="1"/>
  <c r="F123" i="33"/>
  <c r="O123" i="33" s="1"/>
  <c r="F157" i="33"/>
  <c r="O157" i="33" s="1"/>
  <c r="F126" i="33"/>
  <c r="O126" i="33" s="1"/>
  <c r="U151" i="33"/>
  <c r="C166" i="33"/>
  <c r="B166" i="33"/>
  <c r="F25" i="45"/>
  <c r="D165" i="33"/>
  <c r="E25" i="45" s="1"/>
  <c r="B165" i="33"/>
  <c r="C25" i="45" s="1"/>
  <c r="C165" i="33"/>
  <c r="G33" i="45" l="1"/>
  <c r="G45" i="45"/>
  <c r="W420" i="33"/>
  <c r="S420" i="33"/>
  <c r="X420" i="33" s="1"/>
  <c r="W429" i="33"/>
  <c r="S429" i="33"/>
  <c r="X429" i="33" s="1"/>
  <c r="W426" i="33"/>
  <c r="S426" i="33"/>
  <c r="X426" i="33" s="1"/>
  <c r="W438" i="33"/>
  <c r="S438" i="33"/>
  <c r="X438" i="33" s="1"/>
  <c r="W424" i="33"/>
  <c r="W466" i="33" s="1"/>
  <c r="S424" i="33"/>
  <c r="X424" i="33" s="1"/>
  <c r="W417" i="33"/>
  <c r="S417" i="33"/>
  <c r="X417" i="33" s="1"/>
  <c r="W430" i="33"/>
  <c r="S430" i="33"/>
  <c r="X430" i="33" s="1"/>
  <c r="W450" i="33"/>
  <c r="S450" i="33"/>
  <c r="X450" i="33" s="1"/>
  <c r="W451" i="33"/>
  <c r="S451" i="33"/>
  <c r="X451" i="33" s="1"/>
  <c r="W437" i="33"/>
  <c r="S437" i="33"/>
  <c r="X437" i="33" s="1"/>
  <c r="W434" i="33"/>
  <c r="S434" i="33"/>
  <c r="X434" i="33" s="1"/>
  <c r="W439" i="33"/>
  <c r="S439" i="33"/>
  <c r="X439" i="33" s="1"/>
  <c r="W423" i="33"/>
  <c r="S423" i="33"/>
  <c r="X423" i="33" s="1"/>
  <c r="W452" i="33"/>
  <c r="S452" i="33"/>
  <c r="X452" i="33" s="1"/>
  <c r="W425" i="33"/>
  <c r="S425" i="33"/>
  <c r="X425" i="33" s="1"/>
  <c r="W419" i="33"/>
  <c r="S419" i="33"/>
  <c r="X419" i="33" s="1"/>
  <c r="W427" i="33"/>
  <c r="S427" i="33"/>
  <c r="X427" i="33" s="1"/>
  <c r="W458" i="33"/>
  <c r="S458" i="33"/>
  <c r="X458" i="33" s="1"/>
  <c r="W436" i="33"/>
  <c r="S436" i="33"/>
  <c r="X436" i="33" s="1"/>
  <c r="W448" i="33"/>
  <c r="S448" i="33"/>
  <c r="X448" i="33" s="1"/>
  <c r="X416" i="33"/>
  <c r="W447" i="33"/>
  <c r="S447" i="33"/>
  <c r="W449" i="33"/>
  <c r="S449" i="33"/>
  <c r="X449" i="33" s="1"/>
  <c r="W428" i="33"/>
  <c r="S428" i="33"/>
  <c r="X428" i="33" s="1"/>
  <c r="W421" i="33"/>
  <c r="S421" i="33"/>
  <c r="X421" i="33" s="1"/>
  <c r="W418" i="33"/>
  <c r="S418" i="33"/>
  <c r="X418" i="33" s="1"/>
  <c r="W435" i="33"/>
  <c r="S435" i="33"/>
  <c r="X435" i="33" s="1"/>
  <c r="W433" i="33"/>
  <c r="S433" i="33"/>
  <c r="X433" i="33" s="1"/>
  <c r="W432" i="33"/>
  <c r="S432" i="33"/>
  <c r="X432" i="33" s="1"/>
  <c r="W422" i="33"/>
  <c r="S422" i="33"/>
  <c r="X422" i="33" s="1"/>
  <c r="D25" i="45"/>
  <c r="V464" i="33"/>
  <c r="V471" i="33" s="1"/>
  <c r="V465" i="33"/>
  <c r="V472" i="33" s="1"/>
  <c r="G12" i="45"/>
  <c r="G8" i="45"/>
  <c r="C53" i="45"/>
  <c r="G53" i="45" s="1"/>
  <c r="V463" i="33"/>
  <c r="V470" i="33" s="1"/>
  <c r="V454" i="33"/>
  <c r="V466" i="33"/>
  <c r="W416" i="33"/>
  <c r="W463" i="33" s="1"/>
  <c r="W470" i="33" s="1"/>
  <c r="O441" i="33"/>
  <c r="O454" i="33"/>
  <c r="V441" i="33"/>
  <c r="E19" i="45"/>
  <c r="E22" i="45" s="1"/>
  <c r="U467" i="33"/>
  <c r="C24" i="45" s="1"/>
  <c r="F166" i="33"/>
  <c r="O166" i="33" s="1"/>
  <c r="F165" i="33"/>
  <c r="O165" i="33" s="1"/>
  <c r="Q165" i="33" s="1"/>
  <c r="O75" i="33"/>
  <c r="N75" i="33"/>
  <c r="J77" i="33"/>
  <c r="I77" i="33"/>
  <c r="H77" i="33"/>
  <c r="H76" i="33"/>
  <c r="I75" i="33"/>
  <c r="J75" i="33"/>
  <c r="K75" i="33"/>
  <c r="H75" i="33"/>
  <c r="C90" i="33"/>
  <c r="D90" i="33"/>
  <c r="E90" i="33"/>
  <c r="B90" i="33"/>
  <c r="C89" i="33"/>
  <c r="D89" i="33"/>
  <c r="E89" i="33"/>
  <c r="C88" i="33"/>
  <c r="D88" i="33"/>
  <c r="E88" i="33"/>
  <c r="C87" i="33"/>
  <c r="D87" i="33"/>
  <c r="E87" i="33"/>
  <c r="C86" i="33"/>
  <c r="D86" i="33"/>
  <c r="E86" i="33"/>
  <c r="C85" i="33"/>
  <c r="D85" i="33"/>
  <c r="E85" i="33"/>
  <c r="C84" i="33"/>
  <c r="D84" i="33"/>
  <c r="E84" i="33"/>
  <c r="C83" i="33"/>
  <c r="D83" i="33"/>
  <c r="E83" i="33"/>
  <c r="C82" i="33"/>
  <c r="D82" i="33"/>
  <c r="E82" i="33"/>
  <c r="C81" i="33"/>
  <c r="D81" i="33"/>
  <c r="E81" i="33"/>
  <c r="B81" i="33"/>
  <c r="C80" i="33"/>
  <c r="D80" i="33"/>
  <c r="E80" i="33"/>
  <c r="C79" i="33"/>
  <c r="D79" i="33"/>
  <c r="E79" i="33"/>
  <c r="B79" i="33"/>
  <c r="C78" i="33"/>
  <c r="D78" i="33"/>
  <c r="E78" i="33"/>
  <c r="B78" i="33"/>
  <c r="C77" i="33"/>
  <c r="D77" i="33"/>
  <c r="E77" i="33"/>
  <c r="B77" i="33"/>
  <c r="E91" i="33"/>
  <c r="D91" i="33"/>
  <c r="C91" i="33"/>
  <c r="B91" i="33"/>
  <c r="B89" i="33"/>
  <c r="B88" i="33"/>
  <c r="B87" i="33"/>
  <c r="B86" i="33"/>
  <c r="B85" i="33"/>
  <c r="B84" i="33"/>
  <c r="B83" i="33"/>
  <c r="B82" i="33"/>
  <c r="B80" i="33"/>
  <c r="E76" i="33"/>
  <c r="D76" i="33"/>
  <c r="C76" i="33"/>
  <c r="B76" i="33"/>
  <c r="C52" i="45" l="1"/>
  <c r="W454" i="33"/>
  <c r="W465" i="33"/>
  <c r="W473" i="33"/>
  <c r="X465" i="33"/>
  <c r="F15" i="45" s="1"/>
  <c r="W464" i="33"/>
  <c r="W471" i="33" s="1"/>
  <c r="W472" i="33"/>
  <c r="E15" i="45"/>
  <c r="X464" i="33"/>
  <c r="F11" i="45" s="1"/>
  <c r="X441" i="33"/>
  <c r="X463" i="33"/>
  <c r="S441" i="33"/>
  <c r="X447" i="33"/>
  <c r="X454" i="33" s="1"/>
  <c r="S454" i="33"/>
  <c r="G25" i="45"/>
  <c r="V460" i="33"/>
  <c r="D11" i="45"/>
  <c r="D15" i="45"/>
  <c r="D19" i="45"/>
  <c r="D22" i="45" s="1"/>
  <c r="G22" i="45" s="1"/>
  <c r="W441" i="33"/>
  <c r="W460" i="33" s="1"/>
  <c r="V467" i="33"/>
  <c r="D24" i="45" s="1"/>
  <c r="D52" i="45" s="1"/>
  <c r="D7" i="45"/>
  <c r="D92" i="33"/>
  <c r="F87" i="33"/>
  <c r="N87" i="33" s="1"/>
  <c r="Q127" i="33" s="1"/>
  <c r="F77" i="33"/>
  <c r="N77" i="33" s="1"/>
  <c r="F89" i="33"/>
  <c r="N89" i="33" s="1"/>
  <c r="F83" i="33"/>
  <c r="N83" i="33" s="1"/>
  <c r="Q122" i="33" s="1"/>
  <c r="F81" i="33"/>
  <c r="N81" i="33" s="1"/>
  <c r="F85" i="33"/>
  <c r="N85" i="33" s="1"/>
  <c r="B92" i="33"/>
  <c r="F90" i="33"/>
  <c r="N90" i="33" s="1"/>
  <c r="C92" i="33"/>
  <c r="E92" i="33"/>
  <c r="F84" i="33"/>
  <c r="N84" i="33" s="1"/>
  <c r="F88" i="33"/>
  <c r="N88" i="33" s="1"/>
  <c r="F80" i="33"/>
  <c r="N80" i="33" s="1"/>
  <c r="Q119" i="33" s="1"/>
  <c r="F82" i="33"/>
  <c r="N82" i="33" s="1"/>
  <c r="Q121" i="33" s="1"/>
  <c r="F86" i="33"/>
  <c r="N86" i="33" s="1"/>
  <c r="F91" i="33"/>
  <c r="N91" i="33" s="1"/>
  <c r="F78" i="33"/>
  <c r="N78" i="33" s="1"/>
  <c r="Q101" i="33" s="1"/>
  <c r="F79" i="33"/>
  <c r="N79" i="33" s="1"/>
  <c r="Q118" i="33" s="1"/>
  <c r="F76" i="33"/>
  <c r="E11" i="45" l="1"/>
  <c r="G15" i="45"/>
  <c r="X460" i="33"/>
  <c r="X467" i="33"/>
  <c r="F24" i="45" s="1"/>
  <c r="F52" i="45" s="1"/>
  <c r="F7" i="45"/>
  <c r="G11" i="45"/>
  <c r="V474" i="33"/>
  <c r="G19" i="45"/>
  <c r="W474" i="33"/>
  <c r="W467" i="33"/>
  <c r="E24" i="45" s="1"/>
  <c r="G24" i="45" s="1"/>
  <c r="E7" i="45"/>
  <c r="Q123" i="33"/>
  <c r="Q132" i="33"/>
  <c r="Q145" i="33"/>
  <c r="Q111" i="33"/>
  <c r="Q124" i="33"/>
  <c r="Q126" i="33"/>
  <c r="Q130" i="33"/>
  <c r="Q138" i="33"/>
  <c r="F92" i="33"/>
  <c r="N92" i="33" s="1"/>
  <c r="R165" i="33" s="1"/>
  <c r="S165" i="33" s="1"/>
  <c r="N76" i="33"/>
  <c r="F39" i="33"/>
  <c r="E39" i="33"/>
  <c r="D39" i="33"/>
  <c r="B38" i="33"/>
  <c r="G26" i="33"/>
  <c r="F26" i="33"/>
  <c r="E26" i="33"/>
  <c r="D26" i="33"/>
  <c r="C26" i="33"/>
  <c r="B26" i="33"/>
  <c r="AK107" i="37"/>
  <c r="AJ107" i="37"/>
  <c r="AI107" i="37" s="1"/>
  <c r="E52" i="45" l="1"/>
  <c r="G52" i="45" s="1"/>
  <c r="G7" i="45"/>
  <c r="Q97" i="33"/>
  <c r="F50" i="44"/>
  <c r="G50" i="44" s="1"/>
  <c r="F49" i="44"/>
  <c r="F48" i="44"/>
  <c r="F47" i="44"/>
  <c r="F45" i="44"/>
  <c r="G45" i="44" s="1"/>
  <c r="F44" i="44"/>
  <c r="G44" i="44" s="1"/>
  <c r="F43" i="44"/>
  <c r="G43" i="44" s="1"/>
  <c r="F42" i="44"/>
  <c r="G42" i="44" s="1"/>
  <c r="F41" i="44"/>
  <c r="G41" i="44" s="1"/>
  <c r="F40" i="44"/>
  <c r="G40" i="44" s="1"/>
  <c r="F39" i="44"/>
  <c r="F38" i="44"/>
  <c r="F36" i="44"/>
  <c r="G36" i="44" s="1"/>
  <c r="F35" i="44"/>
  <c r="F34" i="44"/>
  <c r="G34" i="44" s="1"/>
  <c r="F33" i="44"/>
  <c r="F32" i="44"/>
  <c r="G32" i="44" s="1"/>
  <c r="F31" i="44"/>
  <c r="F30" i="44"/>
  <c r="F29" i="44"/>
  <c r="F27" i="44"/>
  <c r="F26" i="44"/>
  <c r="F25" i="44"/>
  <c r="F24" i="44"/>
  <c r="F23" i="44"/>
  <c r="F22" i="44"/>
  <c r="G22" i="44" s="1"/>
  <c r="E50" i="44" l="1"/>
  <c r="E49" i="44"/>
  <c r="E48" i="44"/>
  <c r="E47" i="44"/>
  <c r="E45" i="44"/>
  <c r="E44" i="44"/>
  <c r="E43" i="44"/>
  <c r="E42" i="44"/>
  <c r="E41" i="44"/>
  <c r="E40" i="44"/>
  <c r="E39" i="44"/>
  <c r="E38" i="44"/>
  <c r="E36" i="44"/>
  <c r="E35" i="44"/>
  <c r="E34" i="44"/>
  <c r="E33" i="44"/>
  <c r="E32" i="44"/>
  <c r="E31" i="44"/>
  <c r="E30" i="44"/>
  <c r="E29" i="44"/>
  <c r="E27" i="44"/>
  <c r="E26" i="44"/>
  <c r="E25" i="44"/>
  <c r="E24" i="44"/>
  <c r="E23" i="44"/>
  <c r="E22" i="44"/>
  <c r="D50" i="44" l="1"/>
  <c r="I50" i="44" s="1"/>
  <c r="G259" i="33" s="1"/>
  <c r="D49" i="44"/>
  <c r="I49" i="44" s="1"/>
  <c r="D48" i="44"/>
  <c r="I48" i="44" s="1"/>
  <c r="AT115" i="32" s="1"/>
  <c r="D47" i="44"/>
  <c r="J47" i="44" s="1"/>
  <c r="D45" i="44"/>
  <c r="J45" i="44" s="1"/>
  <c r="D44" i="44"/>
  <c r="I44" i="44" s="1"/>
  <c r="G250" i="33" s="1"/>
  <c r="D43" i="44"/>
  <c r="I43" i="44" s="1"/>
  <c r="D42" i="44"/>
  <c r="I42" i="44" s="1"/>
  <c r="G247" i="33" s="1"/>
  <c r="D41" i="44"/>
  <c r="J41" i="44" s="1"/>
  <c r="D40" i="44"/>
  <c r="I40" i="44" s="1"/>
  <c r="D39" i="44"/>
  <c r="I39" i="44" s="1"/>
  <c r="D38" i="44"/>
  <c r="J38" i="44" s="1"/>
  <c r="H245" i="33" s="1"/>
  <c r="D36" i="44"/>
  <c r="J36" i="44" s="1"/>
  <c r="D35" i="44"/>
  <c r="D34" i="44"/>
  <c r="I34" i="44" s="1"/>
  <c r="D33" i="44"/>
  <c r="I33" i="44" s="1"/>
  <c r="G232" i="33" s="1"/>
  <c r="D32" i="44"/>
  <c r="I32" i="44" s="1"/>
  <c r="D31" i="44"/>
  <c r="D30" i="44"/>
  <c r="I30" i="44" s="1"/>
  <c r="G231" i="33" s="1"/>
  <c r="D29" i="44"/>
  <c r="J29" i="44" s="1"/>
  <c r="H230" i="33" s="1"/>
  <c r="D27" i="44"/>
  <c r="J27" i="44" s="1"/>
  <c r="D26" i="44"/>
  <c r="J26" i="44" s="1"/>
  <c r="D25" i="44"/>
  <c r="I25" i="44" s="1"/>
  <c r="D24" i="44"/>
  <c r="I24" i="44" s="1"/>
  <c r="D23" i="44"/>
  <c r="D22" i="44"/>
  <c r="H50" i="44"/>
  <c r="L50" i="44"/>
  <c r="J259" i="33" s="1"/>
  <c r="J50" i="44"/>
  <c r="H259" i="33" s="1"/>
  <c r="H49" i="44"/>
  <c r="L49" i="44"/>
  <c r="H48" i="44"/>
  <c r="L48" i="44"/>
  <c r="H47" i="44"/>
  <c r="L47" i="44"/>
  <c r="G46" i="44"/>
  <c r="E46" i="44"/>
  <c r="C46" i="44"/>
  <c r="B46" i="44"/>
  <c r="H45" i="44"/>
  <c r="L45" i="44"/>
  <c r="H44" i="44"/>
  <c r="L44" i="44"/>
  <c r="J250" i="33" s="1"/>
  <c r="J44" i="44"/>
  <c r="H250" i="33" s="1"/>
  <c r="L43" i="44"/>
  <c r="H43" i="44"/>
  <c r="K43" i="44"/>
  <c r="L42" i="44"/>
  <c r="J247" i="33" s="1"/>
  <c r="H42" i="44"/>
  <c r="K42" i="44"/>
  <c r="I247" i="33" s="1"/>
  <c r="L41" i="44"/>
  <c r="H41" i="44"/>
  <c r="L40" i="44"/>
  <c r="H40" i="44"/>
  <c r="H39" i="44"/>
  <c r="K39" i="44"/>
  <c r="H38" i="44"/>
  <c r="K38" i="44"/>
  <c r="I245" i="33" s="1"/>
  <c r="G37" i="44"/>
  <c r="D18" i="16" s="1"/>
  <c r="F37" i="44"/>
  <c r="D17" i="16" s="1"/>
  <c r="C37" i="44"/>
  <c r="D14" i="16" s="1"/>
  <c r="B37" i="44"/>
  <c r="H36" i="44"/>
  <c r="L36" i="44"/>
  <c r="H35" i="44"/>
  <c r="L35" i="44"/>
  <c r="J236" i="33" s="1"/>
  <c r="J35" i="44"/>
  <c r="H236" i="33" s="1"/>
  <c r="I35" i="44"/>
  <c r="G236" i="33" s="1"/>
  <c r="H34" i="44"/>
  <c r="L34" i="44"/>
  <c r="H33" i="44"/>
  <c r="L33" i="44"/>
  <c r="J232" i="33" s="1"/>
  <c r="H32" i="44"/>
  <c r="L32" i="44"/>
  <c r="H31" i="44"/>
  <c r="L31" i="44"/>
  <c r="J31" i="44"/>
  <c r="I31" i="44"/>
  <c r="I53" i="44" s="1"/>
  <c r="H30" i="44"/>
  <c r="L30" i="44"/>
  <c r="J231" i="33" s="1"/>
  <c r="H29" i="44"/>
  <c r="G28" i="44"/>
  <c r="C18" i="16" s="1"/>
  <c r="E28" i="44"/>
  <c r="C16" i="16" s="1"/>
  <c r="C28" i="44"/>
  <c r="C14" i="16" s="1"/>
  <c r="F14" i="16" s="1"/>
  <c r="B28" i="44"/>
  <c r="H27" i="44"/>
  <c r="K27" i="44"/>
  <c r="H26" i="44"/>
  <c r="K26" i="44"/>
  <c r="H25" i="44"/>
  <c r="L25" i="44"/>
  <c r="H24" i="44"/>
  <c r="L24" i="44"/>
  <c r="L23" i="44"/>
  <c r="J23" i="44"/>
  <c r="I23" i="44"/>
  <c r="H23" i="44"/>
  <c r="K23" i="44"/>
  <c r="L22" i="44"/>
  <c r="H22" i="44"/>
  <c r="I22" i="44"/>
  <c r="G21" i="44"/>
  <c r="E18" i="16" s="1"/>
  <c r="F21" i="44"/>
  <c r="E17" i="16" s="1"/>
  <c r="E21" i="44"/>
  <c r="E16" i="16" s="1"/>
  <c r="C21" i="44"/>
  <c r="E14" i="16" s="1"/>
  <c r="B21" i="44"/>
  <c r="J30" i="44" l="1"/>
  <c r="H231" i="33" s="1"/>
  <c r="I36" i="44"/>
  <c r="I27" i="44"/>
  <c r="G278" i="33" s="1"/>
  <c r="J40" i="44"/>
  <c r="I41" i="44"/>
  <c r="I26" i="44"/>
  <c r="AT128" i="32" s="1"/>
  <c r="J55" i="44"/>
  <c r="J53" i="44"/>
  <c r="L55" i="44"/>
  <c r="L53" i="44"/>
  <c r="I55" i="44"/>
  <c r="I56" i="44" s="1"/>
  <c r="J227" i="33"/>
  <c r="G227" i="33"/>
  <c r="H227" i="33"/>
  <c r="I29" i="44"/>
  <c r="G230" i="33" s="1"/>
  <c r="G273" i="33"/>
  <c r="AT121" i="32"/>
  <c r="H280" i="33"/>
  <c r="BD128" i="32"/>
  <c r="H278" i="33"/>
  <c r="BD123" i="32"/>
  <c r="J253" i="33"/>
  <c r="BX111" i="32"/>
  <c r="G279" i="33"/>
  <c r="AT127" i="32"/>
  <c r="H273" i="33"/>
  <c r="J279" i="33"/>
  <c r="BX127" i="32"/>
  <c r="I280" i="33"/>
  <c r="BN128" i="32"/>
  <c r="I278" i="33"/>
  <c r="BN123" i="32"/>
  <c r="J274" i="33"/>
  <c r="BX122" i="32"/>
  <c r="G280" i="33"/>
  <c r="G274" i="33"/>
  <c r="AT122" i="32"/>
  <c r="H253" i="33"/>
  <c r="BD111" i="32"/>
  <c r="I273" i="33"/>
  <c r="J273" i="33"/>
  <c r="BX121" i="32"/>
  <c r="J257" i="33"/>
  <c r="BX115" i="32"/>
  <c r="F18" i="16"/>
  <c r="I38" i="44"/>
  <c r="G245" i="33" s="1"/>
  <c r="G251" i="33" s="1"/>
  <c r="X10" i="33" s="1"/>
  <c r="G257" i="33"/>
  <c r="D37" i="44"/>
  <c r="D15" i="16" s="1"/>
  <c r="I45" i="44"/>
  <c r="J32" i="44"/>
  <c r="D28" i="44"/>
  <c r="C15" i="16" s="1"/>
  <c r="H46" i="44"/>
  <c r="H37" i="44"/>
  <c r="H28" i="44"/>
  <c r="H21" i="44"/>
  <c r="F28" i="44"/>
  <c r="C17" i="16" s="1"/>
  <c r="F17" i="16" s="1"/>
  <c r="L38" i="44"/>
  <c r="J245" i="33" s="1"/>
  <c r="J251" i="33" s="1"/>
  <c r="AJ10" i="33" s="1"/>
  <c r="L39" i="44"/>
  <c r="F46" i="44"/>
  <c r="L46" i="44"/>
  <c r="E37" i="44"/>
  <c r="D16" i="16" s="1"/>
  <c r="F16" i="16" s="1"/>
  <c r="K44" i="44"/>
  <c r="I250" i="33" s="1"/>
  <c r="I251" i="33" s="1"/>
  <c r="AF10" i="33" s="1"/>
  <c r="K41" i="44"/>
  <c r="K45" i="44"/>
  <c r="K40" i="44"/>
  <c r="K22" i="44"/>
  <c r="BN121" i="32" s="1"/>
  <c r="K30" i="44"/>
  <c r="I231" i="33" s="1"/>
  <c r="D46" i="44"/>
  <c r="J48" i="44"/>
  <c r="J49" i="44"/>
  <c r="J42" i="44"/>
  <c r="H247" i="33" s="1"/>
  <c r="H251" i="33" s="1"/>
  <c r="AB10" i="33" s="1"/>
  <c r="J39" i="44"/>
  <c r="J43" i="44"/>
  <c r="J33" i="44"/>
  <c r="J34" i="44"/>
  <c r="D21" i="44"/>
  <c r="E15" i="16" s="1"/>
  <c r="J24" i="44"/>
  <c r="J25" i="44"/>
  <c r="J22" i="44"/>
  <c r="BD121" i="32" s="1"/>
  <c r="K29" i="44"/>
  <c r="I230" i="33" s="1"/>
  <c r="K31" i="44"/>
  <c r="K32" i="44"/>
  <c r="K33" i="44"/>
  <c r="I232" i="33" s="1"/>
  <c r="K34" i="44"/>
  <c r="K35" i="44"/>
  <c r="I236" i="33" s="1"/>
  <c r="K36" i="44"/>
  <c r="K24" i="44"/>
  <c r="L26" i="44"/>
  <c r="BX128" i="32" s="1"/>
  <c r="L27" i="44"/>
  <c r="K47" i="44"/>
  <c r="K48" i="44"/>
  <c r="K49" i="44"/>
  <c r="K50" i="44"/>
  <c r="I259" i="33" s="1"/>
  <c r="I47" i="44"/>
  <c r="AT111" i="32" s="1"/>
  <c r="AT118" i="32" s="1"/>
  <c r="K25" i="44"/>
  <c r="L29" i="44"/>
  <c r="I21" i="44" l="1"/>
  <c r="AT123" i="32"/>
  <c r="J301" i="33"/>
  <c r="F14" i="45" s="1"/>
  <c r="G301" i="33"/>
  <c r="C14" i="45" s="1"/>
  <c r="G239" i="33"/>
  <c r="G299" i="33" s="1"/>
  <c r="C6" i="45" s="1"/>
  <c r="K55" i="44"/>
  <c r="K53" i="44"/>
  <c r="H301" i="33"/>
  <c r="D14" i="45" s="1"/>
  <c r="I28" i="44"/>
  <c r="I227" i="33"/>
  <c r="I301" i="33" s="1"/>
  <c r="E14" i="45" s="1"/>
  <c r="I37" i="44"/>
  <c r="J260" i="33"/>
  <c r="AJ11" i="33" s="1"/>
  <c r="G283" i="33"/>
  <c r="X8" i="33" s="1"/>
  <c r="H274" i="33"/>
  <c r="BD122" i="32"/>
  <c r="BN115" i="32"/>
  <c r="I279" i="33"/>
  <c r="BN127" i="32"/>
  <c r="I274" i="33"/>
  <c r="BN122" i="32"/>
  <c r="BD115" i="32"/>
  <c r="BD118" i="32" s="1"/>
  <c r="AT131" i="32"/>
  <c r="I253" i="33"/>
  <c r="BN111" i="32"/>
  <c r="J278" i="33"/>
  <c r="BX123" i="32"/>
  <c r="BX131" i="32" s="1"/>
  <c r="H279" i="33"/>
  <c r="BD127" i="32"/>
  <c r="BX118" i="32"/>
  <c r="F15" i="16"/>
  <c r="H257" i="33"/>
  <c r="H260" i="33" s="1"/>
  <c r="AB11" i="33" s="1"/>
  <c r="L21" i="44"/>
  <c r="J280" i="33"/>
  <c r="J28" i="44"/>
  <c r="H232" i="33"/>
  <c r="H239" i="33" s="1"/>
  <c r="H299" i="33" s="1"/>
  <c r="I46" i="44"/>
  <c r="G253" i="33"/>
  <c r="G260" i="33" s="1"/>
  <c r="X11" i="33" s="1"/>
  <c r="L28" i="44"/>
  <c r="J230" i="33"/>
  <c r="J239" i="33" s="1"/>
  <c r="J299" i="33" s="1"/>
  <c r="F6" i="45" s="1"/>
  <c r="I257" i="33"/>
  <c r="K37" i="44"/>
  <c r="L37" i="44"/>
  <c r="K21" i="44"/>
  <c r="K28" i="44"/>
  <c r="J21" i="44"/>
  <c r="J46" i="44"/>
  <c r="J37" i="44"/>
  <c r="K46" i="44"/>
  <c r="X7" i="33" l="1"/>
  <c r="X9" i="33" s="1"/>
  <c r="C35" i="33" s="1"/>
  <c r="I239" i="33"/>
  <c r="I299" i="33" s="1"/>
  <c r="E6" i="45" s="1"/>
  <c r="G14" i="45"/>
  <c r="BN118" i="32"/>
  <c r="H283" i="33"/>
  <c r="AB8" i="33" s="1"/>
  <c r="I283" i="33"/>
  <c r="AF8" i="33" s="1"/>
  <c r="BD131" i="32"/>
  <c r="I260" i="33"/>
  <c r="AF11" i="33" s="1"/>
  <c r="BN131" i="32"/>
  <c r="J283" i="33"/>
  <c r="AJ8" i="33" s="1"/>
  <c r="D6" i="45"/>
  <c r="G300" i="33"/>
  <c r="AJ7" i="33"/>
  <c r="AB7" i="33"/>
  <c r="G296" i="33"/>
  <c r="BN46" i="32"/>
  <c r="AH55" i="33" s="1"/>
  <c r="BN45" i="32"/>
  <c r="AH54" i="33" s="1"/>
  <c r="BN27" i="32"/>
  <c r="AH47" i="33" s="1"/>
  <c r="BN26" i="32"/>
  <c r="AH46" i="33" s="1"/>
  <c r="BN25" i="32"/>
  <c r="AH45" i="33" s="1"/>
  <c r="AB9" i="33" l="1"/>
  <c r="C36" i="33" s="1"/>
  <c r="AF7" i="33"/>
  <c r="H296" i="33"/>
  <c r="H300" i="33"/>
  <c r="D10" i="45" s="1"/>
  <c r="X13" i="33"/>
  <c r="I300" i="33"/>
  <c r="E10" i="45" s="1"/>
  <c r="I296" i="33"/>
  <c r="J300" i="33"/>
  <c r="J296" i="33"/>
  <c r="AJ9" i="33"/>
  <c r="C38" i="33" s="1"/>
  <c r="C10" i="45"/>
  <c r="G303" i="33"/>
  <c r="C23" i="45" s="1"/>
  <c r="C51" i="45" s="1"/>
  <c r="G6" i="45"/>
  <c r="AF9" i="33"/>
  <c r="C37" i="33" s="1"/>
  <c r="AD7" i="33"/>
  <c r="AD8" i="33"/>
  <c r="AB13" i="33" l="1"/>
  <c r="C39" i="33"/>
  <c r="J303" i="33"/>
  <c r="F23" i="45" s="1"/>
  <c r="F51" i="45" s="1"/>
  <c r="F10" i="45"/>
  <c r="G10" i="45" s="1"/>
  <c r="H303" i="33"/>
  <c r="D23" i="45" s="1"/>
  <c r="D51" i="45" s="1"/>
  <c r="I303" i="33"/>
  <c r="E23" i="45" s="1"/>
  <c r="AJ13" i="33"/>
  <c r="AF13" i="33"/>
  <c r="AD9" i="33"/>
  <c r="AD13" i="33" s="1"/>
  <c r="BF125" i="37"/>
  <c r="BE125" i="37"/>
  <c r="K164" i="33" s="1"/>
  <c r="BF124" i="37"/>
  <c r="BE124" i="37"/>
  <c r="K161" i="33" s="1"/>
  <c r="BF123" i="37"/>
  <c r="BE123" i="37"/>
  <c r="K149" i="33" s="1"/>
  <c r="BF122" i="37"/>
  <c r="BE122" i="37"/>
  <c r="K159" i="33" s="1"/>
  <c r="BF121" i="37"/>
  <c r="BE121" i="37"/>
  <c r="K157" i="33" s="1"/>
  <c r="BF120" i="37"/>
  <c r="BE120" i="37"/>
  <c r="K155" i="33" s="1"/>
  <c r="BF119" i="37"/>
  <c r="BE119" i="37"/>
  <c r="K154" i="33" s="1"/>
  <c r="BF118" i="37"/>
  <c r="BE118" i="37"/>
  <c r="BF117" i="37"/>
  <c r="BE117" i="37"/>
  <c r="K150" i="33" s="1"/>
  <c r="BF116" i="37"/>
  <c r="BE116" i="37"/>
  <c r="K162" i="33" s="1"/>
  <c r="BJ125" i="37"/>
  <c r="BJ124" i="37"/>
  <c r="BJ123" i="37"/>
  <c r="BJ122" i="37"/>
  <c r="BJ121" i="37"/>
  <c r="BJ120" i="37"/>
  <c r="BJ119" i="37"/>
  <c r="BJ118" i="37"/>
  <c r="BJ117" i="37"/>
  <c r="BI115" i="37"/>
  <c r="BH115" i="37"/>
  <c r="BF112" i="37"/>
  <c r="BE112" i="37"/>
  <c r="K114" i="59" s="1"/>
  <c r="BF111" i="37"/>
  <c r="BE111" i="37"/>
  <c r="K113" i="59" s="1"/>
  <c r="BF110" i="37"/>
  <c r="BE110" i="37"/>
  <c r="BF109" i="37"/>
  <c r="BE109" i="37"/>
  <c r="BF105" i="37"/>
  <c r="BE105" i="37"/>
  <c r="K107" i="59" s="1"/>
  <c r="BF104" i="37"/>
  <c r="BE104" i="37"/>
  <c r="BF103" i="37"/>
  <c r="BE103" i="37"/>
  <c r="BF102" i="37"/>
  <c r="BE102" i="37"/>
  <c r="BF101" i="37"/>
  <c r="BE101" i="37"/>
  <c r="G93" i="57" s="1"/>
  <c r="BF100" i="37"/>
  <c r="BE100" i="37"/>
  <c r="K102" i="59" s="1"/>
  <c r="BF98" i="37"/>
  <c r="BE98" i="37"/>
  <c r="K100" i="59" s="1"/>
  <c r="BF97" i="37"/>
  <c r="BE97" i="37"/>
  <c r="BF96" i="37"/>
  <c r="BE96" i="37"/>
  <c r="BF94" i="37"/>
  <c r="BE94" i="37"/>
  <c r="K96" i="59" s="1"/>
  <c r="BF93" i="37"/>
  <c r="BE93" i="37"/>
  <c r="BF92" i="37"/>
  <c r="BE92" i="37"/>
  <c r="K94" i="59" s="1"/>
  <c r="BF91" i="37"/>
  <c r="BE91" i="37"/>
  <c r="K93" i="59" s="1"/>
  <c r="BJ112" i="37"/>
  <c r="BJ111" i="37"/>
  <c r="BJ110" i="37"/>
  <c r="BJ109" i="37"/>
  <c r="BI108" i="37"/>
  <c r="BH108" i="37"/>
  <c r="BJ105" i="37"/>
  <c r="BJ104" i="37"/>
  <c r="BJ103" i="37"/>
  <c r="BJ102" i="37"/>
  <c r="BJ101" i="37"/>
  <c r="BJ100" i="37"/>
  <c r="BI99" i="37"/>
  <c r="BH99" i="37"/>
  <c r="BJ98" i="37"/>
  <c r="BJ97" i="37"/>
  <c r="BJ96" i="37"/>
  <c r="BI95" i="37"/>
  <c r="BH95" i="37"/>
  <c r="BJ94" i="37"/>
  <c r="BJ93" i="37"/>
  <c r="BJ92" i="37"/>
  <c r="BJ91" i="37"/>
  <c r="BI90" i="37"/>
  <c r="BH90" i="37"/>
  <c r="BF85" i="37"/>
  <c r="BE85" i="37"/>
  <c r="BF84" i="37"/>
  <c r="BE84" i="37"/>
  <c r="K85" i="59" s="1"/>
  <c r="BF83" i="37"/>
  <c r="BE83" i="37"/>
  <c r="BF82" i="37"/>
  <c r="BE82" i="37"/>
  <c r="K83" i="59" s="1"/>
  <c r="BF81" i="37"/>
  <c r="BE81" i="37"/>
  <c r="BF80" i="37"/>
  <c r="BE80" i="37"/>
  <c r="BF76" i="37"/>
  <c r="BE76" i="37"/>
  <c r="BF75" i="37"/>
  <c r="BE75" i="37"/>
  <c r="K77" i="59" s="1"/>
  <c r="BF74" i="37"/>
  <c r="BE74" i="37"/>
  <c r="BF73" i="37"/>
  <c r="BE73" i="37"/>
  <c r="K75" i="59" s="1"/>
  <c r="BF72" i="37"/>
  <c r="BE72" i="37"/>
  <c r="K74" i="59" s="1"/>
  <c r="BF71" i="37"/>
  <c r="BE71" i="37"/>
  <c r="K73" i="59" s="1"/>
  <c r="BF70" i="37"/>
  <c r="BE70" i="37"/>
  <c r="K72" i="59" s="1"/>
  <c r="BF68" i="37"/>
  <c r="BE68" i="37"/>
  <c r="BF67" i="37"/>
  <c r="BE67" i="37"/>
  <c r="K70" i="59" s="1"/>
  <c r="BF66" i="37"/>
  <c r="BE66" i="37"/>
  <c r="K69" i="59" s="1"/>
  <c r="BF65" i="37"/>
  <c r="BE65" i="37"/>
  <c r="K68" i="59" s="1"/>
  <c r="BF64" i="37"/>
  <c r="BE64" i="37"/>
  <c r="K67" i="59" s="1"/>
  <c r="BF62" i="37"/>
  <c r="BE62" i="37"/>
  <c r="K66" i="59" s="1"/>
  <c r="BF61" i="37"/>
  <c r="BE61" i="37"/>
  <c r="BF60" i="37"/>
  <c r="BE60" i="37"/>
  <c r="K64" i="59" s="1"/>
  <c r="BF59" i="37"/>
  <c r="BE59" i="37"/>
  <c r="K63" i="59" s="1"/>
  <c r="BF58" i="37"/>
  <c r="BE58" i="37"/>
  <c r="K62" i="59" s="1"/>
  <c r="BF57" i="37"/>
  <c r="BE57" i="37"/>
  <c r="K61" i="59" s="1"/>
  <c r="BF56" i="37"/>
  <c r="BE56" i="37"/>
  <c r="K60" i="59" s="1"/>
  <c r="BF55" i="37"/>
  <c r="BE55" i="37"/>
  <c r="BF51" i="37"/>
  <c r="BE51" i="37"/>
  <c r="K55" i="59" s="1"/>
  <c r="BF49" i="37"/>
  <c r="BE49" i="37"/>
  <c r="K54" i="59" s="1"/>
  <c r="BF48" i="37"/>
  <c r="BE48" i="37"/>
  <c r="K53" i="59" s="1"/>
  <c r="BF47" i="37"/>
  <c r="BE47" i="37"/>
  <c r="K52" i="59" s="1"/>
  <c r="BF46" i="37"/>
  <c r="BE46" i="37"/>
  <c r="BF45" i="37"/>
  <c r="BE45" i="37"/>
  <c r="BF44" i="37"/>
  <c r="BE44" i="37"/>
  <c r="BF43" i="37"/>
  <c r="BE43" i="37"/>
  <c r="K48" i="59" s="1"/>
  <c r="BF41" i="37"/>
  <c r="BE41" i="37"/>
  <c r="BF40" i="37"/>
  <c r="BE40" i="37"/>
  <c r="BF39" i="37"/>
  <c r="BE39" i="37"/>
  <c r="BF38" i="37"/>
  <c r="BE38" i="37"/>
  <c r="K37" i="59" s="1"/>
  <c r="BF36" i="37"/>
  <c r="BE36" i="37"/>
  <c r="K24" i="59" s="1"/>
  <c r="BF35" i="37"/>
  <c r="BE35" i="37"/>
  <c r="K33" i="59" s="1"/>
  <c r="BF34" i="37"/>
  <c r="BE34" i="37"/>
  <c r="BF33" i="37"/>
  <c r="BE33" i="37"/>
  <c r="K29" i="59" s="1"/>
  <c r="BF32" i="37"/>
  <c r="BE32" i="37"/>
  <c r="BF31" i="37"/>
  <c r="BE31" i="37"/>
  <c r="BF30" i="37"/>
  <c r="BE30" i="37"/>
  <c r="BF29" i="37"/>
  <c r="BF28" i="37"/>
  <c r="BE28" i="37"/>
  <c r="BF27" i="37"/>
  <c r="BE27" i="37"/>
  <c r="K22" i="59" s="1"/>
  <c r="BF26" i="37"/>
  <c r="BE26" i="37"/>
  <c r="K20" i="59" s="1"/>
  <c r="BF25" i="37"/>
  <c r="BE25" i="37"/>
  <c r="K31" i="59" s="1"/>
  <c r="BF24" i="37"/>
  <c r="BE24" i="37"/>
  <c r="K30" i="59" s="1"/>
  <c r="BF23" i="37"/>
  <c r="BE23" i="37"/>
  <c r="K19" i="59" s="1"/>
  <c r="BF22" i="37"/>
  <c r="BE22" i="37"/>
  <c r="BF21" i="37"/>
  <c r="BE21" i="37"/>
  <c r="K17" i="59" s="1"/>
  <c r="BF20" i="37"/>
  <c r="BE20" i="37"/>
  <c r="K16" i="59" s="1"/>
  <c r="BF19" i="37"/>
  <c r="BE19" i="37"/>
  <c r="BF18" i="37"/>
  <c r="BE18" i="37"/>
  <c r="K14" i="59" s="1"/>
  <c r="BF17" i="37"/>
  <c r="BE17" i="37"/>
  <c r="K13" i="59" s="1"/>
  <c r="BF16" i="37"/>
  <c r="BE16" i="37"/>
  <c r="BF15" i="37"/>
  <c r="BE15" i="37"/>
  <c r="BF14" i="37"/>
  <c r="BE14" i="37"/>
  <c r="BF13" i="37"/>
  <c r="BE13" i="37"/>
  <c r="K8" i="59" s="1"/>
  <c r="BF12" i="37"/>
  <c r="BE12" i="37"/>
  <c r="BL51" i="37"/>
  <c r="BL49" i="37"/>
  <c r="BL48" i="37"/>
  <c r="BL47" i="37"/>
  <c r="BL46" i="37"/>
  <c r="BL45" i="37"/>
  <c r="BL44" i="37"/>
  <c r="BL43" i="37"/>
  <c r="BL41" i="37"/>
  <c r="BL40" i="37"/>
  <c r="BL39" i="37"/>
  <c r="BL38" i="37"/>
  <c r="BL37" i="37"/>
  <c r="BL36" i="37"/>
  <c r="BL35" i="37"/>
  <c r="BL34" i="37"/>
  <c r="BL33" i="37"/>
  <c r="BL32" i="37"/>
  <c r="BL31" i="37"/>
  <c r="BL30" i="37"/>
  <c r="BL29" i="37"/>
  <c r="BL28" i="37"/>
  <c r="BL27" i="37"/>
  <c r="BL26" i="37"/>
  <c r="BL25" i="37"/>
  <c r="BL24" i="37"/>
  <c r="BL23" i="37"/>
  <c r="BL22" i="37"/>
  <c r="BL21" i="37"/>
  <c r="BL20" i="37"/>
  <c r="BL19" i="37"/>
  <c r="BL18" i="37"/>
  <c r="BL17" i="37"/>
  <c r="BL16" i="37"/>
  <c r="BL15" i="37"/>
  <c r="BL14" i="37"/>
  <c r="BL13" i="37"/>
  <c r="BL12" i="37"/>
  <c r="BJ85" i="37"/>
  <c r="BJ84" i="37"/>
  <c r="BJ83" i="37"/>
  <c r="BJ82" i="37"/>
  <c r="BJ81" i="37"/>
  <c r="BJ80" i="37"/>
  <c r="BI79" i="37"/>
  <c r="BH79" i="37"/>
  <c r="BJ76" i="37"/>
  <c r="BJ75" i="37"/>
  <c r="BJ74" i="37"/>
  <c r="BJ73" i="37"/>
  <c r="BJ72" i="37"/>
  <c r="BJ70" i="37"/>
  <c r="BJ67" i="37"/>
  <c r="BJ66" i="37"/>
  <c r="BJ65" i="37"/>
  <c r="BJ64" i="37"/>
  <c r="BJ62" i="37"/>
  <c r="BJ61" i="37"/>
  <c r="BJ60" i="37"/>
  <c r="BJ59" i="37"/>
  <c r="BJ58" i="37"/>
  <c r="BJ57" i="37"/>
  <c r="BJ56" i="37"/>
  <c r="BJ55" i="37"/>
  <c r="BJ54" i="37" s="1"/>
  <c r="BI42" i="37"/>
  <c r="BH42" i="37"/>
  <c r="BI11" i="37"/>
  <c r="AY125" i="37"/>
  <c r="AX125" i="37"/>
  <c r="J164" i="33" s="1"/>
  <c r="AY124" i="37"/>
  <c r="AX124" i="37"/>
  <c r="J161" i="33" s="1"/>
  <c r="AY123" i="37"/>
  <c r="AX123" i="37"/>
  <c r="J149" i="33" s="1"/>
  <c r="AY122" i="37"/>
  <c r="AX122" i="37"/>
  <c r="J159" i="33" s="1"/>
  <c r="AY121" i="37"/>
  <c r="AX121" i="37"/>
  <c r="J157" i="33" s="1"/>
  <c r="AY120" i="37"/>
  <c r="AX120" i="37"/>
  <c r="J155" i="33" s="1"/>
  <c r="AY119" i="37"/>
  <c r="AX119" i="37"/>
  <c r="AY118" i="37"/>
  <c r="AX118" i="37"/>
  <c r="AY117" i="37"/>
  <c r="AX117" i="37"/>
  <c r="J150" i="33" s="1"/>
  <c r="AY116" i="37"/>
  <c r="AX116" i="37"/>
  <c r="J162" i="33" s="1"/>
  <c r="BC125" i="37"/>
  <c r="BC124" i="37"/>
  <c r="BC123" i="37"/>
  <c r="BC122" i="37"/>
  <c r="BC121" i="37"/>
  <c r="BC120" i="37"/>
  <c r="BC119" i="37"/>
  <c r="BC118" i="37"/>
  <c r="BC117" i="37"/>
  <c r="BC116" i="37"/>
  <c r="BB115" i="37"/>
  <c r="BA115" i="37"/>
  <c r="AY112" i="37"/>
  <c r="AX112" i="37"/>
  <c r="J114" i="59" s="1"/>
  <c r="AY111" i="37"/>
  <c r="AX111" i="37"/>
  <c r="J113" i="59" s="1"/>
  <c r="AY110" i="37"/>
  <c r="AX110" i="37"/>
  <c r="AY109" i="37"/>
  <c r="AX109" i="37"/>
  <c r="AY105" i="37"/>
  <c r="AX105" i="37"/>
  <c r="J107" i="59" s="1"/>
  <c r="AY104" i="37"/>
  <c r="AX104" i="37"/>
  <c r="AY103" i="37"/>
  <c r="AX103" i="37"/>
  <c r="AY102" i="37"/>
  <c r="AX102" i="37"/>
  <c r="AY101" i="37"/>
  <c r="AX101" i="37"/>
  <c r="AY100" i="37"/>
  <c r="AX100" i="37"/>
  <c r="J102" i="59" s="1"/>
  <c r="AY98" i="37"/>
  <c r="AX98" i="37"/>
  <c r="J100" i="59" s="1"/>
  <c r="AY97" i="37"/>
  <c r="AX97" i="37"/>
  <c r="AY96" i="37"/>
  <c r="AX96" i="37"/>
  <c r="AY94" i="37"/>
  <c r="AX94" i="37"/>
  <c r="J96" i="59" s="1"/>
  <c r="AY93" i="37"/>
  <c r="AX93" i="37"/>
  <c r="AY92" i="37"/>
  <c r="AX92" i="37"/>
  <c r="J94" i="59" s="1"/>
  <c r="AY91" i="37"/>
  <c r="AX91" i="37"/>
  <c r="J93" i="59" s="1"/>
  <c r="BC112" i="37"/>
  <c r="BC111" i="37"/>
  <c r="BC110" i="37"/>
  <c r="BC109" i="37"/>
  <c r="BB108" i="37"/>
  <c r="BA108" i="37"/>
  <c r="BC105" i="37"/>
  <c r="BC104" i="37"/>
  <c r="BC103" i="37"/>
  <c r="BC102" i="37"/>
  <c r="BC101" i="37"/>
  <c r="BC100" i="37"/>
  <c r="BB99" i="37"/>
  <c r="BA99" i="37"/>
  <c r="BC98" i="37"/>
  <c r="BC97" i="37"/>
  <c r="BC96" i="37"/>
  <c r="BB95" i="37"/>
  <c r="BA95" i="37"/>
  <c r="BC94" i="37"/>
  <c r="BC93" i="37"/>
  <c r="BC92" i="37"/>
  <c r="BC91" i="37"/>
  <c r="BB90" i="37"/>
  <c r="BA90" i="37"/>
  <c r="AY85" i="37"/>
  <c r="AX85" i="37"/>
  <c r="J86" i="59" s="1"/>
  <c r="AY84" i="37"/>
  <c r="AX84" i="37"/>
  <c r="J85" i="59" s="1"/>
  <c r="AY83" i="37"/>
  <c r="AX83" i="37"/>
  <c r="AY82" i="37"/>
  <c r="AX82" i="37"/>
  <c r="J83" i="59" s="1"/>
  <c r="AY81" i="37"/>
  <c r="AX81" i="37"/>
  <c r="AY80" i="37"/>
  <c r="AX80" i="37"/>
  <c r="AY76" i="37"/>
  <c r="AX76" i="37"/>
  <c r="AY75" i="37"/>
  <c r="AX75" i="37"/>
  <c r="J77" i="59" s="1"/>
  <c r="AY74" i="37"/>
  <c r="AX74" i="37"/>
  <c r="AY73" i="37"/>
  <c r="AX73" i="37"/>
  <c r="J75" i="59" s="1"/>
  <c r="AY72" i="37"/>
  <c r="AX72" i="37"/>
  <c r="J74" i="59" s="1"/>
  <c r="AY71" i="37"/>
  <c r="AX71" i="37"/>
  <c r="J73" i="59" s="1"/>
  <c r="AY70" i="37"/>
  <c r="AX70" i="37"/>
  <c r="J72" i="59" s="1"/>
  <c r="AY68" i="37"/>
  <c r="AX68" i="37"/>
  <c r="J71" i="59" s="1"/>
  <c r="AY67" i="37"/>
  <c r="AX67" i="37"/>
  <c r="J70" i="59" s="1"/>
  <c r="AY66" i="37"/>
  <c r="AX66" i="37"/>
  <c r="J69" i="59" s="1"/>
  <c r="AY65" i="37"/>
  <c r="AX65" i="37"/>
  <c r="J68" i="59" s="1"/>
  <c r="AY64" i="37"/>
  <c r="AX64" i="37"/>
  <c r="J67" i="59" s="1"/>
  <c r="AY62" i="37"/>
  <c r="AX62" i="37"/>
  <c r="J66" i="59" s="1"/>
  <c r="AY61" i="37"/>
  <c r="AX61" i="37"/>
  <c r="AY60" i="37"/>
  <c r="AX60" i="37"/>
  <c r="J64" i="59" s="1"/>
  <c r="AY59" i="37"/>
  <c r="AX59" i="37"/>
  <c r="J63" i="59" s="1"/>
  <c r="AY58" i="37"/>
  <c r="AX58" i="37"/>
  <c r="J62" i="59" s="1"/>
  <c r="AY57" i="37"/>
  <c r="AX57" i="37"/>
  <c r="J61" i="59" s="1"/>
  <c r="AY56" i="37"/>
  <c r="AX56" i="37"/>
  <c r="J60" i="59" s="1"/>
  <c r="AY55" i="37"/>
  <c r="AX55" i="37"/>
  <c r="AY51" i="37"/>
  <c r="AX51" i="37"/>
  <c r="J55" i="59" s="1"/>
  <c r="AY49" i="37"/>
  <c r="AX49" i="37"/>
  <c r="J54" i="59" s="1"/>
  <c r="AY48" i="37"/>
  <c r="AX48" i="37"/>
  <c r="J53" i="59" s="1"/>
  <c r="AY47" i="37"/>
  <c r="AX47" i="37"/>
  <c r="J52" i="59" s="1"/>
  <c r="AY46" i="37"/>
  <c r="AX46" i="37"/>
  <c r="AY45" i="37"/>
  <c r="AX45" i="37"/>
  <c r="AY44" i="37"/>
  <c r="AX44" i="37"/>
  <c r="AY43" i="37"/>
  <c r="AX43" i="37"/>
  <c r="J48" i="59" s="1"/>
  <c r="AY40" i="37"/>
  <c r="AX40" i="37"/>
  <c r="AY39" i="37"/>
  <c r="AX39" i="37"/>
  <c r="AY38" i="37"/>
  <c r="AX38" i="37"/>
  <c r="J37" i="59" s="1"/>
  <c r="AY36" i="37"/>
  <c r="AX36" i="37"/>
  <c r="J24" i="59" s="1"/>
  <c r="AY35" i="37"/>
  <c r="AX35" i="37"/>
  <c r="J33" i="59" s="1"/>
  <c r="AY34" i="37"/>
  <c r="AX34" i="37"/>
  <c r="AY33" i="37"/>
  <c r="AX33" i="37"/>
  <c r="J29" i="59" s="1"/>
  <c r="AY32" i="37"/>
  <c r="AX32" i="37"/>
  <c r="J27" i="59" s="1"/>
  <c r="AY31" i="37"/>
  <c r="AX31" i="37"/>
  <c r="AY30" i="37"/>
  <c r="AX30" i="37"/>
  <c r="AY29" i="37"/>
  <c r="AX29" i="37"/>
  <c r="J21" i="59" s="1"/>
  <c r="AY28" i="37"/>
  <c r="AX28" i="37"/>
  <c r="AY27" i="37"/>
  <c r="AX27" i="37"/>
  <c r="J22" i="59" s="1"/>
  <c r="AY26" i="37"/>
  <c r="AX26" i="37"/>
  <c r="J20" i="59" s="1"/>
  <c r="AY25" i="37"/>
  <c r="AX25" i="37"/>
  <c r="J31" i="59" s="1"/>
  <c r="AY24" i="37"/>
  <c r="AX24" i="37"/>
  <c r="J30" i="59" s="1"/>
  <c r="AY23" i="37"/>
  <c r="AX23" i="37"/>
  <c r="J19" i="59" s="1"/>
  <c r="AY22" i="37"/>
  <c r="AX22" i="37"/>
  <c r="AY21" i="37"/>
  <c r="AX21" i="37"/>
  <c r="J17" i="59" s="1"/>
  <c r="AY20" i="37"/>
  <c r="AX20" i="37"/>
  <c r="J16" i="59" s="1"/>
  <c r="AY19" i="37"/>
  <c r="AX19" i="37"/>
  <c r="AY18" i="37"/>
  <c r="AX18" i="37"/>
  <c r="J14" i="59" s="1"/>
  <c r="AY17" i="37"/>
  <c r="AX17" i="37"/>
  <c r="J13" i="59" s="1"/>
  <c r="AY16" i="37"/>
  <c r="AX16" i="37"/>
  <c r="AY15" i="37"/>
  <c r="AX15" i="37"/>
  <c r="AY14" i="37"/>
  <c r="AX14" i="37"/>
  <c r="AY13" i="37"/>
  <c r="AX13" i="37"/>
  <c r="J8" i="59" s="1"/>
  <c r="AY12" i="37"/>
  <c r="AX12" i="37"/>
  <c r="BC85" i="37"/>
  <c r="BC84" i="37"/>
  <c r="BC83" i="37"/>
  <c r="BC82" i="37"/>
  <c r="BC81" i="37"/>
  <c r="BC80" i="37"/>
  <c r="BB79" i="37"/>
  <c r="BA79" i="37"/>
  <c r="BC76" i="37"/>
  <c r="BC75" i="37"/>
  <c r="BC74" i="37"/>
  <c r="BC73" i="37"/>
  <c r="BC72" i="37"/>
  <c r="BC71" i="37"/>
  <c r="BC70" i="37"/>
  <c r="BC68" i="37"/>
  <c r="BC67" i="37"/>
  <c r="BC66" i="37"/>
  <c r="BC65" i="37"/>
  <c r="BC64" i="37"/>
  <c r="BC62" i="37"/>
  <c r="BC61" i="37"/>
  <c r="BC60" i="37"/>
  <c r="BC59" i="37"/>
  <c r="BC58" i="37"/>
  <c r="BC57" i="37"/>
  <c r="BC56" i="37"/>
  <c r="BC55" i="37"/>
  <c r="BB54" i="37"/>
  <c r="BA54" i="37"/>
  <c r="BC51" i="37"/>
  <c r="BC49" i="37"/>
  <c r="BC48" i="37"/>
  <c r="BC47" i="37"/>
  <c r="BC46" i="37"/>
  <c r="BC45" i="37"/>
  <c r="BC44" i="37"/>
  <c r="BC43" i="37"/>
  <c r="BB42" i="37"/>
  <c r="BA42" i="37"/>
  <c r="BC40" i="37"/>
  <c r="BC39" i="37"/>
  <c r="BC38" i="37"/>
  <c r="BB37" i="37"/>
  <c r="BA37" i="37"/>
  <c r="BA11" i="37" s="1"/>
  <c r="BC36" i="37"/>
  <c r="BC35" i="37"/>
  <c r="BC34" i="37"/>
  <c r="BC33" i="37"/>
  <c r="BC32" i="37"/>
  <c r="BC31" i="37"/>
  <c r="BC30" i="37"/>
  <c r="BC29" i="37"/>
  <c r="BC28" i="37"/>
  <c r="BC27" i="37"/>
  <c r="BC26" i="37"/>
  <c r="BC25" i="37"/>
  <c r="BC24" i="37"/>
  <c r="BC23" i="37"/>
  <c r="BC22" i="37"/>
  <c r="BC21" i="37"/>
  <c r="BC20" i="37"/>
  <c r="BC19" i="37"/>
  <c r="BC18" i="37"/>
  <c r="BC17" i="37"/>
  <c r="BC16" i="37"/>
  <c r="BC15" i="37"/>
  <c r="BC14" i="37"/>
  <c r="BC13" i="37"/>
  <c r="BC12" i="37"/>
  <c r="AR125" i="37"/>
  <c r="AQ125" i="37"/>
  <c r="I164" i="33" s="1"/>
  <c r="AR124" i="37"/>
  <c r="AQ124" i="37"/>
  <c r="I161" i="33" s="1"/>
  <c r="AR123" i="37"/>
  <c r="AQ123" i="37"/>
  <c r="I149" i="33" s="1"/>
  <c r="AR122" i="37"/>
  <c r="AQ122" i="37"/>
  <c r="I159" i="33" s="1"/>
  <c r="AR121" i="37"/>
  <c r="AQ121" i="37"/>
  <c r="I157" i="33" s="1"/>
  <c r="AR120" i="37"/>
  <c r="AQ120" i="37"/>
  <c r="I155" i="33" s="1"/>
  <c r="AR119" i="37"/>
  <c r="AQ119" i="37"/>
  <c r="AR118" i="37"/>
  <c r="AQ118" i="37"/>
  <c r="AR117" i="37"/>
  <c r="AQ117" i="37"/>
  <c r="I150" i="33" s="1"/>
  <c r="AR116" i="37"/>
  <c r="AQ116" i="37"/>
  <c r="I162" i="33" s="1"/>
  <c r="AV125" i="37"/>
  <c r="AV124" i="37"/>
  <c r="AV123" i="37"/>
  <c r="AV122" i="37"/>
  <c r="AV121" i="37"/>
  <c r="AV120" i="37"/>
  <c r="AV119" i="37"/>
  <c r="AV118" i="37"/>
  <c r="AV117" i="37"/>
  <c r="AV116" i="37"/>
  <c r="AU115" i="37"/>
  <c r="AT115" i="37"/>
  <c r="AR112" i="37"/>
  <c r="AQ112" i="37"/>
  <c r="I114" i="59" s="1"/>
  <c r="AR111" i="37"/>
  <c r="AQ111" i="37"/>
  <c r="I113" i="59" s="1"/>
  <c r="AR110" i="37"/>
  <c r="AQ110" i="37"/>
  <c r="AR109" i="37"/>
  <c r="AQ109" i="37"/>
  <c r="AR105" i="37"/>
  <c r="AQ105" i="37"/>
  <c r="I107" i="59" s="1"/>
  <c r="AR104" i="37"/>
  <c r="AQ104" i="37"/>
  <c r="AR103" i="37"/>
  <c r="AQ103" i="37"/>
  <c r="AR102" i="37"/>
  <c r="AQ102" i="37"/>
  <c r="AR101" i="37"/>
  <c r="AQ101" i="37"/>
  <c r="AR100" i="37"/>
  <c r="AQ100" i="37"/>
  <c r="I102" i="59" s="1"/>
  <c r="AR98" i="37"/>
  <c r="AQ98" i="37"/>
  <c r="I100" i="59" s="1"/>
  <c r="AR97" i="37"/>
  <c r="AQ97" i="37"/>
  <c r="AR96" i="37"/>
  <c r="AQ96" i="37"/>
  <c r="AR94" i="37"/>
  <c r="AQ94" i="37"/>
  <c r="I96" i="59" s="1"/>
  <c r="AR93" i="37"/>
  <c r="AQ93" i="37"/>
  <c r="AR92" i="37"/>
  <c r="AQ92" i="37"/>
  <c r="I94" i="59" s="1"/>
  <c r="AR91" i="37"/>
  <c r="AQ91" i="37"/>
  <c r="I93" i="59" s="1"/>
  <c r="AV112" i="37"/>
  <c r="AV111" i="37"/>
  <c r="AV110" i="37"/>
  <c r="AV109" i="37"/>
  <c r="AU108" i="37"/>
  <c r="AT108" i="37"/>
  <c r="AV105" i="37"/>
  <c r="AV104" i="37"/>
  <c r="AV103" i="37"/>
  <c r="AV102" i="37"/>
  <c r="AV101" i="37"/>
  <c r="AV100" i="37"/>
  <c r="AU99" i="37"/>
  <c r="AT99" i="37"/>
  <c r="AV98" i="37"/>
  <c r="AV97" i="37"/>
  <c r="AV96" i="37"/>
  <c r="AU95" i="37"/>
  <c r="AT95" i="37"/>
  <c r="AV94" i="37"/>
  <c r="AV93" i="37"/>
  <c r="AV92" i="37"/>
  <c r="AV91" i="37"/>
  <c r="AU90" i="37"/>
  <c r="AT90" i="37"/>
  <c r="AR85" i="37"/>
  <c r="AQ85" i="37"/>
  <c r="I86" i="59" s="1"/>
  <c r="AR84" i="37"/>
  <c r="AQ84" i="37"/>
  <c r="I85" i="59" s="1"/>
  <c r="AR83" i="37"/>
  <c r="AQ83" i="37"/>
  <c r="AR82" i="37"/>
  <c r="AQ82" i="37"/>
  <c r="I83" i="59" s="1"/>
  <c r="AR81" i="37"/>
  <c r="AQ81" i="37"/>
  <c r="AR80" i="37"/>
  <c r="AQ80" i="37"/>
  <c r="AR76" i="37"/>
  <c r="AQ76" i="37"/>
  <c r="AR75" i="37"/>
  <c r="AQ75" i="37"/>
  <c r="I77" i="59" s="1"/>
  <c r="AR74" i="37"/>
  <c r="AQ74" i="37"/>
  <c r="AR73" i="37"/>
  <c r="AQ73" i="37"/>
  <c r="I75" i="59" s="1"/>
  <c r="AR72" i="37"/>
  <c r="AQ72" i="37"/>
  <c r="I74" i="59" s="1"/>
  <c r="AR71" i="37"/>
  <c r="AQ71" i="37"/>
  <c r="I73" i="59" s="1"/>
  <c r="AR70" i="37"/>
  <c r="AQ70" i="37"/>
  <c r="I72" i="59" s="1"/>
  <c r="AR68" i="37"/>
  <c r="AQ68" i="37"/>
  <c r="I71" i="59" s="1"/>
  <c r="AR67" i="37"/>
  <c r="AQ67" i="37"/>
  <c r="I70" i="59" s="1"/>
  <c r="AR66" i="37"/>
  <c r="AQ66" i="37"/>
  <c r="I69" i="59" s="1"/>
  <c r="AR65" i="37"/>
  <c r="AQ65" i="37"/>
  <c r="I68" i="59" s="1"/>
  <c r="AR64" i="37"/>
  <c r="AQ64" i="37"/>
  <c r="I67" i="59" s="1"/>
  <c r="AR62" i="37"/>
  <c r="AQ62" i="37"/>
  <c r="I66" i="59" s="1"/>
  <c r="AR61" i="37"/>
  <c r="AQ61" i="37"/>
  <c r="AR60" i="37"/>
  <c r="AQ60" i="37"/>
  <c r="I64" i="59" s="1"/>
  <c r="AR59" i="37"/>
  <c r="AQ59" i="37"/>
  <c r="I63" i="59" s="1"/>
  <c r="AR58" i="37"/>
  <c r="AQ58" i="37"/>
  <c r="I62" i="59" s="1"/>
  <c r="AR57" i="37"/>
  <c r="AQ57" i="37"/>
  <c r="I61" i="59" s="1"/>
  <c r="AR56" i="37"/>
  <c r="AQ56" i="37"/>
  <c r="I60" i="59" s="1"/>
  <c r="AR55" i="37"/>
  <c r="AQ55" i="37"/>
  <c r="AR51" i="37"/>
  <c r="AQ51" i="37"/>
  <c r="I55" i="59" s="1"/>
  <c r="AR49" i="37"/>
  <c r="AQ49" i="37"/>
  <c r="I54" i="59" s="1"/>
  <c r="AR48" i="37"/>
  <c r="AQ48" i="37"/>
  <c r="I53" i="59" s="1"/>
  <c r="AR47" i="37"/>
  <c r="AQ47" i="37"/>
  <c r="I52" i="59" s="1"/>
  <c r="AR46" i="37"/>
  <c r="AQ46" i="37"/>
  <c r="AR45" i="37"/>
  <c r="AQ45" i="37"/>
  <c r="AR44" i="37"/>
  <c r="AQ44" i="37"/>
  <c r="AR43" i="37"/>
  <c r="AQ43" i="37"/>
  <c r="I48" i="59" s="1"/>
  <c r="AR40" i="37"/>
  <c r="AQ40" i="37"/>
  <c r="AR39" i="37"/>
  <c r="AQ39" i="37"/>
  <c r="AR38" i="37"/>
  <c r="AQ38" i="37"/>
  <c r="I37" i="59" s="1"/>
  <c r="AR36" i="37"/>
  <c r="AQ36" i="37"/>
  <c r="I24" i="59" s="1"/>
  <c r="AR35" i="37"/>
  <c r="AQ35" i="37"/>
  <c r="I33" i="59" s="1"/>
  <c r="AR34" i="37"/>
  <c r="AQ34" i="37"/>
  <c r="AR33" i="37"/>
  <c r="AQ33" i="37"/>
  <c r="I29" i="59" s="1"/>
  <c r="AR32" i="37"/>
  <c r="AQ32" i="37"/>
  <c r="I27" i="59" s="1"/>
  <c r="AR31" i="37"/>
  <c r="AQ31" i="37"/>
  <c r="AR30" i="37"/>
  <c r="AQ30" i="37"/>
  <c r="AR29" i="37"/>
  <c r="AQ29" i="37"/>
  <c r="I21" i="59" s="1"/>
  <c r="AR28" i="37"/>
  <c r="AQ28" i="37"/>
  <c r="AR27" i="37"/>
  <c r="AQ27" i="37"/>
  <c r="I22" i="59" s="1"/>
  <c r="AR26" i="37"/>
  <c r="AQ26" i="37"/>
  <c r="I20" i="59" s="1"/>
  <c r="AR25" i="37"/>
  <c r="AQ25" i="37"/>
  <c r="I31" i="59" s="1"/>
  <c r="AR24" i="37"/>
  <c r="AQ24" i="37"/>
  <c r="I30" i="59" s="1"/>
  <c r="AR23" i="37"/>
  <c r="AQ23" i="37"/>
  <c r="I19" i="59" s="1"/>
  <c r="AR22" i="37"/>
  <c r="AQ22" i="37"/>
  <c r="AR21" i="37"/>
  <c r="AQ21" i="37"/>
  <c r="I17" i="59" s="1"/>
  <c r="AR20" i="37"/>
  <c r="AQ20" i="37"/>
  <c r="I16" i="59" s="1"/>
  <c r="AR19" i="37"/>
  <c r="AQ19" i="37"/>
  <c r="AR18" i="37"/>
  <c r="AQ18" i="37"/>
  <c r="I14" i="59" s="1"/>
  <c r="AR17" i="37"/>
  <c r="AQ17" i="37"/>
  <c r="I13" i="59" s="1"/>
  <c r="AR16" i="37"/>
  <c r="AQ16" i="37"/>
  <c r="AR15" i="37"/>
  <c r="AQ15" i="37"/>
  <c r="AR14" i="37"/>
  <c r="AQ14" i="37"/>
  <c r="AR12" i="37"/>
  <c r="AR13" i="37"/>
  <c r="AQ13" i="37"/>
  <c r="I8" i="59" s="1"/>
  <c r="AV85" i="37"/>
  <c r="AV84" i="37"/>
  <c r="AV83" i="37"/>
  <c r="AV82" i="37"/>
  <c r="AV81" i="37"/>
  <c r="AV80" i="37"/>
  <c r="AU79" i="37"/>
  <c r="AT79" i="37"/>
  <c r="AV76" i="37"/>
  <c r="AV75" i="37"/>
  <c r="AV74" i="37"/>
  <c r="AV73" i="37"/>
  <c r="AV72" i="37"/>
  <c r="AV71" i="37"/>
  <c r="AV70" i="37"/>
  <c r="AV68" i="37"/>
  <c r="AV67" i="37"/>
  <c r="AV66" i="37"/>
  <c r="AV65" i="37"/>
  <c r="AV64" i="37"/>
  <c r="AV62" i="37"/>
  <c r="AV61" i="37"/>
  <c r="AV60" i="37"/>
  <c r="AV59" i="37"/>
  <c r="AV58" i="37"/>
  <c r="AV57" i="37"/>
  <c r="AV56" i="37"/>
  <c r="AV55" i="37"/>
  <c r="AU54" i="37"/>
  <c r="AT54" i="37"/>
  <c r="AV51" i="37"/>
  <c r="AV49" i="37"/>
  <c r="AV48" i="37"/>
  <c r="AV47" i="37"/>
  <c r="AV46" i="37"/>
  <c r="AV45" i="37"/>
  <c r="AV44" i="37"/>
  <c r="AV43" i="37"/>
  <c r="AU42" i="37"/>
  <c r="AT42" i="37"/>
  <c r="AV40" i="37"/>
  <c r="AV39" i="37"/>
  <c r="AV38" i="37"/>
  <c r="AU37" i="37"/>
  <c r="AU11" i="37" s="1"/>
  <c r="AT37" i="37"/>
  <c r="AT11" i="37" s="1"/>
  <c r="AV36" i="37"/>
  <c r="AV35" i="37"/>
  <c r="AV34" i="37"/>
  <c r="AV33" i="37"/>
  <c r="AV32" i="37"/>
  <c r="AV31" i="37"/>
  <c r="AV30" i="37"/>
  <c r="AV29" i="37"/>
  <c r="AV28" i="37"/>
  <c r="AV27" i="37"/>
  <c r="AV26" i="37"/>
  <c r="AV25" i="37"/>
  <c r="AV24" i="37"/>
  <c r="AV23" i="37"/>
  <c r="AV22" i="37"/>
  <c r="AV21" i="37"/>
  <c r="AV20" i="37"/>
  <c r="AV19" i="37"/>
  <c r="AV18" i="37"/>
  <c r="AV17" i="37"/>
  <c r="AV16" i="37"/>
  <c r="AV15" i="37"/>
  <c r="AV14" i="37"/>
  <c r="AV13" i="37"/>
  <c r="AV12" i="37"/>
  <c r="AK125" i="37"/>
  <c r="AJ125" i="37"/>
  <c r="AK124" i="37"/>
  <c r="AJ124" i="37"/>
  <c r="AK123" i="37"/>
  <c r="AJ123" i="37"/>
  <c r="AK122" i="37"/>
  <c r="AJ122" i="37"/>
  <c r="AK121" i="37"/>
  <c r="AJ121" i="37"/>
  <c r="AK120" i="37"/>
  <c r="AJ120" i="37"/>
  <c r="AK119" i="37"/>
  <c r="AJ119" i="37"/>
  <c r="AK118" i="37"/>
  <c r="AJ118" i="37"/>
  <c r="AK117" i="37"/>
  <c r="AJ117" i="37"/>
  <c r="AK116" i="37"/>
  <c r="AJ116" i="37"/>
  <c r="AO125" i="37"/>
  <c r="AO124" i="37"/>
  <c r="AO123" i="37"/>
  <c r="AO122" i="37"/>
  <c r="AO121" i="37"/>
  <c r="AO120" i="37"/>
  <c r="AO119" i="37"/>
  <c r="AO118" i="37"/>
  <c r="AO117" i="37"/>
  <c r="AO116" i="37"/>
  <c r="AN115" i="37"/>
  <c r="AK115" i="37" s="1"/>
  <c r="AM115" i="37"/>
  <c r="AJ115" i="37" s="1"/>
  <c r="AK112" i="37"/>
  <c r="AJ112" i="37"/>
  <c r="H114" i="59" s="1"/>
  <c r="AK111" i="37"/>
  <c r="AJ111" i="37"/>
  <c r="AK110" i="37"/>
  <c r="AJ110" i="37"/>
  <c r="AK109" i="37"/>
  <c r="AJ109" i="37"/>
  <c r="AK105" i="37"/>
  <c r="AJ105" i="37"/>
  <c r="H107" i="59" s="1"/>
  <c r="AK104" i="37"/>
  <c r="AJ104" i="37"/>
  <c r="AK103" i="37"/>
  <c r="AJ103" i="37"/>
  <c r="AK102" i="37"/>
  <c r="AJ102" i="37"/>
  <c r="AK101" i="37"/>
  <c r="AJ101" i="37"/>
  <c r="AK100" i="37"/>
  <c r="AJ100" i="37"/>
  <c r="AK98" i="37"/>
  <c r="AJ98" i="37"/>
  <c r="H100" i="59" s="1"/>
  <c r="AK97" i="37"/>
  <c r="AJ97" i="37"/>
  <c r="AK96" i="37"/>
  <c r="AJ96" i="37"/>
  <c r="AK94" i="37"/>
  <c r="AJ94" i="37"/>
  <c r="H96" i="59" s="1"/>
  <c r="AK93" i="37"/>
  <c r="AJ93" i="37"/>
  <c r="AK92" i="37"/>
  <c r="AJ92" i="37"/>
  <c r="AK91" i="37"/>
  <c r="AJ91" i="37"/>
  <c r="H93" i="59" s="1"/>
  <c r="AO112" i="37"/>
  <c r="AO111" i="37"/>
  <c r="AO110" i="37"/>
  <c r="AO109" i="37"/>
  <c r="AN108" i="37"/>
  <c r="AK108" i="37" s="1"/>
  <c r="AM108" i="37"/>
  <c r="AJ108" i="37" s="1"/>
  <c r="AO105" i="37"/>
  <c r="AO104" i="37"/>
  <c r="AO103" i="37"/>
  <c r="AO102" i="37"/>
  <c r="AO101" i="37"/>
  <c r="AO100" i="37"/>
  <c r="AN99" i="37"/>
  <c r="AK99" i="37" s="1"/>
  <c r="AM99" i="37"/>
  <c r="AJ99" i="37" s="1"/>
  <c r="AO98" i="37"/>
  <c r="AO97" i="37"/>
  <c r="AO96" i="37"/>
  <c r="AN95" i="37"/>
  <c r="AK95" i="37" s="1"/>
  <c r="AM95" i="37"/>
  <c r="AJ95" i="37" s="1"/>
  <c r="AO94" i="37"/>
  <c r="AO93" i="37"/>
  <c r="AO92" i="37"/>
  <c r="AO91" i="37"/>
  <c r="AN90" i="37"/>
  <c r="AK90" i="37" s="1"/>
  <c r="AM90" i="37"/>
  <c r="AJ90" i="37" s="1"/>
  <c r="AK76" i="37"/>
  <c r="AJ76" i="37"/>
  <c r="H78" i="59" s="1"/>
  <c r="AK75" i="37"/>
  <c r="AJ75" i="37"/>
  <c r="AK74" i="37"/>
  <c r="AJ74" i="37"/>
  <c r="H76" i="59" s="1"/>
  <c r="AK73" i="37"/>
  <c r="AJ73" i="37"/>
  <c r="AK72" i="37"/>
  <c r="AJ72" i="37"/>
  <c r="H74" i="59" s="1"/>
  <c r="AK71" i="37"/>
  <c r="AJ71" i="37"/>
  <c r="AK70" i="37"/>
  <c r="AJ70" i="37"/>
  <c r="AK68" i="37"/>
  <c r="AJ68" i="37"/>
  <c r="AK67" i="37"/>
  <c r="AJ67" i="37"/>
  <c r="AK66" i="37"/>
  <c r="AJ66" i="37"/>
  <c r="AK65" i="37"/>
  <c r="AJ65" i="37"/>
  <c r="H68" i="59" s="1"/>
  <c r="AK64" i="37"/>
  <c r="AJ64" i="37"/>
  <c r="H67" i="59" s="1"/>
  <c r="AK62" i="37"/>
  <c r="AJ62" i="37"/>
  <c r="AK61" i="37"/>
  <c r="AJ61" i="37"/>
  <c r="H65" i="59" s="1"/>
  <c r="AK60" i="37"/>
  <c r="AJ60" i="37"/>
  <c r="AK59" i="37"/>
  <c r="AJ59" i="37"/>
  <c r="H63" i="59" s="1"/>
  <c r="AK58" i="37"/>
  <c r="AJ58" i="37"/>
  <c r="H62" i="59" s="1"/>
  <c r="AK57" i="37"/>
  <c r="AJ57" i="37"/>
  <c r="H61" i="59" s="1"/>
  <c r="AK56" i="37"/>
  <c r="AJ56" i="37"/>
  <c r="AK85" i="37"/>
  <c r="AJ85" i="37"/>
  <c r="AK84" i="37"/>
  <c r="AJ84" i="37"/>
  <c r="AK83" i="37"/>
  <c r="AJ83" i="37"/>
  <c r="H84" i="59" s="1"/>
  <c r="AK82" i="37"/>
  <c r="AJ82" i="37"/>
  <c r="AK81" i="37"/>
  <c r="AJ81" i="37"/>
  <c r="H82" i="59" s="1"/>
  <c r="AK80" i="37"/>
  <c r="AJ80" i="37"/>
  <c r="H81" i="59" s="1"/>
  <c r="AK55" i="37"/>
  <c r="AJ55" i="37"/>
  <c r="H59" i="59" s="1"/>
  <c r="AK51" i="37"/>
  <c r="AJ51" i="37"/>
  <c r="AK49" i="37"/>
  <c r="AJ49" i="37"/>
  <c r="AK48" i="37"/>
  <c r="AJ48" i="37"/>
  <c r="H53" i="59" s="1"/>
  <c r="AK47" i="37"/>
  <c r="AJ47" i="37"/>
  <c r="H52" i="59" s="1"/>
  <c r="AK46" i="37"/>
  <c r="AJ46" i="37"/>
  <c r="H51" i="59" s="1"/>
  <c r="AK45" i="37"/>
  <c r="AJ45" i="37"/>
  <c r="H50" i="59" s="1"/>
  <c r="AK44" i="37"/>
  <c r="AJ44" i="37"/>
  <c r="H49" i="59" s="1"/>
  <c r="AK43" i="37"/>
  <c r="AJ43" i="37"/>
  <c r="AK40" i="37"/>
  <c r="AK39" i="37"/>
  <c r="AK38" i="37"/>
  <c r="AK36" i="37"/>
  <c r="AK35" i="37"/>
  <c r="AK34" i="37"/>
  <c r="AK33" i="37"/>
  <c r="AK32" i="37"/>
  <c r="AK31" i="37"/>
  <c r="AK30" i="37"/>
  <c r="AK29" i="37"/>
  <c r="AK28" i="37"/>
  <c r="AK27" i="37"/>
  <c r="AK26" i="37"/>
  <c r="AK25" i="37"/>
  <c r="AK24" i="37"/>
  <c r="AK23" i="37"/>
  <c r="AK22" i="37"/>
  <c r="AK21" i="37"/>
  <c r="AK20" i="37"/>
  <c r="AK19" i="37"/>
  <c r="AK18" i="37"/>
  <c r="AK17" i="37"/>
  <c r="AK16" i="37"/>
  <c r="AK15" i="37"/>
  <c r="AK14" i="37"/>
  <c r="AK13" i="37"/>
  <c r="AJ40" i="37"/>
  <c r="H39" i="59" s="1"/>
  <c r="AJ39" i="37"/>
  <c r="H38" i="59" s="1"/>
  <c r="AJ38" i="37"/>
  <c r="AJ36" i="37"/>
  <c r="H24" i="59" s="1"/>
  <c r="AJ35" i="37"/>
  <c r="AJ33" i="37"/>
  <c r="H29" i="59" s="1"/>
  <c r="AJ32" i="37"/>
  <c r="H27" i="59" s="1"/>
  <c r="AJ31" i="37"/>
  <c r="H26" i="59" s="1"/>
  <c r="AJ30" i="37"/>
  <c r="H25" i="59" s="1"/>
  <c r="AJ29" i="37"/>
  <c r="AJ28" i="37"/>
  <c r="H23" i="59" s="1"/>
  <c r="AJ26" i="37"/>
  <c r="H20" i="59" s="1"/>
  <c r="AJ25" i="37"/>
  <c r="AJ24" i="37"/>
  <c r="H30" i="59" s="1"/>
  <c r="AJ23" i="37"/>
  <c r="AJ22" i="37"/>
  <c r="H18" i="59" s="1"/>
  <c r="AJ21" i="37"/>
  <c r="H17" i="59" s="1"/>
  <c r="AJ20" i="37"/>
  <c r="H16" i="59" s="1"/>
  <c r="AJ19" i="37"/>
  <c r="AJ18" i="37"/>
  <c r="H14" i="59" s="1"/>
  <c r="AJ17" i="37"/>
  <c r="AJ16" i="37"/>
  <c r="H11" i="59" s="1"/>
  <c r="AJ15" i="37"/>
  <c r="H10" i="59" s="1"/>
  <c r="AJ14" i="37"/>
  <c r="AJ13" i="37"/>
  <c r="AO85" i="37"/>
  <c r="AO84" i="37"/>
  <c r="AO83" i="37"/>
  <c r="AO82" i="37"/>
  <c r="AO81" i="37"/>
  <c r="AO80" i="37"/>
  <c r="AN79" i="37"/>
  <c r="AK79" i="37" s="1"/>
  <c r="AM79" i="37"/>
  <c r="AJ79" i="37" s="1"/>
  <c r="AO76" i="37"/>
  <c r="AO75" i="37"/>
  <c r="AO74" i="37"/>
  <c r="AO73" i="37"/>
  <c r="AO72" i="37"/>
  <c r="AO71" i="37"/>
  <c r="AO70" i="37"/>
  <c r="AO68" i="37"/>
  <c r="AO67" i="37"/>
  <c r="AO66" i="37"/>
  <c r="AO65" i="37"/>
  <c r="AO64" i="37"/>
  <c r="AO62" i="37"/>
  <c r="AO61" i="37"/>
  <c r="AO60" i="37"/>
  <c r="AO59" i="37"/>
  <c r="AO58" i="37"/>
  <c r="AO57" i="37"/>
  <c r="AO56" i="37"/>
  <c r="AO55" i="37"/>
  <c r="AN54" i="37"/>
  <c r="AK54" i="37" s="1"/>
  <c r="AM54" i="37"/>
  <c r="AJ54" i="37" s="1"/>
  <c r="AO51" i="37"/>
  <c r="AO49" i="37"/>
  <c r="AO48" i="37"/>
  <c r="AO47" i="37"/>
  <c r="AO46" i="37"/>
  <c r="AO45" i="37"/>
  <c r="AO44" i="37"/>
  <c r="AO43" i="37"/>
  <c r="AN42" i="37"/>
  <c r="AK42" i="37" s="1"/>
  <c r="AM42" i="37"/>
  <c r="AJ42" i="37" s="1"/>
  <c r="AO40" i="37"/>
  <c r="AO39" i="37"/>
  <c r="AO38" i="37"/>
  <c r="AN37" i="37"/>
  <c r="AN11" i="37" s="1"/>
  <c r="AK11" i="37" s="1"/>
  <c r="AM37" i="37"/>
  <c r="AO36" i="37"/>
  <c r="AO35" i="37"/>
  <c r="AO34" i="37"/>
  <c r="AO33" i="37"/>
  <c r="AO32" i="37"/>
  <c r="AO31" i="37"/>
  <c r="AO30" i="37"/>
  <c r="AO29" i="37"/>
  <c r="AO28" i="37"/>
  <c r="AO27" i="37"/>
  <c r="AO26" i="37"/>
  <c r="AO25" i="37"/>
  <c r="AO24" i="37"/>
  <c r="AO23" i="37"/>
  <c r="AO22" i="37"/>
  <c r="AO21" i="37"/>
  <c r="AO20" i="37"/>
  <c r="AO19" i="37"/>
  <c r="AO18" i="37"/>
  <c r="AO17" i="37"/>
  <c r="AO16" i="37"/>
  <c r="AO15" i="37"/>
  <c r="AO14" i="37"/>
  <c r="AO13" i="37"/>
  <c r="J103" i="59" l="1"/>
  <c r="F93" i="57"/>
  <c r="H103" i="59"/>
  <c r="D93" i="57"/>
  <c r="I103" i="59"/>
  <c r="E93" i="57"/>
  <c r="K27" i="59"/>
  <c r="K109" i="33"/>
  <c r="L109" i="33" s="1"/>
  <c r="K86" i="59"/>
  <c r="K142" i="33"/>
  <c r="L142" i="33" s="1"/>
  <c r="K21" i="59"/>
  <c r="K108" i="33"/>
  <c r="L108" i="33" s="1"/>
  <c r="K71" i="59"/>
  <c r="K125" i="33"/>
  <c r="L125" i="33" s="1"/>
  <c r="AQ37" i="37"/>
  <c r="K103" i="59"/>
  <c r="K143" i="33"/>
  <c r="L143" i="33" s="1"/>
  <c r="L96" i="59"/>
  <c r="K40" i="59"/>
  <c r="L40" i="59" s="1"/>
  <c r="L16" i="59"/>
  <c r="L30" i="59"/>
  <c r="L29" i="59"/>
  <c r="L22" i="59"/>
  <c r="L14" i="59"/>
  <c r="L20" i="59"/>
  <c r="L24" i="59"/>
  <c r="L100" i="59"/>
  <c r="L103" i="59"/>
  <c r="M54" i="50" s="1"/>
  <c r="L107" i="59"/>
  <c r="L114" i="59"/>
  <c r="L74" i="59"/>
  <c r="M17" i="50" s="1"/>
  <c r="L61" i="59"/>
  <c r="H105" i="59"/>
  <c r="D95" i="57"/>
  <c r="I106" i="33"/>
  <c r="I35" i="59"/>
  <c r="AI100" i="37"/>
  <c r="H102" i="59"/>
  <c r="L102" i="59" s="1"/>
  <c r="H106" i="59"/>
  <c r="D96" i="57"/>
  <c r="AI13" i="37"/>
  <c r="H8" i="59"/>
  <c r="L8" i="59" s="1"/>
  <c r="AI17" i="37"/>
  <c r="H13" i="59"/>
  <c r="L13" i="59" s="1"/>
  <c r="L17" i="59"/>
  <c r="AI25" i="37"/>
  <c r="H31" i="59"/>
  <c r="L31" i="59" s="1"/>
  <c r="AI35" i="37"/>
  <c r="H33" i="59"/>
  <c r="L33" i="59" s="1"/>
  <c r="AI43" i="37"/>
  <c r="H48" i="59"/>
  <c r="L48" i="59" s="1"/>
  <c r="L52" i="59"/>
  <c r="AI49" i="37"/>
  <c r="H54" i="59"/>
  <c r="L54" i="59" s="1"/>
  <c r="AI85" i="37"/>
  <c r="H86" i="59"/>
  <c r="L86" i="59" s="1"/>
  <c r="M25" i="50" s="1"/>
  <c r="L63" i="59"/>
  <c r="M14" i="50" s="1"/>
  <c r="L67" i="59"/>
  <c r="M56" i="50" s="1"/>
  <c r="AI66" i="37"/>
  <c r="H69" i="59"/>
  <c r="L69" i="59" s="1"/>
  <c r="AI68" i="37"/>
  <c r="H71" i="59"/>
  <c r="L71" i="59" s="1"/>
  <c r="H73" i="59"/>
  <c r="L73" i="59" s="1"/>
  <c r="AI73" i="37"/>
  <c r="H75" i="59"/>
  <c r="L75" i="59" s="1"/>
  <c r="AI75" i="37"/>
  <c r="H77" i="59"/>
  <c r="L77" i="59" s="1"/>
  <c r="M41" i="50" s="1"/>
  <c r="I99" i="59"/>
  <c r="E92" i="57"/>
  <c r="I104" i="59"/>
  <c r="E94" i="57"/>
  <c r="I106" i="59"/>
  <c r="E96" i="57"/>
  <c r="I111" i="59"/>
  <c r="E98" i="57"/>
  <c r="J98" i="33"/>
  <c r="J10" i="59"/>
  <c r="J104" i="33"/>
  <c r="J26" i="59"/>
  <c r="J110" i="33"/>
  <c r="J39" i="59"/>
  <c r="J112" i="33"/>
  <c r="J49" i="59"/>
  <c r="J114" i="33"/>
  <c r="J51" i="59"/>
  <c r="J131" i="33"/>
  <c r="J76" i="59"/>
  <c r="J133" i="33"/>
  <c r="J78" i="59"/>
  <c r="J135" i="33"/>
  <c r="J82" i="59"/>
  <c r="J136" i="33"/>
  <c r="J84" i="59"/>
  <c r="H112" i="59"/>
  <c r="D99" i="57"/>
  <c r="I102" i="33"/>
  <c r="I23" i="59"/>
  <c r="I103" i="33"/>
  <c r="I25" i="59"/>
  <c r="I107" i="33"/>
  <c r="I38" i="59"/>
  <c r="I113" i="33"/>
  <c r="I50" i="59"/>
  <c r="I117" i="33"/>
  <c r="I59" i="59"/>
  <c r="I121" i="33"/>
  <c r="I65" i="59"/>
  <c r="I134" i="33"/>
  <c r="I81" i="59"/>
  <c r="J99" i="59"/>
  <c r="F92" i="57"/>
  <c r="J104" i="59"/>
  <c r="F94" i="57"/>
  <c r="J106" i="59"/>
  <c r="F96" i="57"/>
  <c r="J111" i="59"/>
  <c r="F98" i="57"/>
  <c r="K7" i="59"/>
  <c r="G97" i="57"/>
  <c r="G107" i="57" s="1"/>
  <c r="K99" i="33"/>
  <c r="K11" i="59"/>
  <c r="K100" i="33"/>
  <c r="K18" i="59"/>
  <c r="K102" i="33"/>
  <c r="K23" i="59"/>
  <c r="K103" i="33"/>
  <c r="K25" i="59"/>
  <c r="K105" i="33"/>
  <c r="K32" i="59"/>
  <c r="K107" i="33"/>
  <c r="K38" i="59"/>
  <c r="K112" i="33"/>
  <c r="K49" i="59"/>
  <c r="K114" i="33"/>
  <c r="K51" i="59"/>
  <c r="K131" i="33"/>
  <c r="K76" i="59"/>
  <c r="K133" i="33"/>
  <c r="K78" i="59"/>
  <c r="K135" i="33"/>
  <c r="K82" i="59"/>
  <c r="K136" i="33"/>
  <c r="K84" i="59"/>
  <c r="K137" i="33"/>
  <c r="K95" i="59"/>
  <c r="G89" i="57"/>
  <c r="G104" i="57" s="1"/>
  <c r="K98" i="59"/>
  <c r="G91" i="57"/>
  <c r="K105" i="59"/>
  <c r="G95" i="57"/>
  <c r="K112" i="59"/>
  <c r="G99" i="57"/>
  <c r="H95" i="59"/>
  <c r="D89" i="57"/>
  <c r="H98" i="59"/>
  <c r="D91" i="57"/>
  <c r="I99" i="33"/>
  <c r="I11" i="59"/>
  <c r="I100" i="33"/>
  <c r="I18" i="59"/>
  <c r="I105" i="33"/>
  <c r="I32" i="59"/>
  <c r="AI19" i="37"/>
  <c r="AI23" i="37"/>
  <c r="H19" i="59"/>
  <c r="L19" i="59" s="1"/>
  <c r="AI38" i="37"/>
  <c r="H37" i="59"/>
  <c r="L37" i="59" s="1"/>
  <c r="L53" i="59"/>
  <c r="AI51" i="37"/>
  <c r="H55" i="59"/>
  <c r="L55" i="59" s="1"/>
  <c r="AI82" i="37"/>
  <c r="H83" i="59"/>
  <c r="L83" i="59" s="1"/>
  <c r="AI84" i="37"/>
  <c r="H85" i="59"/>
  <c r="L85" i="59" s="1"/>
  <c r="AI56" i="37"/>
  <c r="H60" i="59"/>
  <c r="L60" i="59" s="1"/>
  <c r="M40" i="50" s="1"/>
  <c r="L62" i="59"/>
  <c r="M22" i="50" s="1"/>
  <c r="AI60" i="37"/>
  <c r="H64" i="59"/>
  <c r="L64" i="59" s="1"/>
  <c r="M18" i="50" s="1"/>
  <c r="AI62" i="37"/>
  <c r="H66" i="59"/>
  <c r="L66" i="59" s="1"/>
  <c r="AI67" i="37"/>
  <c r="H70" i="59"/>
  <c r="L70" i="59" s="1"/>
  <c r="AI70" i="37"/>
  <c r="H72" i="59"/>
  <c r="L72" i="59" s="1"/>
  <c r="M20" i="50" s="1"/>
  <c r="L93" i="59"/>
  <c r="I137" i="33"/>
  <c r="I95" i="59"/>
  <c r="E89" i="57"/>
  <c r="E104" i="57" s="1"/>
  <c r="I98" i="59"/>
  <c r="E91" i="57"/>
  <c r="E105" i="57" s="1"/>
  <c r="I105" i="59"/>
  <c r="E95" i="57"/>
  <c r="I112" i="59"/>
  <c r="E99" i="57"/>
  <c r="J7" i="59"/>
  <c r="F97" i="57"/>
  <c r="F107" i="57" s="1"/>
  <c r="J99" i="33"/>
  <c r="J11" i="59"/>
  <c r="J100" i="33"/>
  <c r="J18" i="59"/>
  <c r="J102" i="33"/>
  <c r="J23" i="59"/>
  <c r="J103" i="33"/>
  <c r="J25" i="59"/>
  <c r="J105" i="33"/>
  <c r="J32" i="59"/>
  <c r="J107" i="33"/>
  <c r="J38" i="59"/>
  <c r="J113" i="33"/>
  <c r="J50" i="59"/>
  <c r="J117" i="33"/>
  <c r="J59" i="59"/>
  <c r="J121" i="33"/>
  <c r="J65" i="59"/>
  <c r="J134" i="33"/>
  <c r="J81" i="59"/>
  <c r="AI29" i="37"/>
  <c r="H21" i="59"/>
  <c r="L21" i="59" s="1"/>
  <c r="AI92" i="37"/>
  <c r="H94" i="59"/>
  <c r="L94" i="59" s="1"/>
  <c r="H99" i="59"/>
  <c r="D92" i="57"/>
  <c r="D105" i="57" s="1"/>
  <c r="D112" i="57" s="1"/>
  <c r="H104" i="59"/>
  <c r="D94" i="57"/>
  <c r="H111" i="59"/>
  <c r="D98" i="57"/>
  <c r="D108" i="57" s="1"/>
  <c r="D115" i="57" s="1"/>
  <c r="AI111" i="37"/>
  <c r="H113" i="59"/>
  <c r="L113" i="59" s="1"/>
  <c r="I7" i="59"/>
  <c r="E97" i="57"/>
  <c r="I98" i="33"/>
  <c r="I10" i="59"/>
  <c r="I104" i="33"/>
  <c r="I26" i="59"/>
  <c r="I110" i="33"/>
  <c r="I39" i="59"/>
  <c r="I112" i="33"/>
  <c r="I49" i="59"/>
  <c r="I114" i="33"/>
  <c r="I51" i="59"/>
  <c r="L68" i="59"/>
  <c r="M21" i="50" s="1"/>
  <c r="I131" i="33"/>
  <c r="I76" i="59"/>
  <c r="I133" i="33"/>
  <c r="I78" i="59"/>
  <c r="I135" i="33"/>
  <c r="I82" i="59"/>
  <c r="I136" i="33"/>
  <c r="I84" i="59"/>
  <c r="J137" i="33"/>
  <c r="J95" i="59"/>
  <c r="F89" i="57"/>
  <c r="F104" i="57" s="1"/>
  <c r="J98" i="59"/>
  <c r="F91" i="57"/>
  <c r="J105" i="59"/>
  <c r="F95" i="57"/>
  <c r="J112" i="59"/>
  <c r="F99" i="57"/>
  <c r="BH11" i="37"/>
  <c r="BE11" i="37" s="1"/>
  <c r="D35" i="59"/>
  <c r="K98" i="33"/>
  <c r="K10" i="59"/>
  <c r="K104" i="33"/>
  <c r="K26" i="59"/>
  <c r="K110" i="33"/>
  <c r="K39" i="59"/>
  <c r="K113" i="33"/>
  <c r="K50" i="59"/>
  <c r="K117" i="33"/>
  <c r="K59" i="59"/>
  <c r="K121" i="33"/>
  <c r="K65" i="59"/>
  <c r="K134" i="33"/>
  <c r="K81" i="59"/>
  <c r="K99" i="59"/>
  <c r="G92" i="57"/>
  <c r="K104" i="59"/>
  <c r="G94" i="57"/>
  <c r="K106" i="59"/>
  <c r="G96" i="57"/>
  <c r="K111" i="59"/>
  <c r="G98" i="57"/>
  <c r="I140" i="33"/>
  <c r="I141" i="33"/>
  <c r="I146" i="33"/>
  <c r="K147" i="33"/>
  <c r="AI103" i="37"/>
  <c r="AI112" i="37"/>
  <c r="J147" i="33"/>
  <c r="K148" i="33"/>
  <c r="J148" i="33"/>
  <c r="I147" i="33"/>
  <c r="K144" i="33"/>
  <c r="AI24" i="37"/>
  <c r="J144" i="33"/>
  <c r="AI74" i="37"/>
  <c r="H131" i="33"/>
  <c r="AI36" i="37"/>
  <c r="I148" i="33"/>
  <c r="BC95" i="37"/>
  <c r="K140" i="33"/>
  <c r="J140" i="33"/>
  <c r="AI59" i="37"/>
  <c r="I144" i="33"/>
  <c r="K141" i="33"/>
  <c r="K146" i="33"/>
  <c r="AI18" i="37"/>
  <c r="J141" i="33"/>
  <c r="J146" i="33"/>
  <c r="G23" i="45"/>
  <c r="E51" i="45"/>
  <c r="G51" i="45" s="1"/>
  <c r="BH89" i="37"/>
  <c r="AJ37" i="37"/>
  <c r="H35" i="59" s="1"/>
  <c r="AI65" i="37"/>
  <c r="H113" i="33"/>
  <c r="AI45" i="37"/>
  <c r="H117" i="33"/>
  <c r="AI55" i="37"/>
  <c r="H121" i="33"/>
  <c r="AI61" i="37"/>
  <c r="AY115" i="37"/>
  <c r="BE79" i="37"/>
  <c r="AI14" i="37"/>
  <c r="AI26" i="37"/>
  <c r="H114" i="33"/>
  <c r="AI46" i="37"/>
  <c r="AI80" i="37"/>
  <c r="H134" i="33"/>
  <c r="H133" i="33"/>
  <c r="AI76" i="37"/>
  <c r="AY54" i="37"/>
  <c r="BC90" i="37"/>
  <c r="H98" i="33"/>
  <c r="AI15" i="37"/>
  <c r="AI27" i="37"/>
  <c r="H107" i="33"/>
  <c r="AI39" i="37"/>
  <c r="H141" i="33"/>
  <c r="AI97" i="37"/>
  <c r="H146" i="33"/>
  <c r="AI104" i="37"/>
  <c r="C62" i="33"/>
  <c r="H162" i="33"/>
  <c r="L162" i="33" s="1"/>
  <c r="P162" i="33" s="1"/>
  <c r="U162" i="33" s="1"/>
  <c r="AI116" i="37"/>
  <c r="H159" i="33"/>
  <c r="L159" i="33" s="1"/>
  <c r="P159" i="33" s="1"/>
  <c r="U159" i="33" s="1"/>
  <c r="AI122" i="37"/>
  <c r="AV90" i="37"/>
  <c r="H99" i="33"/>
  <c r="AI16" i="37"/>
  <c r="H102" i="33"/>
  <c r="AI28" i="37"/>
  <c r="H110" i="33"/>
  <c r="AI40" i="37"/>
  <c r="AI47" i="37"/>
  <c r="H135" i="33"/>
  <c r="AI81" i="37"/>
  <c r="AI57" i="37"/>
  <c r="AI64" i="37"/>
  <c r="AI71" i="37"/>
  <c r="I91" i="33"/>
  <c r="I152" i="33"/>
  <c r="D13" i="45" s="1"/>
  <c r="AI91" i="37"/>
  <c r="AI98" i="37"/>
  <c r="AI105" i="37"/>
  <c r="H150" i="33"/>
  <c r="L150" i="33" s="1"/>
  <c r="P150" i="33" s="1"/>
  <c r="U150" i="33" s="1"/>
  <c r="AI117" i="37"/>
  <c r="H149" i="33"/>
  <c r="L149" i="33" s="1"/>
  <c r="P149" i="33" s="1"/>
  <c r="U149" i="33" s="1"/>
  <c r="AI123" i="37"/>
  <c r="BJ95" i="37"/>
  <c r="B37" i="33"/>
  <c r="H140" i="33"/>
  <c r="AI96" i="37"/>
  <c r="AI48" i="37"/>
  <c r="H104" i="33"/>
  <c r="AI31" i="37"/>
  <c r="H147" i="33"/>
  <c r="AI109" i="37"/>
  <c r="AI118" i="37"/>
  <c r="H161" i="33"/>
  <c r="L161" i="33" s="1"/>
  <c r="P161" i="33" s="1"/>
  <c r="U161" i="33" s="1"/>
  <c r="AI124" i="37"/>
  <c r="BC42" i="37"/>
  <c r="AI72" i="37"/>
  <c r="AI20" i="37"/>
  <c r="AI32" i="37"/>
  <c r="H136" i="33"/>
  <c r="AI83" i="37"/>
  <c r="AI58" i="37"/>
  <c r="AI21" i="37"/>
  <c r="AI33" i="37"/>
  <c r="H137" i="33"/>
  <c r="AI93" i="37"/>
  <c r="AI101" i="37"/>
  <c r="H148" i="33"/>
  <c r="AI110" i="37"/>
  <c r="AI119" i="37"/>
  <c r="AI125" i="37"/>
  <c r="H164" i="33"/>
  <c r="L164" i="33" s="1"/>
  <c r="H100" i="33"/>
  <c r="AI22" i="37"/>
  <c r="H105" i="33"/>
  <c r="AI34" i="37"/>
  <c r="H112" i="33"/>
  <c r="AI44" i="37"/>
  <c r="AV108" i="37"/>
  <c r="BE37" i="37"/>
  <c r="H157" i="33"/>
  <c r="L157" i="33" s="1"/>
  <c r="P157" i="33" s="1"/>
  <c r="U157" i="33" s="1"/>
  <c r="AI121" i="37"/>
  <c r="H103" i="33"/>
  <c r="AI30" i="37"/>
  <c r="C67" i="33"/>
  <c r="AI94" i="37"/>
  <c r="H144" i="33"/>
  <c r="AI102" i="37"/>
  <c r="H155" i="33"/>
  <c r="L155" i="33" s="1"/>
  <c r="P155" i="33" s="1"/>
  <c r="U155" i="33" s="1"/>
  <c r="AI120" i="37"/>
  <c r="AY37" i="37"/>
  <c r="BF37" i="37"/>
  <c r="H123" i="33"/>
  <c r="H84" i="33"/>
  <c r="K145" i="33"/>
  <c r="K90" i="33"/>
  <c r="I120" i="33"/>
  <c r="I81" i="33"/>
  <c r="I124" i="33"/>
  <c r="I85" i="33"/>
  <c r="AV115" i="37"/>
  <c r="AX42" i="37"/>
  <c r="J118" i="33"/>
  <c r="J79" i="33"/>
  <c r="J130" i="33"/>
  <c r="J88" i="33"/>
  <c r="BF79" i="37"/>
  <c r="BJ90" i="37"/>
  <c r="K119" i="33"/>
  <c r="K82" i="33"/>
  <c r="K80" i="33"/>
  <c r="H120" i="33"/>
  <c r="H81" i="33"/>
  <c r="H124" i="33"/>
  <c r="H85" i="33"/>
  <c r="AY42" i="37"/>
  <c r="BC99" i="37"/>
  <c r="BE54" i="37"/>
  <c r="K120" i="33"/>
  <c r="K81" i="33"/>
  <c r="K124" i="33"/>
  <c r="K85" i="33"/>
  <c r="BE115" i="37"/>
  <c r="F62" i="33" s="1"/>
  <c r="K123" i="33"/>
  <c r="K84" i="33"/>
  <c r="I97" i="33"/>
  <c r="I76" i="33"/>
  <c r="I132" i="33"/>
  <c r="I89" i="33"/>
  <c r="J119" i="33"/>
  <c r="J82" i="33"/>
  <c r="J80" i="33"/>
  <c r="J123" i="33"/>
  <c r="J84" i="33"/>
  <c r="BC115" i="37"/>
  <c r="J152" i="33"/>
  <c r="J166" i="33" s="1"/>
  <c r="J91" i="33"/>
  <c r="BI53" i="37"/>
  <c r="BF54" i="37"/>
  <c r="BE95" i="37"/>
  <c r="BF115" i="37"/>
  <c r="BB89" i="37"/>
  <c r="AY90" i="37"/>
  <c r="H132" i="33"/>
  <c r="H89" i="33"/>
  <c r="AT10" i="37"/>
  <c r="AR37" i="37"/>
  <c r="AT89" i="37"/>
  <c r="AQ95" i="37"/>
  <c r="BE42" i="37"/>
  <c r="K132" i="33"/>
  <c r="K89" i="33"/>
  <c r="BF95" i="37"/>
  <c r="K152" i="33"/>
  <c r="F13" i="45" s="1"/>
  <c r="K91" i="33"/>
  <c r="H145" i="33"/>
  <c r="H90" i="33"/>
  <c r="AR11" i="37"/>
  <c r="I122" i="33"/>
  <c r="I83" i="33"/>
  <c r="AU88" i="37"/>
  <c r="AR95" i="37"/>
  <c r="AQ108" i="37"/>
  <c r="D67" i="33" s="1"/>
  <c r="BA10" i="37"/>
  <c r="AX11" i="37"/>
  <c r="J97" i="33"/>
  <c r="J76" i="33"/>
  <c r="J120" i="33"/>
  <c r="J81" i="33"/>
  <c r="J124" i="33"/>
  <c r="J85" i="33"/>
  <c r="AX95" i="37"/>
  <c r="BF42" i="37"/>
  <c r="BE108" i="37"/>
  <c r="F67" i="33" s="1"/>
  <c r="BB88" i="37"/>
  <c r="AY99" i="37"/>
  <c r="K97" i="33"/>
  <c r="K76" i="33"/>
  <c r="AQ79" i="37"/>
  <c r="I126" i="33"/>
  <c r="I86" i="33"/>
  <c r="H122" i="33"/>
  <c r="H83" i="33"/>
  <c r="H126" i="33"/>
  <c r="H86" i="33"/>
  <c r="AR79" i="37"/>
  <c r="AV95" i="37"/>
  <c r="AR108" i="37"/>
  <c r="BB11" i="37"/>
  <c r="BF11" i="37" s="1"/>
  <c r="AY95" i="37"/>
  <c r="K101" i="33"/>
  <c r="K78" i="33"/>
  <c r="K122" i="33"/>
  <c r="K83" i="33"/>
  <c r="K126" i="33"/>
  <c r="K86" i="33"/>
  <c r="BF108" i="37"/>
  <c r="BJ115" i="37"/>
  <c r="AQ54" i="37"/>
  <c r="I101" i="33"/>
  <c r="I78" i="33"/>
  <c r="I127" i="33"/>
  <c r="I87" i="33"/>
  <c r="AT88" i="37"/>
  <c r="I145" i="33"/>
  <c r="I90" i="33"/>
  <c r="AX37" i="37"/>
  <c r="J132" i="33"/>
  <c r="J89" i="33"/>
  <c r="AX108" i="37"/>
  <c r="E67" i="33" s="1"/>
  <c r="H127" i="33"/>
  <c r="H87" i="33"/>
  <c r="AR54" i="37"/>
  <c r="AU89" i="37"/>
  <c r="BC37" i="37"/>
  <c r="BC11" i="37" s="1"/>
  <c r="AY108" i="37"/>
  <c r="BI10" i="37"/>
  <c r="BJ42" i="37"/>
  <c r="K127" i="33"/>
  <c r="K87" i="33"/>
  <c r="H119" i="33"/>
  <c r="H80" i="33"/>
  <c r="H82" i="33"/>
  <c r="H101" i="33"/>
  <c r="H78" i="33"/>
  <c r="AQ42" i="37"/>
  <c r="I118" i="33"/>
  <c r="I79" i="33"/>
  <c r="I130" i="33"/>
  <c r="I88" i="33"/>
  <c r="AQ90" i="37"/>
  <c r="AQ99" i="37"/>
  <c r="AQ115" i="37"/>
  <c r="D62" i="33" s="1"/>
  <c r="AX79" i="37"/>
  <c r="J122" i="33"/>
  <c r="J83" i="33"/>
  <c r="J126" i="33"/>
  <c r="J86" i="33"/>
  <c r="BC108" i="37"/>
  <c r="J145" i="33"/>
  <c r="J90" i="33"/>
  <c r="BE90" i="37"/>
  <c r="BH88" i="37"/>
  <c r="BE99" i="37"/>
  <c r="H118" i="33"/>
  <c r="H79" i="33"/>
  <c r="H130" i="33"/>
  <c r="H88" i="33"/>
  <c r="AR42" i="37"/>
  <c r="AR90" i="37"/>
  <c r="AR99" i="37"/>
  <c r="AR115" i="37"/>
  <c r="AY79" i="37"/>
  <c r="BJ11" i="37"/>
  <c r="K111" i="33"/>
  <c r="L111" i="33" s="1"/>
  <c r="P111" i="33" s="1"/>
  <c r="U111" i="33" s="1"/>
  <c r="K77" i="33"/>
  <c r="L77" i="33" s="1"/>
  <c r="O77" i="33" s="1"/>
  <c r="P77" i="33" s="1"/>
  <c r="K118" i="33"/>
  <c r="K79" i="33"/>
  <c r="K130" i="33"/>
  <c r="K88" i="33"/>
  <c r="BI89" i="37"/>
  <c r="BF89" i="37" s="1"/>
  <c r="BF90" i="37"/>
  <c r="BI88" i="37"/>
  <c r="BF99" i="37"/>
  <c r="H152" i="33"/>
  <c r="H91" i="33"/>
  <c r="I119" i="33"/>
  <c r="I80" i="33"/>
  <c r="I82" i="33"/>
  <c r="I123" i="33"/>
  <c r="I84" i="33"/>
  <c r="AV99" i="37"/>
  <c r="AX54" i="37"/>
  <c r="J101" i="33"/>
  <c r="J78" i="33"/>
  <c r="J127" i="33"/>
  <c r="J87" i="33"/>
  <c r="BA89" i="37"/>
  <c r="AX90" i="37"/>
  <c r="BA88" i="37"/>
  <c r="AX99" i="37"/>
  <c r="AX115" i="37"/>
  <c r="E62" i="33" s="1"/>
  <c r="BJ99" i="37"/>
  <c r="BJ108" i="37"/>
  <c r="BH53" i="37"/>
  <c r="BJ79" i="37"/>
  <c r="BC79" i="37"/>
  <c r="BC54" i="37"/>
  <c r="BA53" i="37"/>
  <c r="BB53" i="37"/>
  <c r="AU10" i="37"/>
  <c r="AV79" i="37"/>
  <c r="AO108" i="37"/>
  <c r="AV42" i="37"/>
  <c r="AM89" i="37"/>
  <c r="AJ89" i="37" s="1"/>
  <c r="AO95" i="37"/>
  <c r="AO115" i="37"/>
  <c r="AK37" i="37"/>
  <c r="AO99" i="37"/>
  <c r="AO90" i="37"/>
  <c r="AN88" i="37"/>
  <c r="AK88" i="37" s="1"/>
  <c r="AM88" i="37"/>
  <c r="AJ88" i="37" s="1"/>
  <c r="AV37" i="37"/>
  <c r="AV11" i="37" s="1"/>
  <c r="AU53" i="37"/>
  <c r="AV54" i="37"/>
  <c r="AT53" i="37"/>
  <c r="AN89" i="37"/>
  <c r="AK89" i="37" s="1"/>
  <c r="AO37" i="37"/>
  <c r="AO11" i="37" s="1"/>
  <c r="AN10" i="37"/>
  <c r="AK10" i="37" s="1"/>
  <c r="AO42" i="37"/>
  <c r="AO54" i="37"/>
  <c r="AM53" i="37"/>
  <c r="AJ53" i="37" s="1"/>
  <c r="AN53" i="37"/>
  <c r="AK53" i="37" s="1"/>
  <c r="AO79" i="37"/>
  <c r="AM11" i="37"/>
  <c r="AQ11" i="37" s="1"/>
  <c r="I93" i="57" l="1"/>
  <c r="L135" i="33"/>
  <c r="P135" i="33" s="1"/>
  <c r="U135" i="33" s="1"/>
  <c r="L100" i="33"/>
  <c r="P100" i="33" s="1"/>
  <c r="M53" i="50"/>
  <c r="L51" i="59"/>
  <c r="L25" i="59"/>
  <c r="Q45" i="48" s="1"/>
  <c r="I95" i="57"/>
  <c r="L114" i="33"/>
  <c r="P114" i="33" s="1"/>
  <c r="L49" i="59"/>
  <c r="L82" i="59"/>
  <c r="M39" i="50" s="1"/>
  <c r="L76" i="59"/>
  <c r="M15" i="50" s="1"/>
  <c r="L98" i="33"/>
  <c r="P98" i="33" s="1"/>
  <c r="U98" i="33" s="1"/>
  <c r="L117" i="33"/>
  <c r="P117" i="33" s="1"/>
  <c r="U117" i="33" s="1"/>
  <c r="L81" i="59"/>
  <c r="M24" i="50" s="1"/>
  <c r="L23" i="59"/>
  <c r="L113" i="33"/>
  <c r="P113" i="33" s="1"/>
  <c r="E106" i="57"/>
  <c r="F106" i="57"/>
  <c r="BH10" i="37"/>
  <c r="L84" i="59"/>
  <c r="M13" i="50" s="1"/>
  <c r="L78" i="59"/>
  <c r="M57" i="50" s="1"/>
  <c r="L121" i="33"/>
  <c r="P121" i="33" s="1"/>
  <c r="U121" i="33" s="1"/>
  <c r="L133" i="33"/>
  <c r="P133" i="33" s="1"/>
  <c r="U133" i="33" s="1"/>
  <c r="L103" i="33"/>
  <c r="P103" i="33" s="1"/>
  <c r="U103" i="33" s="1"/>
  <c r="L105" i="33"/>
  <c r="P105" i="33" s="1"/>
  <c r="L59" i="59"/>
  <c r="M23" i="50" s="1"/>
  <c r="L38" i="59"/>
  <c r="L10" i="59"/>
  <c r="L144" i="33"/>
  <c r="P144" i="33" s="1"/>
  <c r="L147" i="33"/>
  <c r="P147" i="33" s="1"/>
  <c r="L110" i="33"/>
  <c r="P110" i="33" s="1"/>
  <c r="L26" i="59"/>
  <c r="L104" i="59"/>
  <c r="L11" i="59"/>
  <c r="L50" i="59"/>
  <c r="BE89" i="37"/>
  <c r="F68" i="33" s="1"/>
  <c r="L112" i="33"/>
  <c r="P112" i="33" s="1"/>
  <c r="U112" i="33" s="1"/>
  <c r="L137" i="33"/>
  <c r="P137" i="33" s="1"/>
  <c r="U137" i="33" s="1"/>
  <c r="L104" i="33"/>
  <c r="P104" i="33" s="1"/>
  <c r="L39" i="59"/>
  <c r="L99" i="59"/>
  <c r="L18" i="59"/>
  <c r="L111" i="59"/>
  <c r="L106" i="59"/>
  <c r="M52" i="50" s="1"/>
  <c r="E35" i="59"/>
  <c r="F35" i="59" s="1"/>
  <c r="D6" i="59"/>
  <c r="D5" i="59" s="1"/>
  <c r="D4" i="59" s="1"/>
  <c r="AV53" i="37"/>
  <c r="BC89" i="37"/>
  <c r="L99" i="33"/>
  <c r="P99" i="33" s="1"/>
  <c r="U99" i="33" s="1"/>
  <c r="L107" i="33"/>
  <c r="P107" i="33" s="1"/>
  <c r="U107" i="33" s="1"/>
  <c r="L134" i="33"/>
  <c r="P134" i="33" s="1"/>
  <c r="I97" i="57"/>
  <c r="E107" i="57"/>
  <c r="E114" i="57" s="1"/>
  <c r="M19" i="50"/>
  <c r="L98" i="59"/>
  <c r="M55" i="50" s="1"/>
  <c r="L65" i="59"/>
  <c r="M16" i="50" s="1"/>
  <c r="BC88" i="37"/>
  <c r="L112" i="59"/>
  <c r="J106" i="33"/>
  <c r="E54" i="45" s="1"/>
  <c r="J35" i="59"/>
  <c r="K106" i="33"/>
  <c r="F54" i="45" s="1"/>
  <c r="K35" i="59"/>
  <c r="L148" i="33"/>
  <c r="P148" i="33" s="1"/>
  <c r="L136" i="33"/>
  <c r="P136" i="33" s="1"/>
  <c r="U136" i="33" s="1"/>
  <c r="H106" i="33"/>
  <c r="L102" i="33"/>
  <c r="P102" i="33" s="1"/>
  <c r="U102" i="33" s="1"/>
  <c r="L131" i="33"/>
  <c r="P131" i="33" s="1"/>
  <c r="U131" i="33" s="1"/>
  <c r="M12" i="50"/>
  <c r="L95" i="59"/>
  <c r="L105" i="59"/>
  <c r="I98" i="57"/>
  <c r="F105" i="57"/>
  <c r="F108" i="57"/>
  <c r="I96" i="57"/>
  <c r="G108" i="57"/>
  <c r="L146" i="33"/>
  <c r="P146" i="33" s="1"/>
  <c r="D104" i="57"/>
  <c r="I89" i="57"/>
  <c r="E154" i="57"/>
  <c r="E147" i="57"/>
  <c r="E119" i="57"/>
  <c r="E112" i="57"/>
  <c r="I99" i="57"/>
  <c r="BE10" i="37"/>
  <c r="F64" i="33" s="1"/>
  <c r="BI8" i="37"/>
  <c r="E122" i="57"/>
  <c r="E157" i="57"/>
  <c r="E150" i="57"/>
  <c r="E100" i="57"/>
  <c r="BC10" i="37"/>
  <c r="F100" i="57"/>
  <c r="I92" i="57"/>
  <c r="G105" i="57"/>
  <c r="AV88" i="37"/>
  <c r="L141" i="33"/>
  <c r="P141" i="33" s="1"/>
  <c r="G106" i="57"/>
  <c r="L140" i="33"/>
  <c r="P140" i="33" s="1"/>
  <c r="G100" i="57"/>
  <c r="I94" i="57"/>
  <c r="E108" i="57"/>
  <c r="D106" i="57"/>
  <c r="D113" i="57" s="1"/>
  <c r="I91" i="57"/>
  <c r="I166" i="33"/>
  <c r="K166" i="33"/>
  <c r="AI42" i="37"/>
  <c r="BJ10" i="37"/>
  <c r="BJ88" i="37"/>
  <c r="AI95" i="37"/>
  <c r="AI79" i="37"/>
  <c r="AI99" i="37"/>
  <c r="AI90" i="37"/>
  <c r="AI54" i="37"/>
  <c r="BF88" i="37"/>
  <c r="C9" i="45"/>
  <c r="D9" i="45"/>
  <c r="AQ89" i="37"/>
  <c r="D68" i="33" s="1"/>
  <c r="AQ88" i="37"/>
  <c r="D66" i="33" s="1"/>
  <c r="AI115" i="37"/>
  <c r="AI37" i="37"/>
  <c r="AR10" i="37"/>
  <c r="C66" i="33"/>
  <c r="AI108" i="37"/>
  <c r="AX10" i="37"/>
  <c r="E64" i="33" s="1"/>
  <c r="C13" i="45"/>
  <c r="E13" i="45"/>
  <c r="C68" i="33"/>
  <c r="C65" i="33"/>
  <c r="AY88" i="37"/>
  <c r="I165" i="33"/>
  <c r="D70" i="33" s="1"/>
  <c r="D54" i="45"/>
  <c r="L97" i="33"/>
  <c r="P97" i="33" s="1"/>
  <c r="U97" i="33" s="1"/>
  <c r="L82" i="33"/>
  <c r="O82" i="33" s="1"/>
  <c r="P82" i="33" s="1"/>
  <c r="L88" i="33"/>
  <c r="O88" i="33" s="1"/>
  <c r="P88" i="33" s="1"/>
  <c r="L80" i="33"/>
  <c r="O80" i="33" s="1"/>
  <c r="P80" i="33" s="1"/>
  <c r="L87" i="33"/>
  <c r="O87" i="33" s="1"/>
  <c r="P87" i="33" s="1"/>
  <c r="L126" i="33"/>
  <c r="P126" i="33" s="1"/>
  <c r="U126" i="33" s="1"/>
  <c r="L81" i="33"/>
  <c r="O81" i="33" s="1"/>
  <c r="P81" i="33" s="1"/>
  <c r="L119" i="33"/>
  <c r="P119" i="33" s="1"/>
  <c r="L120" i="33"/>
  <c r="P120" i="33" s="1"/>
  <c r="U120" i="33" s="1"/>
  <c r="L130" i="33"/>
  <c r="P130" i="33" s="1"/>
  <c r="U130" i="33" s="1"/>
  <c r="BE88" i="37"/>
  <c r="F66" i="33" s="1"/>
  <c r="L127" i="33"/>
  <c r="P127" i="33" s="1"/>
  <c r="U127" i="33" s="1"/>
  <c r="L90" i="33"/>
  <c r="O90" i="33" s="1"/>
  <c r="P90" i="33" s="1"/>
  <c r="L145" i="33"/>
  <c r="P145" i="33" s="1"/>
  <c r="U145" i="33" s="1"/>
  <c r="L89" i="33"/>
  <c r="O89" i="33" s="1"/>
  <c r="P89" i="33" s="1"/>
  <c r="AV89" i="37"/>
  <c r="BE53" i="37"/>
  <c r="F65" i="33" s="1"/>
  <c r="AX88" i="37"/>
  <c r="E66" i="33" s="1"/>
  <c r="L138" i="33"/>
  <c r="P138" i="33" s="1"/>
  <c r="U138" i="33" s="1"/>
  <c r="J92" i="33"/>
  <c r="L132" i="33"/>
  <c r="P132" i="33" s="1"/>
  <c r="U132" i="33" s="1"/>
  <c r="BB10" i="37"/>
  <c r="AY10" i="37" s="1"/>
  <c r="AY11" i="37"/>
  <c r="K92" i="33"/>
  <c r="BJ53" i="37"/>
  <c r="AY89" i="37"/>
  <c r="AX89" i="37"/>
  <c r="E68" i="33" s="1"/>
  <c r="L118" i="33"/>
  <c r="P118" i="33" s="1"/>
  <c r="U118" i="33" s="1"/>
  <c r="AO89" i="37"/>
  <c r="BJ89" i="37"/>
  <c r="AT8" i="37"/>
  <c r="AQ53" i="37"/>
  <c r="D65" i="33" s="1"/>
  <c r="AM10" i="37"/>
  <c r="AJ10" i="37" s="1"/>
  <c r="C64" i="33" s="1"/>
  <c r="AJ11" i="37"/>
  <c r="L91" i="33"/>
  <c r="O91" i="33" s="1"/>
  <c r="P91" i="33" s="1"/>
  <c r="L152" i="33"/>
  <c r="P152" i="33" s="1"/>
  <c r="U152" i="33" s="1"/>
  <c r="H166" i="33"/>
  <c r="L78" i="33"/>
  <c r="O78" i="33" s="1"/>
  <c r="P78" i="33" s="1"/>
  <c r="H92" i="33"/>
  <c r="I92" i="33"/>
  <c r="L76" i="33"/>
  <c r="O76" i="33" s="1"/>
  <c r="P76" i="33" s="1"/>
  <c r="L85" i="33"/>
  <c r="O85" i="33" s="1"/>
  <c r="P85" i="33" s="1"/>
  <c r="L84" i="33"/>
  <c r="O84" i="33" s="1"/>
  <c r="P84" i="33" s="1"/>
  <c r="L83" i="33"/>
  <c r="O83" i="33" s="1"/>
  <c r="P83" i="33" s="1"/>
  <c r="L122" i="33"/>
  <c r="P122" i="33" s="1"/>
  <c r="U122" i="33" s="1"/>
  <c r="AU8" i="37"/>
  <c r="AR53" i="37"/>
  <c r="AY53" i="37"/>
  <c r="L79" i="33"/>
  <c r="O79" i="33" s="1"/>
  <c r="P79" i="33" s="1"/>
  <c r="BA8" i="37"/>
  <c r="AX53" i="37"/>
  <c r="E65" i="33" s="1"/>
  <c r="L101" i="33"/>
  <c r="P101" i="33" s="1"/>
  <c r="U101" i="33" s="1"/>
  <c r="L86" i="33"/>
  <c r="O86" i="33" s="1"/>
  <c r="P86" i="33" s="1"/>
  <c r="AR88" i="37"/>
  <c r="BF53" i="37"/>
  <c r="L124" i="33"/>
  <c r="P124" i="33" s="1"/>
  <c r="U124" i="33" s="1"/>
  <c r="L123" i="33"/>
  <c r="P123" i="33" s="1"/>
  <c r="U123" i="33" s="1"/>
  <c r="BH8" i="37"/>
  <c r="BC53" i="37"/>
  <c r="AV10" i="37"/>
  <c r="AN8" i="37"/>
  <c r="AK8" i="37" s="1"/>
  <c r="AO88" i="37"/>
  <c r="AO10" i="37"/>
  <c r="AO53" i="37"/>
  <c r="BC8" i="37" l="1"/>
  <c r="AV8" i="37"/>
  <c r="M51" i="50"/>
  <c r="H165" i="33"/>
  <c r="C70" i="33" s="1"/>
  <c r="BJ8" i="37"/>
  <c r="S119" i="33"/>
  <c r="C54" i="45"/>
  <c r="G54" i="45" s="1"/>
  <c r="F9" i="45"/>
  <c r="K165" i="33"/>
  <c r="F70" i="33" s="1"/>
  <c r="L106" i="33"/>
  <c r="P106" i="33" s="1"/>
  <c r="E9" i="45"/>
  <c r="M49" i="50"/>
  <c r="M29" i="50"/>
  <c r="F156" i="57"/>
  <c r="E135" i="57"/>
  <c r="F142" i="57" s="1"/>
  <c r="F149" i="57"/>
  <c r="F114" i="57"/>
  <c r="F121" i="57"/>
  <c r="J165" i="33"/>
  <c r="E70" i="33" s="1"/>
  <c r="E103" i="57"/>
  <c r="F103" i="57"/>
  <c r="G103" i="57"/>
  <c r="E115" i="57"/>
  <c r="F122" i="57" s="1"/>
  <c r="E164" i="57"/>
  <c r="E172" i="57" s="1"/>
  <c r="E129" i="57"/>
  <c r="F112" i="57"/>
  <c r="F147" i="57"/>
  <c r="F154" i="57"/>
  <c r="F119" i="57"/>
  <c r="E161" i="57"/>
  <c r="E169" i="57" s="1"/>
  <c r="E126" i="57"/>
  <c r="E133" i="57" s="1"/>
  <c r="F140" i="57" s="1"/>
  <c r="E148" i="57"/>
  <c r="E113" i="57"/>
  <c r="E155" i="57"/>
  <c r="E120" i="57"/>
  <c r="I100" i="57"/>
  <c r="D111" i="57"/>
  <c r="D103" i="57"/>
  <c r="L166" i="33"/>
  <c r="P166" i="33" s="1"/>
  <c r="U166" i="33" s="1"/>
  <c r="G13" i="45"/>
  <c r="AX8" i="37"/>
  <c r="E63" i="33" s="1"/>
  <c r="E69" i="33" s="1"/>
  <c r="J93" i="33" s="1"/>
  <c r="J94" i="33" s="1"/>
  <c r="AI88" i="37"/>
  <c r="AI53" i="37"/>
  <c r="AM8" i="37"/>
  <c r="AJ8" i="37" s="1"/>
  <c r="C63" i="33" s="1"/>
  <c r="C69" i="33" s="1"/>
  <c r="H93" i="33" s="1"/>
  <c r="H94" i="33" s="1"/>
  <c r="AI89" i="37"/>
  <c r="D26" i="45"/>
  <c r="U119" i="33"/>
  <c r="AR8" i="37"/>
  <c r="AQ10" i="37"/>
  <c r="D64" i="33" s="1"/>
  <c r="BF10" i="37"/>
  <c r="AO8" i="37"/>
  <c r="L92" i="33"/>
  <c r="O92" i="33" s="1"/>
  <c r="BE8" i="37"/>
  <c r="F63" i="33" s="1"/>
  <c r="F69" i="33" s="1"/>
  <c r="BB8" i="37"/>
  <c r="BD46" i="32"/>
  <c r="AC55" i="33" s="1"/>
  <c r="BD45" i="32"/>
  <c r="AC54" i="33" s="1"/>
  <c r="BD29" i="32"/>
  <c r="AC49" i="33" s="1"/>
  <c r="BD28" i="32"/>
  <c r="AC48" i="33" s="1"/>
  <c r="BD27" i="32"/>
  <c r="AC47" i="33" s="1"/>
  <c r="BD26" i="32"/>
  <c r="AC46" i="33" s="1"/>
  <c r="BD25" i="32"/>
  <c r="AC45" i="33" s="1"/>
  <c r="C26" i="45" l="1"/>
  <c r="G9" i="45"/>
  <c r="F26" i="45"/>
  <c r="L165" i="33"/>
  <c r="P165" i="33" s="1"/>
  <c r="U165" i="33" s="1"/>
  <c r="G121" i="57"/>
  <c r="G114" i="57"/>
  <c r="G156" i="57"/>
  <c r="G149" i="57"/>
  <c r="E26" i="45"/>
  <c r="F163" i="57"/>
  <c r="F171" i="57" s="1"/>
  <c r="F128" i="57"/>
  <c r="F150" i="57"/>
  <c r="F157" i="57"/>
  <c r="F115" i="57"/>
  <c r="G157" i="57" s="1"/>
  <c r="E136" i="57"/>
  <c r="F143" i="57" s="1"/>
  <c r="F161" i="57"/>
  <c r="F169" i="57" s="1"/>
  <c r="G119" i="57"/>
  <c r="G112" i="57"/>
  <c r="G147" i="57"/>
  <c r="G154" i="57"/>
  <c r="AQ8" i="37"/>
  <c r="D63" i="33" s="1"/>
  <c r="D69" i="33" s="1"/>
  <c r="I93" i="33" s="1"/>
  <c r="I94" i="33" s="1"/>
  <c r="E127" i="57"/>
  <c r="E162" i="57"/>
  <c r="E170" i="57" s="1"/>
  <c r="E111" i="57"/>
  <c r="E153" i="57"/>
  <c r="E152" i="57" s="1"/>
  <c r="E146" i="57"/>
  <c r="E145" i="57" s="1"/>
  <c r="E118" i="57"/>
  <c r="D110" i="57"/>
  <c r="F113" i="57"/>
  <c r="F120" i="57"/>
  <c r="F155" i="57"/>
  <c r="F148" i="57"/>
  <c r="F126" i="57"/>
  <c r="F129" i="57"/>
  <c r="Z8" i="33"/>
  <c r="G35" i="33"/>
  <c r="G37" i="33"/>
  <c r="Z7" i="33"/>
  <c r="Z9" i="33" s="1"/>
  <c r="G38" i="33"/>
  <c r="K93" i="33"/>
  <c r="K94" i="33" s="1"/>
  <c r="AY8" i="37"/>
  <c r="BF8" i="37"/>
  <c r="AT46" i="32"/>
  <c r="X55" i="33" s="1"/>
  <c r="AT45" i="32"/>
  <c r="X54" i="33" s="1"/>
  <c r="AT33" i="32"/>
  <c r="X53" i="33" s="1"/>
  <c r="F164" i="57" l="1"/>
  <c r="F172" i="57" s="1"/>
  <c r="G128" i="57"/>
  <c r="G135" i="57" s="1"/>
  <c r="H142" i="57" s="1"/>
  <c r="G26" i="45"/>
  <c r="G36" i="33"/>
  <c r="G39" i="33" s="1"/>
  <c r="H121" i="57"/>
  <c r="H114" i="57"/>
  <c r="H156" i="57"/>
  <c r="H149" i="57"/>
  <c r="F135" i="57"/>
  <c r="G142" i="57" s="1"/>
  <c r="G163" i="57" s="1"/>
  <c r="G171" i="57" s="1"/>
  <c r="G150" i="57"/>
  <c r="G115" i="57"/>
  <c r="H157" i="57" s="1"/>
  <c r="G122" i="57"/>
  <c r="G129" i="57" s="1"/>
  <c r="F136" i="57"/>
  <c r="G143" i="57" s="1"/>
  <c r="G148" i="57"/>
  <c r="G155" i="57"/>
  <c r="G113" i="57"/>
  <c r="G120" i="57"/>
  <c r="H112" i="57"/>
  <c r="H147" i="57"/>
  <c r="H119" i="57"/>
  <c r="H154" i="57"/>
  <c r="F153" i="57"/>
  <c r="F152" i="57" s="1"/>
  <c r="F118" i="57"/>
  <c r="F146" i="57"/>
  <c r="F145" i="57" s="1"/>
  <c r="F111" i="57"/>
  <c r="E110" i="57"/>
  <c r="F133" i="57"/>
  <c r="G140" i="57" s="1"/>
  <c r="G126" i="57"/>
  <c r="F127" i="57"/>
  <c r="E134" i="57"/>
  <c r="F141" i="57" s="1"/>
  <c r="F162" i="57" s="1"/>
  <c r="F170" i="57" s="1"/>
  <c r="E125" i="57"/>
  <c r="E132" i="57" s="1"/>
  <c r="E160" i="57"/>
  <c r="E117" i="57"/>
  <c r="L93" i="33"/>
  <c r="L94" i="33" s="1"/>
  <c r="B36" i="33"/>
  <c r="Z13" i="33"/>
  <c r="V8" i="33"/>
  <c r="AT32" i="32"/>
  <c r="X52" i="33" s="1"/>
  <c r="AT31" i="32"/>
  <c r="X51" i="33" s="1"/>
  <c r="AT30" i="32"/>
  <c r="X50" i="33" s="1"/>
  <c r="AT29" i="32"/>
  <c r="X49" i="33" s="1"/>
  <c r="AT28" i="32"/>
  <c r="X48" i="33" s="1"/>
  <c r="AT27" i="32"/>
  <c r="X47" i="33" s="1"/>
  <c r="AT26" i="32"/>
  <c r="X46" i="33" s="1"/>
  <c r="AT25" i="32"/>
  <c r="X45" i="33" s="1"/>
  <c r="H128" i="57" l="1"/>
  <c r="H135" i="57" s="1"/>
  <c r="H115" i="57"/>
  <c r="H163" i="57"/>
  <c r="H171" i="57" s="1"/>
  <c r="I171" i="57" s="1"/>
  <c r="H150" i="57"/>
  <c r="G136" i="57"/>
  <c r="H143" i="57" s="1"/>
  <c r="H122" i="57"/>
  <c r="H129" i="57" s="1"/>
  <c r="G164" i="57"/>
  <c r="G172" i="57" s="1"/>
  <c r="G127" i="57"/>
  <c r="G134" i="57" s="1"/>
  <c r="H141" i="57" s="1"/>
  <c r="H126" i="57"/>
  <c r="H133" i="57" s="1"/>
  <c r="G133" i="57"/>
  <c r="H140" i="57" s="1"/>
  <c r="H161" i="57" s="1"/>
  <c r="H169" i="57" s="1"/>
  <c r="E168" i="57"/>
  <c r="E159" i="57"/>
  <c r="F125" i="57"/>
  <c r="E124" i="57"/>
  <c r="F139" i="57"/>
  <c r="F138" i="57" s="1"/>
  <c r="E131" i="57"/>
  <c r="F134" i="57"/>
  <c r="G141" i="57" s="1"/>
  <c r="G162" i="57" s="1"/>
  <c r="G170" i="57" s="1"/>
  <c r="G153" i="57"/>
  <c r="G152" i="57" s="1"/>
  <c r="G111" i="57"/>
  <c r="G146" i="57"/>
  <c r="G145" i="57" s="1"/>
  <c r="G118" i="57"/>
  <c r="F110" i="57"/>
  <c r="G161" i="57"/>
  <c r="G169" i="57" s="1"/>
  <c r="H148" i="57"/>
  <c r="H155" i="57"/>
  <c r="H113" i="57"/>
  <c r="H120" i="57"/>
  <c r="F117" i="57"/>
  <c r="V7" i="33"/>
  <c r="V9" i="33" s="1"/>
  <c r="V13" i="33" s="1"/>
  <c r="BY23" i="32"/>
  <c r="BO23" i="32"/>
  <c r="BE23" i="32"/>
  <c r="AU23" i="32"/>
  <c r="B64" i="44"/>
  <c r="C64" i="44"/>
  <c r="E6" i="16" s="1"/>
  <c r="D65" i="44"/>
  <c r="I65" i="44" s="1"/>
  <c r="E65" i="44"/>
  <c r="F65" i="44"/>
  <c r="H65" i="44"/>
  <c r="E66" i="44"/>
  <c r="H66" i="44"/>
  <c r="I66" i="44"/>
  <c r="D67" i="44"/>
  <c r="I67" i="44" s="1"/>
  <c r="AY122" i="32" s="1"/>
  <c r="E67" i="44"/>
  <c r="F67" i="44"/>
  <c r="H67" i="44"/>
  <c r="D68" i="44"/>
  <c r="I68" i="44" s="1"/>
  <c r="AY127" i="32" s="1"/>
  <c r="E68" i="44"/>
  <c r="F68" i="44"/>
  <c r="H68" i="44"/>
  <c r="D69" i="44"/>
  <c r="I69" i="44" s="1"/>
  <c r="AY128" i="32" s="1"/>
  <c r="E69" i="44"/>
  <c r="F69" i="44"/>
  <c r="H69" i="44"/>
  <c r="D70" i="44"/>
  <c r="I70" i="44" s="1"/>
  <c r="AY123" i="32" s="1"/>
  <c r="E70" i="44"/>
  <c r="F70" i="44"/>
  <c r="H70" i="44"/>
  <c r="B71" i="44"/>
  <c r="C71" i="44"/>
  <c r="C6" i="16" s="1"/>
  <c r="D72" i="44"/>
  <c r="I72" i="44" s="1"/>
  <c r="E72" i="44"/>
  <c r="F72" i="44"/>
  <c r="H72" i="44"/>
  <c r="D73" i="44"/>
  <c r="E73" i="44"/>
  <c r="F73" i="44"/>
  <c r="H73" i="44"/>
  <c r="D74" i="44"/>
  <c r="I74" i="44" s="1"/>
  <c r="E74" i="44"/>
  <c r="F74" i="44"/>
  <c r="H74" i="44"/>
  <c r="D75" i="44"/>
  <c r="I75" i="44" s="1"/>
  <c r="E75" i="44"/>
  <c r="F75" i="44"/>
  <c r="H75" i="44"/>
  <c r="D76" i="44"/>
  <c r="I76" i="44" s="1"/>
  <c r="E76" i="44"/>
  <c r="F76" i="44"/>
  <c r="H76" i="44"/>
  <c r="D77" i="44"/>
  <c r="I77" i="44" s="1"/>
  <c r="E77" i="44"/>
  <c r="F77" i="44"/>
  <c r="H77" i="44"/>
  <c r="D78" i="44"/>
  <c r="E78" i="44"/>
  <c r="F78" i="44"/>
  <c r="H78" i="44"/>
  <c r="D79" i="44"/>
  <c r="I79" i="44" s="1"/>
  <c r="E79" i="44"/>
  <c r="F79" i="44"/>
  <c r="H79" i="44"/>
  <c r="B80" i="44"/>
  <c r="C80" i="44"/>
  <c r="D6" i="16" s="1"/>
  <c r="D81" i="44"/>
  <c r="I81" i="44" s="1"/>
  <c r="E81" i="44"/>
  <c r="F81" i="44"/>
  <c r="H81" i="44"/>
  <c r="D82" i="44"/>
  <c r="E82" i="44"/>
  <c r="F82" i="44"/>
  <c r="H82" i="44"/>
  <c r="D83" i="44"/>
  <c r="I83" i="44" s="1"/>
  <c r="E83" i="44"/>
  <c r="F83" i="44"/>
  <c r="H83" i="44"/>
  <c r="D84" i="44"/>
  <c r="E84" i="44"/>
  <c r="F84" i="44"/>
  <c r="H84" i="44"/>
  <c r="D85" i="44"/>
  <c r="I85" i="44" s="1"/>
  <c r="E85" i="44"/>
  <c r="F85" i="44"/>
  <c r="H85" i="44"/>
  <c r="D86" i="44"/>
  <c r="I86" i="44" s="1"/>
  <c r="E86" i="44"/>
  <c r="F86" i="44"/>
  <c r="H86" i="44"/>
  <c r="D87" i="44"/>
  <c r="E87" i="44"/>
  <c r="F87" i="44"/>
  <c r="H87" i="44"/>
  <c r="D88" i="44"/>
  <c r="E88" i="44"/>
  <c r="F88" i="44"/>
  <c r="H88" i="44"/>
  <c r="B89" i="44"/>
  <c r="C89" i="44"/>
  <c r="D90" i="44"/>
  <c r="E90" i="44"/>
  <c r="F90" i="44"/>
  <c r="H90" i="44"/>
  <c r="D91" i="44"/>
  <c r="I91" i="44" s="1"/>
  <c r="E91" i="44"/>
  <c r="F91" i="44"/>
  <c r="H91" i="44"/>
  <c r="D92" i="44"/>
  <c r="E92" i="44"/>
  <c r="F92" i="44"/>
  <c r="H92" i="44"/>
  <c r="D93" i="44"/>
  <c r="I93" i="44" s="1"/>
  <c r="E93" i="44"/>
  <c r="F93" i="44"/>
  <c r="H93" i="44"/>
  <c r="H127" i="57" l="1"/>
  <c r="H134" i="57" s="1"/>
  <c r="H136" i="57"/>
  <c r="J66" i="44"/>
  <c r="L66" i="44"/>
  <c r="L88" i="44"/>
  <c r="CC107" i="32" s="1"/>
  <c r="L87" i="44"/>
  <c r="CC108" i="32" s="1"/>
  <c r="L85" i="44"/>
  <c r="CC105" i="32" s="1"/>
  <c r="L84" i="44"/>
  <c r="L70" i="44"/>
  <c r="CC123" i="32" s="1"/>
  <c r="H164" i="57"/>
  <c r="H172" i="57" s="1"/>
  <c r="I172" i="57" s="1"/>
  <c r="I169" i="57"/>
  <c r="K75" i="44"/>
  <c r="G125" i="57"/>
  <c r="F124" i="57"/>
  <c r="G117" i="57"/>
  <c r="F132" i="57"/>
  <c r="F160" i="57"/>
  <c r="H111" i="57"/>
  <c r="H146" i="57"/>
  <c r="H145" i="57" s="1"/>
  <c r="H118" i="57"/>
  <c r="H153" i="57"/>
  <c r="H152" i="57" s="1"/>
  <c r="G110" i="57"/>
  <c r="AY121" i="32"/>
  <c r="AY131" i="32" s="1"/>
  <c r="H162" i="57"/>
  <c r="H170" i="57" s="1"/>
  <c r="I170" i="57" s="1"/>
  <c r="E167" i="57"/>
  <c r="J69" i="44"/>
  <c r="BI128" i="32" s="1"/>
  <c r="K66" i="44"/>
  <c r="K78" i="44"/>
  <c r="L78" i="44"/>
  <c r="L92" i="44"/>
  <c r="L86" i="44"/>
  <c r="L83" i="44"/>
  <c r="CC101" i="32" s="1"/>
  <c r="L82" i="44"/>
  <c r="CC104" i="32" s="1"/>
  <c r="K77" i="44"/>
  <c r="L77" i="44"/>
  <c r="L76" i="44"/>
  <c r="K82" i="44"/>
  <c r="BS104" i="32" s="1"/>
  <c r="L75" i="44"/>
  <c r="L73" i="44"/>
  <c r="K79" i="44"/>
  <c r="L79" i="44"/>
  <c r="L93" i="44"/>
  <c r="L91" i="44"/>
  <c r="L69" i="44"/>
  <c r="CC128" i="32" s="1"/>
  <c r="L68" i="44"/>
  <c r="CC127" i="32" s="1"/>
  <c r="H64" i="44"/>
  <c r="K72" i="44"/>
  <c r="K74" i="44"/>
  <c r="K73" i="44"/>
  <c r="K81" i="44"/>
  <c r="BS103" i="32" s="1"/>
  <c r="K68" i="44"/>
  <c r="BS127" i="32" s="1"/>
  <c r="K70" i="44"/>
  <c r="BS123" i="32" s="1"/>
  <c r="H89" i="44"/>
  <c r="H71" i="44"/>
  <c r="J88" i="44"/>
  <c r="BI107" i="32" s="1"/>
  <c r="K87" i="44"/>
  <c r="BS108" i="32" s="1"/>
  <c r="K69" i="44"/>
  <c r="BS128" i="32" s="1"/>
  <c r="J67" i="44"/>
  <c r="BI122" i="32" s="1"/>
  <c r="J78" i="44"/>
  <c r="J74" i="44"/>
  <c r="H80" i="44"/>
  <c r="I88" i="44"/>
  <c r="L72" i="44"/>
  <c r="I78" i="44"/>
  <c r="L74" i="44"/>
  <c r="B35" i="33"/>
  <c r="B39" i="33" s="1"/>
  <c r="F80" i="44"/>
  <c r="D9" i="16" s="1"/>
  <c r="K93" i="44"/>
  <c r="K92" i="44"/>
  <c r="K85" i="44"/>
  <c r="BS105" i="32" s="1"/>
  <c r="F64" i="44"/>
  <c r="E9" i="16" s="1"/>
  <c r="K76" i="44"/>
  <c r="J73" i="44"/>
  <c r="J70" i="44"/>
  <c r="BI123" i="32" s="1"/>
  <c r="J68" i="44"/>
  <c r="BI127" i="32" s="1"/>
  <c r="J83" i="44"/>
  <c r="BI101" i="32" s="1"/>
  <c r="J76" i="44"/>
  <c r="E71" i="44"/>
  <c r="C8" i="16" s="1"/>
  <c r="I64" i="44"/>
  <c r="J65" i="44"/>
  <c r="BI121" i="32" s="1"/>
  <c r="L65" i="44"/>
  <c r="J92" i="44"/>
  <c r="K90" i="44"/>
  <c r="BS111" i="32" s="1"/>
  <c r="J85" i="44"/>
  <c r="BI105" i="32" s="1"/>
  <c r="K84" i="44"/>
  <c r="J91" i="44"/>
  <c r="K86" i="44"/>
  <c r="J84" i="44"/>
  <c r="E80" i="44"/>
  <c r="D8" i="16" s="1"/>
  <c r="K88" i="44"/>
  <c r="BS107" i="32" s="1"/>
  <c r="J86" i="44"/>
  <c r="K83" i="44"/>
  <c r="BS101" i="32" s="1"/>
  <c r="J81" i="44"/>
  <c r="BI103" i="32" s="1"/>
  <c r="J79" i="44"/>
  <c r="J75" i="44"/>
  <c r="J72" i="44"/>
  <c r="F89" i="44"/>
  <c r="K91" i="44"/>
  <c r="J87" i="44"/>
  <c r="BI108" i="32" s="1"/>
  <c r="J82" i="44"/>
  <c r="BI104" i="32" s="1"/>
  <c r="J77" i="44"/>
  <c r="F71" i="44"/>
  <c r="C9" i="16" s="1"/>
  <c r="K67" i="44"/>
  <c r="BS122" i="32" s="1"/>
  <c r="K65" i="44"/>
  <c r="I82" i="44"/>
  <c r="D89" i="44"/>
  <c r="I73" i="44"/>
  <c r="D71" i="44"/>
  <c r="C7" i="16" s="1"/>
  <c r="F7" i="16" s="1"/>
  <c r="I92" i="44"/>
  <c r="AY115" i="32" s="1"/>
  <c r="I90" i="44"/>
  <c r="AY111" i="32" s="1"/>
  <c r="J90" i="44"/>
  <c r="BI111" i="32" s="1"/>
  <c r="J93" i="44"/>
  <c r="I87" i="44"/>
  <c r="I84" i="44"/>
  <c r="E64" i="44"/>
  <c r="E8" i="16" s="1"/>
  <c r="E89" i="44"/>
  <c r="D80" i="44"/>
  <c r="D7" i="16" s="1"/>
  <c r="G7" i="16" s="1"/>
  <c r="D23" i="16" s="1"/>
  <c r="D64" i="44"/>
  <c r="E7" i="16" s="1"/>
  <c r="H7" i="16" s="1"/>
  <c r="E23" i="16" s="1"/>
  <c r="CD141" i="32"/>
  <c r="CD140" i="32"/>
  <c r="CD139" i="32"/>
  <c r="CD135" i="32"/>
  <c r="CD60" i="32"/>
  <c r="CE60" i="32" s="1"/>
  <c r="BY59" i="32"/>
  <c r="BZ59" i="32" s="1"/>
  <c r="CA59" i="32" s="1"/>
  <c r="BT141" i="32"/>
  <c r="BT140" i="32"/>
  <c r="BT139" i="32"/>
  <c r="BT135" i="32"/>
  <c r="BT60" i="32"/>
  <c r="BU60" i="32" s="1"/>
  <c r="BO59" i="32"/>
  <c r="BP59" i="32" s="1"/>
  <c r="BQ59" i="32" s="1"/>
  <c r="AZ60" i="32"/>
  <c r="BA60" i="32" s="1"/>
  <c r="BJ60" i="32"/>
  <c r="BK60" i="32" s="1"/>
  <c r="BJ141" i="32"/>
  <c r="BJ140" i="32"/>
  <c r="BJ139" i="32"/>
  <c r="BJ135" i="32"/>
  <c r="BE59" i="32"/>
  <c r="BF59" i="32" s="1"/>
  <c r="BG59" i="32" s="1"/>
  <c r="AZ141" i="32"/>
  <c r="AZ140" i="32"/>
  <c r="AZ139" i="32"/>
  <c r="AZ135" i="32"/>
  <c r="AU59" i="32"/>
  <c r="AV59" i="32" s="1"/>
  <c r="AW59" i="32" s="1"/>
  <c r="G18" i="38"/>
  <c r="F18" i="38"/>
  <c r="E18" i="38"/>
  <c r="D18" i="38"/>
  <c r="C18" i="38"/>
  <c r="H21" i="38"/>
  <c r="G21" i="38"/>
  <c r="F21" i="38"/>
  <c r="G20" i="38"/>
  <c r="F20" i="38"/>
  <c r="B33" i="38"/>
  <c r="H22" i="38" l="1"/>
  <c r="H23" i="38"/>
  <c r="H110" i="57"/>
  <c r="F168" i="57"/>
  <c r="F159" i="57"/>
  <c r="G139" i="57"/>
  <c r="F131" i="57"/>
  <c r="G132" i="57"/>
  <c r="H125" i="57"/>
  <c r="H124" i="57" s="1"/>
  <c r="G124" i="57"/>
  <c r="H117" i="57"/>
  <c r="BS121" i="32"/>
  <c r="BS131" i="32" s="1"/>
  <c r="BS115" i="32"/>
  <c r="BS118" i="32" s="1"/>
  <c r="G89" i="44"/>
  <c r="G64" i="44"/>
  <c r="E10" i="16" s="1"/>
  <c r="H10" i="16" s="1"/>
  <c r="E26" i="16" s="1"/>
  <c r="AY118" i="32"/>
  <c r="CC121" i="32"/>
  <c r="BI131" i="32"/>
  <c r="L90" i="44"/>
  <c r="L67" i="44"/>
  <c r="CC122" i="32" s="1"/>
  <c r="CC115" i="32"/>
  <c r="G80" i="44"/>
  <c r="D10" i="16" s="1"/>
  <c r="G10" i="16" s="1"/>
  <c r="D26" i="16" s="1"/>
  <c r="BI115" i="32"/>
  <c r="BI118" i="32" s="1"/>
  <c r="G71" i="44"/>
  <c r="C10" i="16" s="1"/>
  <c r="F10" i="16" s="1"/>
  <c r="L81" i="44"/>
  <c r="H8" i="16"/>
  <c r="E24" i="16" s="1"/>
  <c r="G22" i="38"/>
  <c r="G23" i="38" s="1"/>
  <c r="F9" i="16"/>
  <c r="C25" i="16" s="1"/>
  <c r="C23" i="16"/>
  <c r="I7" i="16"/>
  <c r="F23" i="16" s="1"/>
  <c r="H9" i="16"/>
  <c r="E25" i="16" s="1"/>
  <c r="G8" i="16"/>
  <c r="D24" i="16" s="1"/>
  <c r="G9" i="16"/>
  <c r="D25" i="16" s="1"/>
  <c r="BJ142" i="32"/>
  <c r="BT142" i="32"/>
  <c r="F8" i="16"/>
  <c r="F22" i="38"/>
  <c r="F23" i="38" s="1"/>
  <c r="F25" i="38" s="1"/>
  <c r="I89" i="44"/>
  <c r="CD142" i="32"/>
  <c r="K64" i="44"/>
  <c r="BI109" i="32"/>
  <c r="J71" i="44"/>
  <c r="K71" i="44"/>
  <c r="AZ142" i="32"/>
  <c r="L71" i="44"/>
  <c r="K80" i="44"/>
  <c r="K89" i="44"/>
  <c r="J80" i="44"/>
  <c r="J64" i="44"/>
  <c r="BS109" i="32"/>
  <c r="J89" i="44"/>
  <c r="I71" i="44"/>
  <c r="I80" i="44"/>
  <c r="H25" i="38" l="1"/>
  <c r="H139" i="57"/>
  <c r="G131" i="57"/>
  <c r="G138" i="57"/>
  <c r="G160" i="57"/>
  <c r="F167" i="57"/>
  <c r="H132" i="57"/>
  <c r="H131" i="57" s="1"/>
  <c r="D28" i="16"/>
  <c r="C158" i="23" s="1"/>
  <c r="E28" i="16"/>
  <c r="E34" i="23" s="1"/>
  <c r="CC131" i="32"/>
  <c r="CC111" i="32"/>
  <c r="CC118" i="32" s="1"/>
  <c r="L89" i="44"/>
  <c r="CC103" i="32"/>
  <c r="CC109" i="32" s="1"/>
  <c r="L80" i="44"/>
  <c r="L64" i="44"/>
  <c r="C26" i="16"/>
  <c r="I10" i="16"/>
  <c r="F26" i="16" s="1"/>
  <c r="I9" i="16"/>
  <c r="F25" i="16" s="1"/>
  <c r="C24" i="16"/>
  <c r="C28" i="16" s="1"/>
  <c r="I8" i="16"/>
  <c r="F24" i="16" s="1"/>
  <c r="G25" i="38"/>
  <c r="G34" i="23" l="1"/>
  <c r="H158" i="23"/>
  <c r="F158" i="23"/>
  <c r="G168" i="57"/>
  <c r="G159" i="57"/>
  <c r="C34" i="23"/>
  <c r="G158" i="23"/>
  <c r="H34" i="23"/>
  <c r="D34" i="23"/>
  <c r="F34" i="23"/>
  <c r="H138" i="57"/>
  <c r="H160" i="57"/>
  <c r="E158" i="23"/>
  <c r="D158" i="23"/>
  <c r="F28" i="16"/>
  <c r="D10" i="27" s="1"/>
  <c r="C34" i="26"/>
  <c r="E9" i="26" l="1"/>
  <c r="E55" i="27" s="1"/>
  <c r="G9" i="26"/>
  <c r="H168" i="57"/>
  <c r="H167" i="57" s="1"/>
  <c r="H159" i="57"/>
  <c r="G167" i="57"/>
  <c r="E85" i="27"/>
  <c r="F85" i="27" s="1"/>
  <c r="G85" i="27" s="1"/>
  <c r="H85" i="27" s="1"/>
  <c r="E21" i="38"/>
  <c r="E20" i="38"/>
  <c r="D21" i="38"/>
  <c r="D20" i="38"/>
  <c r="C20" i="38"/>
  <c r="C22" i="38" s="1"/>
  <c r="C23" i="38" s="1"/>
  <c r="P34" i="32"/>
  <c r="AJ103" i="32"/>
  <c r="AJ86" i="32"/>
  <c r="AJ87" i="32"/>
  <c r="AJ69" i="32"/>
  <c r="Z69" i="32"/>
  <c r="Z68" i="32"/>
  <c r="G55" i="27" l="1"/>
  <c r="F55" i="27"/>
  <c r="I168" i="57"/>
  <c r="D22" i="38"/>
  <c r="D23" i="38" s="1"/>
  <c r="E22" i="38"/>
  <c r="E23" i="38" s="1"/>
  <c r="I17" i="27" s="1"/>
  <c r="E63" i="27" l="1"/>
  <c r="E25" i="38"/>
  <c r="D25" i="38"/>
  <c r="C25" i="38"/>
  <c r="D179" i="57" l="1"/>
  <c r="E179" i="57" s="1"/>
  <c r="G63" i="27" s="1"/>
  <c r="F8" i="19"/>
  <c r="G8" i="19" s="1"/>
  <c r="H8" i="19" s="1"/>
  <c r="I8" i="19" s="1"/>
  <c r="J8" i="19" s="1"/>
  <c r="K8" i="19" s="1"/>
  <c r="L8" i="19" s="1"/>
  <c r="E10" i="19"/>
  <c r="F10" i="19"/>
  <c r="G10" i="19"/>
  <c r="H10" i="19"/>
  <c r="I10" i="19"/>
  <c r="J10" i="19"/>
  <c r="K10" i="19"/>
  <c r="L10" i="19"/>
  <c r="D11" i="19"/>
  <c r="D12" i="19" s="1"/>
  <c r="E13" i="19"/>
  <c r="F13" i="19"/>
  <c r="G13" i="19"/>
  <c r="H13" i="19"/>
  <c r="I13" i="19"/>
  <c r="J13" i="19"/>
  <c r="K13" i="19"/>
  <c r="L13" i="19"/>
  <c r="E16" i="19"/>
  <c r="F16" i="19"/>
  <c r="G16" i="19"/>
  <c r="H16" i="19"/>
  <c r="I16" i="19"/>
  <c r="J16" i="19"/>
  <c r="K16" i="19"/>
  <c r="L16" i="19"/>
  <c r="D20" i="19"/>
  <c r="D22" i="19" s="1"/>
  <c r="E20" i="19"/>
  <c r="E22" i="19" s="1"/>
  <c r="F22" i="19"/>
  <c r="G20" i="19"/>
  <c r="G22" i="19" s="1"/>
  <c r="H20" i="19"/>
  <c r="H22" i="19" s="1"/>
  <c r="I22" i="19"/>
  <c r="J20" i="19"/>
  <c r="J22" i="19" s="1"/>
  <c r="K20" i="19"/>
  <c r="K22" i="19" s="1"/>
  <c r="L20" i="19"/>
  <c r="L22" i="19" s="1"/>
  <c r="F179" i="57" l="1"/>
  <c r="G179" i="57" s="1"/>
  <c r="F63" i="27"/>
  <c r="D14" i="19"/>
  <c r="D15" i="19" s="1"/>
  <c r="D17" i="19" s="1"/>
  <c r="E11" i="19"/>
  <c r="E12" i="19" s="1"/>
  <c r="F11" i="19"/>
  <c r="F12" i="19" s="1"/>
  <c r="H63" i="27" l="1"/>
  <c r="I63" i="27"/>
  <c r="E14" i="19"/>
  <c r="E15" i="19" s="1"/>
  <c r="E17" i="19" s="1"/>
  <c r="E24" i="19" s="1"/>
  <c r="G11" i="19"/>
  <c r="G12" i="19" s="1"/>
  <c r="F14" i="19"/>
  <c r="F15" i="19" s="1"/>
  <c r="F17" i="19" s="1"/>
  <c r="F24" i="19" s="1"/>
  <c r="E81" i="27" s="1"/>
  <c r="H11" i="19" l="1"/>
  <c r="H12" i="19" s="1"/>
  <c r="G14" i="19"/>
  <c r="G15" i="19" s="1"/>
  <c r="G17" i="19" s="1"/>
  <c r="G24" i="19" s="1"/>
  <c r="I11" i="19" l="1"/>
  <c r="I12" i="19" s="1"/>
  <c r="H14" i="19"/>
  <c r="H15" i="19" s="1"/>
  <c r="H17" i="19" s="1"/>
  <c r="H24" i="19" s="1"/>
  <c r="J11" i="19" l="1"/>
  <c r="J12" i="19" s="1"/>
  <c r="I14" i="19"/>
  <c r="I15" i="19" s="1"/>
  <c r="I17" i="19" s="1"/>
  <c r="I24" i="19" s="1"/>
  <c r="K11" i="19" l="1"/>
  <c r="K12" i="19" s="1"/>
  <c r="J14" i="19"/>
  <c r="J15" i="19" s="1"/>
  <c r="J17" i="19" s="1"/>
  <c r="J24" i="19" s="1"/>
  <c r="L11" i="19" l="1"/>
  <c r="L12" i="19" s="1"/>
  <c r="K14" i="19"/>
  <c r="K15" i="19" s="1"/>
  <c r="K17" i="19" s="1"/>
  <c r="K24" i="19" s="1"/>
  <c r="L14" i="19" l="1"/>
  <c r="L15" i="19" s="1"/>
  <c r="L17" i="19" s="1"/>
  <c r="L24" i="19" s="1"/>
  <c r="F68" i="27" l="1"/>
  <c r="F81" i="27"/>
  <c r="E248" i="13" l="1"/>
  <c r="D249" i="13"/>
  <c r="D250" i="13"/>
  <c r="F250" i="13" s="1"/>
  <c r="F251" i="13"/>
  <c r="D252" i="13"/>
  <c r="E252" i="13"/>
  <c r="F253" i="13"/>
  <c r="F254" i="13"/>
  <c r="F255" i="13"/>
  <c r="D256" i="13"/>
  <c r="E256" i="13"/>
  <c r="F257" i="13"/>
  <c r="F258" i="13"/>
  <c r="F259" i="13"/>
  <c r="F260" i="13"/>
  <c r="F261" i="13"/>
  <c r="F262" i="13"/>
  <c r="D264" i="13"/>
  <c r="E264" i="13"/>
  <c r="F265" i="13"/>
  <c r="F266" i="13"/>
  <c r="F267" i="13"/>
  <c r="F268" i="13"/>
  <c r="D248" i="13" l="1"/>
  <c r="F252" i="13"/>
  <c r="F264" i="13"/>
  <c r="F249" i="13"/>
  <c r="F248" i="13" s="1"/>
  <c r="F256" i="13"/>
  <c r="I223" i="32"/>
  <c r="I212" i="32"/>
  <c r="P103" i="32"/>
  <c r="AK77" i="32"/>
  <c r="AL77" i="32"/>
  <c r="AM77" i="32"/>
  <c r="P68" i="32"/>
  <c r="F191" i="32" l="1"/>
  <c r="N162" i="18" l="1"/>
  <c r="M162" i="18"/>
  <c r="L162" i="18"/>
  <c r="K162" i="18"/>
  <c r="J162" i="18"/>
  <c r="I162" i="18"/>
  <c r="H162" i="18"/>
  <c r="A26" i="18"/>
  <c r="A23" i="18"/>
  <c r="A20" i="18"/>
  <c r="A17" i="18"/>
  <c r="A14" i="18"/>
  <c r="F14" i="32" l="1"/>
  <c r="F12" i="32"/>
  <c r="F13" i="32"/>
  <c r="F11" i="32"/>
  <c r="F18" i="32"/>
  <c r="F17" i="32"/>
  <c r="F16" i="32"/>
  <c r="F15" i="32"/>
  <c r="T16" i="32"/>
  <c r="T15" i="32"/>
  <c r="T12" i="32"/>
  <c r="T11" i="32"/>
  <c r="T18" i="32"/>
  <c r="T17" i="32"/>
  <c r="Q18" i="32"/>
  <c r="Q11" i="32"/>
  <c r="Q12" i="32"/>
  <c r="Q15" i="32"/>
  <c r="Q16" i="32"/>
  <c r="Q17" i="32"/>
  <c r="N15" i="32"/>
  <c r="N16" i="32"/>
  <c r="N17" i="32"/>
  <c r="N18" i="32"/>
  <c r="N11" i="32"/>
  <c r="N12" i="32"/>
  <c r="K131" i="32"/>
  <c r="U109" i="32"/>
  <c r="N8" i="37" l="1"/>
  <c r="N89" i="37"/>
  <c r="O88" i="37"/>
  <c r="U56" i="32" s="1"/>
  <c r="AC125" i="37" l="1"/>
  <c r="AC124" i="37"/>
  <c r="AC123" i="37"/>
  <c r="AC122" i="37"/>
  <c r="AC121" i="37"/>
  <c r="AC120" i="37"/>
  <c r="AC119" i="37"/>
  <c r="AC118" i="37"/>
  <c r="AC117" i="37"/>
  <c r="AC116" i="37"/>
  <c r="AC115" i="37"/>
  <c r="AO57" i="32" s="1"/>
  <c r="AC112" i="37"/>
  <c r="AC111" i="37"/>
  <c r="AC110" i="37"/>
  <c r="AC109" i="37"/>
  <c r="AC108" i="37"/>
  <c r="AC107" i="37"/>
  <c r="AC105" i="37"/>
  <c r="AC104" i="37"/>
  <c r="AC103" i="37"/>
  <c r="AC102" i="37"/>
  <c r="AC101" i="37"/>
  <c r="AC100" i="37"/>
  <c r="AC99" i="37"/>
  <c r="AC98" i="37"/>
  <c r="AC97" i="37"/>
  <c r="AC96" i="37"/>
  <c r="AC95" i="37"/>
  <c r="AC94" i="37"/>
  <c r="AC92" i="37"/>
  <c r="AC91" i="37"/>
  <c r="AC90" i="37"/>
  <c r="AC89" i="37"/>
  <c r="AC88" i="37"/>
  <c r="AO56" i="32" s="1"/>
  <c r="AC85" i="37"/>
  <c r="AC84" i="37"/>
  <c r="AC83" i="37"/>
  <c r="AC82" i="37"/>
  <c r="AC81" i="37"/>
  <c r="AC80" i="37"/>
  <c r="AC79" i="37"/>
  <c r="AC76" i="37"/>
  <c r="AC75" i="37"/>
  <c r="AC74" i="37"/>
  <c r="AC73" i="37"/>
  <c r="AC72" i="37"/>
  <c r="AC70" i="37"/>
  <c r="AC68" i="37"/>
  <c r="AC67" i="37"/>
  <c r="AC66" i="37"/>
  <c r="AC65" i="37"/>
  <c r="AC64" i="37"/>
  <c r="AC62" i="37"/>
  <c r="AC61" i="37"/>
  <c r="AC60" i="37"/>
  <c r="AC59" i="37"/>
  <c r="AC58" i="37"/>
  <c r="AC57" i="37"/>
  <c r="AC56" i="37"/>
  <c r="AC55" i="37"/>
  <c r="AC54" i="37"/>
  <c r="AC53" i="37"/>
  <c r="AC51" i="37"/>
  <c r="AC49" i="37"/>
  <c r="AC48" i="37"/>
  <c r="AC47" i="37"/>
  <c r="AC46" i="37"/>
  <c r="AC45" i="37"/>
  <c r="AC44" i="37"/>
  <c r="AC43" i="37"/>
  <c r="AC42" i="37"/>
  <c r="AC40" i="37"/>
  <c r="AC39" i="37"/>
  <c r="AC38" i="37"/>
  <c r="AC37" i="37"/>
  <c r="AC36" i="37"/>
  <c r="AC35" i="37"/>
  <c r="AC34" i="37"/>
  <c r="AC33" i="37"/>
  <c r="AC32" i="37"/>
  <c r="AC31" i="37"/>
  <c r="AC30" i="37"/>
  <c r="AC29" i="37"/>
  <c r="AC28" i="37"/>
  <c r="AC27" i="37"/>
  <c r="AC26" i="37"/>
  <c r="AC25" i="37"/>
  <c r="AC24" i="37"/>
  <c r="AC23" i="37"/>
  <c r="AC22" i="37"/>
  <c r="AC21" i="37"/>
  <c r="AC20" i="37"/>
  <c r="AC19" i="37"/>
  <c r="AC18" i="37"/>
  <c r="AC17" i="37"/>
  <c r="AC16" i="37"/>
  <c r="AC15" i="37"/>
  <c r="AC14" i="37"/>
  <c r="AC13" i="37"/>
  <c r="AC11" i="37"/>
  <c r="AC10" i="37"/>
  <c r="AC8" i="37"/>
  <c r="V125" i="37"/>
  <c r="V124" i="37"/>
  <c r="V123" i="37"/>
  <c r="V122" i="37"/>
  <c r="V121" i="37"/>
  <c r="V120" i="37"/>
  <c r="V119" i="37"/>
  <c r="V118" i="37"/>
  <c r="V117" i="37"/>
  <c r="V116" i="37"/>
  <c r="V115" i="37"/>
  <c r="AE57" i="32" s="1"/>
  <c r="V112" i="37"/>
  <c r="V111" i="37"/>
  <c r="V110" i="37"/>
  <c r="V109" i="37"/>
  <c r="V108" i="37"/>
  <c r="V105" i="37"/>
  <c r="V104" i="37"/>
  <c r="V103" i="37"/>
  <c r="V102" i="37"/>
  <c r="V101" i="37"/>
  <c r="V100" i="37"/>
  <c r="V99" i="37"/>
  <c r="V98" i="37"/>
  <c r="V97" i="37"/>
  <c r="V96" i="37"/>
  <c r="V95" i="37"/>
  <c r="V94" i="37"/>
  <c r="V92" i="37"/>
  <c r="V91" i="37"/>
  <c r="V90" i="37"/>
  <c r="V89" i="37"/>
  <c r="V88" i="37"/>
  <c r="AE56" i="32" s="1"/>
  <c r="V85" i="37"/>
  <c r="V84" i="37"/>
  <c r="V83" i="37"/>
  <c r="V82" i="37"/>
  <c r="V81" i="37"/>
  <c r="V80" i="37"/>
  <c r="V79" i="37"/>
  <c r="V75" i="37"/>
  <c r="V74" i="37"/>
  <c r="V73" i="37"/>
  <c r="V72" i="37"/>
  <c r="V70" i="37"/>
  <c r="V67" i="37"/>
  <c r="V66" i="37"/>
  <c r="V65" i="37"/>
  <c r="V64" i="37"/>
  <c r="V62" i="37"/>
  <c r="V61" i="37"/>
  <c r="V60" i="37"/>
  <c r="V59" i="37"/>
  <c r="V58" i="37"/>
  <c r="V56" i="37"/>
  <c r="V55" i="37"/>
  <c r="V54" i="37"/>
  <c r="V53" i="37"/>
  <c r="V51" i="37"/>
  <c r="V49" i="37"/>
  <c r="V48" i="37"/>
  <c r="V47" i="37"/>
  <c r="V46" i="37"/>
  <c r="V45" i="37"/>
  <c r="V44" i="37"/>
  <c r="V43" i="37"/>
  <c r="V42" i="37"/>
  <c r="V40" i="37"/>
  <c r="V39" i="37"/>
  <c r="V38" i="37"/>
  <c r="V37" i="37"/>
  <c r="V36" i="37"/>
  <c r="V35" i="37"/>
  <c r="V34" i="37"/>
  <c r="V33" i="37"/>
  <c r="V32" i="37"/>
  <c r="V31" i="37"/>
  <c r="V30" i="37"/>
  <c r="V29" i="37"/>
  <c r="V28" i="37"/>
  <c r="V27" i="37"/>
  <c r="V23" i="37"/>
  <c r="V22" i="37"/>
  <c r="V21" i="37"/>
  <c r="V20" i="37"/>
  <c r="V19" i="37"/>
  <c r="V18" i="37"/>
  <c r="V17" i="37"/>
  <c r="V16" i="37"/>
  <c r="V15" i="37"/>
  <c r="V14" i="37"/>
  <c r="V11" i="37"/>
  <c r="V10" i="37"/>
  <c r="V8" i="37"/>
  <c r="O125" i="37"/>
  <c r="O124" i="37"/>
  <c r="O123" i="37"/>
  <c r="O122" i="37"/>
  <c r="O121" i="37"/>
  <c r="O120" i="37"/>
  <c r="O119" i="37"/>
  <c r="O118" i="37"/>
  <c r="O117" i="37"/>
  <c r="O116" i="37"/>
  <c r="O115" i="37"/>
  <c r="U57" i="32" s="1"/>
  <c r="O112" i="37"/>
  <c r="O111" i="37"/>
  <c r="O110" i="37"/>
  <c r="O109" i="37"/>
  <c r="O108" i="37"/>
  <c r="O105" i="37"/>
  <c r="O104" i="37"/>
  <c r="O103" i="37"/>
  <c r="O102" i="37"/>
  <c r="O101" i="37"/>
  <c r="O100" i="37"/>
  <c r="O99" i="37"/>
  <c r="O98" i="37"/>
  <c r="O97" i="37"/>
  <c r="O96" i="37"/>
  <c r="O95" i="37"/>
  <c r="O94" i="37"/>
  <c r="O92" i="37"/>
  <c r="O91" i="37"/>
  <c r="O90" i="37"/>
  <c r="O89" i="37"/>
  <c r="O85" i="37"/>
  <c r="O84" i="37"/>
  <c r="O83" i="37"/>
  <c r="O82" i="37"/>
  <c r="O81" i="37"/>
  <c r="O80" i="37"/>
  <c r="O79" i="37"/>
  <c r="O75" i="37"/>
  <c r="O74" i="37"/>
  <c r="O73" i="37"/>
  <c r="O72" i="37"/>
  <c r="O70" i="37"/>
  <c r="O67" i="37"/>
  <c r="O66" i="37"/>
  <c r="O65" i="37"/>
  <c r="O64" i="37"/>
  <c r="O62" i="37"/>
  <c r="O61" i="37"/>
  <c r="O60" i="37"/>
  <c r="O59" i="37"/>
  <c r="O58" i="37"/>
  <c r="O56" i="37"/>
  <c r="O55" i="37"/>
  <c r="O54" i="37"/>
  <c r="O53" i="37"/>
  <c r="O51" i="37"/>
  <c r="O49" i="37"/>
  <c r="O48" i="37"/>
  <c r="O47" i="37"/>
  <c r="O46" i="37"/>
  <c r="O45" i="37"/>
  <c r="O44" i="37"/>
  <c r="O43" i="37"/>
  <c r="O42" i="37"/>
  <c r="O40" i="37"/>
  <c r="O39" i="37"/>
  <c r="O38" i="37"/>
  <c r="O37" i="37"/>
  <c r="O36" i="37"/>
  <c r="O35" i="37"/>
  <c r="O34" i="37"/>
  <c r="O33" i="37"/>
  <c r="O32" i="37"/>
  <c r="O31" i="37"/>
  <c r="O30" i="37"/>
  <c r="O29" i="37"/>
  <c r="O28" i="37"/>
  <c r="O27" i="37"/>
  <c r="O23" i="37"/>
  <c r="O22" i="37"/>
  <c r="O21" i="37"/>
  <c r="O20" i="37"/>
  <c r="O19" i="37"/>
  <c r="O18" i="37"/>
  <c r="O17" i="37"/>
  <c r="O16" i="37"/>
  <c r="O15" i="37"/>
  <c r="O14" i="37"/>
  <c r="O11" i="37"/>
  <c r="O10" i="37"/>
  <c r="H125" i="37"/>
  <c r="H124" i="37"/>
  <c r="H123" i="37"/>
  <c r="H122" i="37"/>
  <c r="H121" i="37"/>
  <c r="H120" i="37"/>
  <c r="H119" i="37"/>
  <c r="H118" i="37"/>
  <c r="H117" i="37"/>
  <c r="H116" i="37"/>
  <c r="H115" i="37"/>
  <c r="K57" i="32" s="1"/>
  <c r="H112" i="37"/>
  <c r="H111" i="37"/>
  <c r="H110" i="37"/>
  <c r="H109" i="37"/>
  <c r="H108" i="37"/>
  <c r="H105" i="37"/>
  <c r="H104" i="37"/>
  <c r="H103" i="37"/>
  <c r="H102" i="37"/>
  <c r="H101" i="37"/>
  <c r="H99" i="37"/>
  <c r="H98" i="37"/>
  <c r="H97" i="37"/>
  <c r="H96" i="37"/>
  <c r="H95" i="37"/>
  <c r="H94" i="37"/>
  <c r="H92" i="37"/>
  <c r="H91" i="37"/>
  <c r="H90" i="37"/>
  <c r="H89" i="37"/>
  <c r="H88" i="37"/>
  <c r="K56" i="32" s="1"/>
  <c r="H85" i="37"/>
  <c r="H84" i="37"/>
  <c r="H83" i="37"/>
  <c r="H82" i="37"/>
  <c r="H81" i="37"/>
  <c r="H80" i="37"/>
  <c r="H79" i="37"/>
  <c r="H75" i="37"/>
  <c r="H74" i="37"/>
  <c r="H73" i="37"/>
  <c r="H72" i="37"/>
  <c r="H70" i="37"/>
  <c r="H67" i="37"/>
  <c r="H66" i="37"/>
  <c r="H65" i="37"/>
  <c r="H64" i="37"/>
  <c r="H62" i="37"/>
  <c r="H61" i="37"/>
  <c r="H60" i="37"/>
  <c r="H59" i="37"/>
  <c r="H58" i="37"/>
  <c r="H56" i="37"/>
  <c r="H55" i="37"/>
  <c r="H54" i="37"/>
  <c r="H53" i="37"/>
  <c r="H51" i="37"/>
  <c r="H49" i="37"/>
  <c r="H48" i="37"/>
  <c r="H47" i="37"/>
  <c r="H46" i="37"/>
  <c r="H45" i="37"/>
  <c r="H44" i="37"/>
  <c r="H42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2" i="37"/>
  <c r="H21" i="37"/>
  <c r="H20" i="37"/>
  <c r="H19" i="37"/>
  <c r="H18" i="37"/>
  <c r="H17" i="37"/>
  <c r="H16" i="37"/>
  <c r="H15" i="37"/>
  <c r="H14" i="37"/>
  <c r="H11" i="37"/>
  <c r="H10" i="37"/>
  <c r="O8" i="37"/>
  <c r="G10" i="37"/>
  <c r="H8" i="37"/>
  <c r="G8" i="37"/>
  <c r="G88" i="37"/>
  <c r="N115" i="37"/>
  <c r="U8" i="37"/>
  <c r="L102" i="32"/>
  <c r="K109" i="32"/>
  <c r="J108" i="32"/>
  <c r="H9" i="37" l="1"/>
  <c r="K55" i="32" s="1"/>
  <c r="K63" i="32" s="1"/>
  <c r="K77" i="32" s="1"/>
  <c r="O9" i="37"/>
  <c r="U55" i="32" s="1"/>
  <c r="U63" i="32" s="1"/>
  <c r="U77" i="32" s="1"/>
  <c r="AC9" i="37"/>
  <c r="AO55" i="32" s="1"/>
  <c r="AO63" i="32" s="1"/>
  <c r="AO77" i="32" s="1"/>
  <c r="V9" i="37"/>
  <c r="AE55" i="32" s="1"/>
  <c r="AE63" i="32" s="1"/>
  <c r="AE77" i="32" s="1"/>
  <c r="AO109" i="32"/>
  <c r="AO131" i="32"/>
  <c r="AE131" i="32"/>
  <c r="AE109" i="32"/>
  <c r="U131" i="32"/>
  <c r="V111" i="32"/>
  <c r="V113" i="32"/>
  <c r="V114" i="32"/>
  <c r="V115" i="32"/>
  <c r="V116" i="32"/>
  <c r="V135" i="32"/>
  <c r="V142" i="32"/>
  <c r="L108" i="32"/>
  <c r="V108" i="32" s="1"/>
  <c r="AF108" i="32" s="1"/>
  <c r="AP108" i="32" s="1"/>
  <c r="L107" i="32"/>
  <c r="V107" i="32" s="1"/>
  <c r="AF107" i="32" s="1"/>
  <c r="AP107" i="32" s="1"/>
  <c r="L106" i="32"/>
  <c r="V106" i="32" s="1"/>
  <c r="AF106" i="32" s="1"/>
  <c r="AP106" i="32" s="1"/>
  <c r="L105" i="32"/>
  <c r="V105" i="32" s="1"/>
  <c r="AF105" i="32" s="1"/>
  <c r="AP105" i="32" s="1"/>
  <c r="L104" i="32"/>
  <c r="V104" i="32" s="1"/>
  <c r="AF104" i="32" s="1"/>
  <c r="AP104" i="32" s="1"/>
  <c r="L103" i="32"/>
  <c r="V103" i="32" s="1"/>
  <c r="AF103" i="32" s="1"/>
  <c r="AP103" i="32" s="1"/>
  <c r="V102" i="32"/>
  <c r="AF102" i="32" s="1"/>
  <c r="AP102" i="32" s="1"/>
  <c r="L101" i="32"/>
  <c r="V101" i="32" s="1"/>
  <c r="AF101" i="32" s="1"/>
  <c r="AP101" i="32" s="1"/>
  <c r="L100" i="32"/>
  <c r="V100" i="32" s="1"/>
  <c r="AF100" i="32" s="1"/>
  <c r="AP100" i="32" s="1"/>
  <c r="L99" i="32"/>
  <c r="V99" i="32" s="1"/>
  <c r="AF99" i="32" s="1"/>
  <c r="AP99" i="32" s="1"/>
  <c r="L81" i="32"/>
  <c r="L82" i="32"/>
  <c r="L83" i="32"/>
  <c r="L84" i="32"/>
  <c r="L85" i="32"/>
  <c r="L86" i="32"/>
  <c r="L87" i="32"/>
  <c r="L88" i="32"/>
  <c r="L89" i="32"/>
  <c r="L90" i="32"/>
  <c r="L91" i="32"/>
  <c r="L92" i="32"/>
  <c r="L93" i="32"/>
  <c r="L94" i="32"/>
  <c r="L80" i="32"/>
  <c r="L64" i="32"/>
  <c r="V64" i="32" s="1"/>
  <c r="AF64" i="32" s="1"/>
  <c r="L65" i="32"/>
  <c r="L66" i="32"/>
  <c r="V66" i="32" s="1"/>
  <c r="AF66" i="32" s="1"/>
  <c r="L67" i="32"/>
  <c r="V67" i="32" s="1"/>
  <c r="AF67" i="32" s="1"/>
  <c r="L68" i="32"/>
  <c r="V68" i="32" s="1"/>
  <c r="AF68" i="32" s="1"/>
  <c r="L69" i="32"/>
  <c r="V69" i="32" s="1"/>
  <c r="AF69" i="32" s="1"/>
  <c r="L70" i="32"/>
  <c r="V70" i="32" s="1"/>
  <c r="AF70" i="32" s="1"/>
  <c r="L71" i="32"/>
  <c r="V71" i="32" s="1"/>
  <c r="AF71" i="32" s="1"/>
  <c r="L72" i="32"/>
  <c r="V72" i="32" s="1"/>
  <c r="AF72" i="32" s="1"/>
  <c r="L73" i="32"/>
  <c r="V73" i="32" s="1"/>
  <c r="AF73" i="32" s="1"/>
  <c r="L74" i="32"/>
  <c r="V74" i="32" s="1"/>
  <c r="AF74" i="32" s="1"/>
  <c r="L75" i="32"/>
  <c r="V75" i="32" s="1"/>
  <c r="AF75" i="32" s="1"/>
  <c r="L76" i="32"/>
  <c r="V76" i="32" s="1"/>
  <c r="AF76" i="32" s="1"/>
  <c r="L62" i="32"/>
  <c r="V62" i="32" s="1"/>
  <c r="AF62" i="32" s="1"/>
  <c r="L122" i="32"/>
  <c r="V122" i="32" s="1"/>
  <c r="AF122" i="32" s="1"/>
  <c r="AP122" i="32" s="1"/>
  <c r="L123" i="32"/>
  <c r="V123" i="32" s="1"/>
  <c r="AF123" i="32" s="1"/>
  <c r="AP123" i="32" s="1"/>
  <c r="L124" i="32"/>
  <c r="V124" i="32" s="1"/>
  <c r="AF124" i="32" s="1"/>
  <c r="AP124" i="32" s="1"/>
  <c r="L125" i="32"/>
  <c r="V125" i="32" s="1"/>
  <c r="AF125" i="32" s="1"/>
  <c r="AP125" i="32" s="1"/>
  <c r="L126" i="32"/>
  <c r="V126" i="32" s="1"/>
  <c r="AF126" i="32" s="1"/>
  <c r="AP126" i="32" s="1"/>
  <c r="L127" i="32"/>
  <c r="V127" i="32" s="1"/>
  <c r="AF127" i="32" s="1"/>
  <c r="AP127" i="32" s="1"/>
  <c r="AZ127" i="32" s="1"/>
  <c r="L128" i="32"/>
  <c r="V128" i="32" s="1"/>
  <c r="AF128" i="32" s="1"/>
  <c r="AP128" i="32" s="1"/>
  <c r="L129" i="32"/>
  <c r="V129" i="32" s="1"/>
  <c r="AF129" i="32" s="1"/>
  <c r="AP129" i="32" s="1"/>
  <c r="AZ129" i="32" s="1"/>
  <c r="L130" i="32"/>
  <c r="V130" i="32" s="1"/>
  <c r="AF130" i="32" s="1"/>
  <c r="AP130" i="32" s="1"/>
  <c r="L121" i="32"/>
  <c r="V121" i="32" s="1"/>
  <c r="J81" i="32"/>
  <c r="O81" i="32" s="1"/>
  <c r="T81" i="32" s="1"/>
  <c r="J82" i="32"/>
  <c r="O82" i="32" s="1"/>
  <c r="T82" i="32" s="1"/>
  <c r="J83" i="32"/>
  <c r="J84" i="32"/>
  <c r="J85" i="32"/>
  <c r="O85" i="32" s="1"/>
  <c r="T85" i="32" s="1"/>
  <c r="J86" i="32"/>
  <c r="O86" i="32" s="1"/>
  <c r="T86" i="32" s="1"/>
  <c r="J87" i="32"/>
  <c r="J88" i="32"/>
  <c r="O88" i="32" s="1"/>
  <c r="J89" i="32"/>
  <c r="O89" i="32" s="1"/>
  <c r="T89" i="32" s="1"/>
  <c r="J90" i="32"/>
  <c r="O90" i="32" s="1"/>
  <c r="T90" i="32" s="1"/>
  <c r="J91" i="32"/>
  <c r="J93" i="32"/>
  <c r="O93" i="32" s="1"/>
  <c r="T93" i="32" s="1"/>
  <c r="J94" i="32"/>
  <c r="O94" i="32" s="1"/>
  <c r="T94" i="32" s="1"/>
  <c r="J80" i="32"/>
  <c r="O80" i="32" s="1"/>
  <c r="T80" i="32" s="1"/>
  <c r="AJ88" i="32"/>
  <c r="AJ70" i="32"/>
  <c r="AJ109" i="32"/>
  <c r="Z129" i="32"/>
  <c r="Z127" i="32"/>
  <c r="Z66" i="32"/>
  <c r="Z70" i="32"/>
  <c r="P88" i="32"/>
  <c r="P87" i="32"/>
  <c r="P74" i="32"/>
  <c r="AZ128" i="32" l="1"/>
  <c r="BJ128" i="32" s="1"/>
  <c r="BT128" i="32" s="1"/>
  <c r="CD128" i="32" s="1"/>
  <c r="AZ123" i="32"/>
  <c r="BJ123" i="32" s="1"/>
  <c r="BT123" i="32" s="1"/>
  <c r="CD123" i="32" s="1"/>
  <c r="AZ130" i="32"/>
  <c r="BJ130" i="32" s="1"/>
  <c r="BT130" i="32" s="1"/>
  <c r="CD130" i="32" s="1"/>
  <c r="AZ126" i="32"/>
  <c r="BJ126" i="32" s="1"/>
  <c r="BT126" i="32" s="1"/>
  <c r="CD126" i="32" s="1"/>
  <c r="AZ122" i="32"/>
  <c r="BJ122" i="32" s="1"/>
  <c r="BT122" i="32" s="1"/>
  <c r="CD122" i="32" s="1"/>
  <c r="AZ125" i="32"/>
  <c r="BJ125" i="32" s="1"/>
  <c r="BT125" i="32" s="1"/>
  <c r="CD125" i="32" s="1"/>
  <c r="AZ124" i="32"/>
  <c r="BJ124" i="32" s="1"/>
  <c r="BT124" i="32" s="1"/>
  <c r="CD124" i="32" s="1"/>
  <c r="BJ129" i="32"/>
  <c r="BT129" i="32" s="1"/>
  <c r="CD129" i="32" s="1"/>
  <c r="BJ127" i="32"/>
  <c r="BT127" i="32" s="1"/>
  <c r="CD127" i="32" s="1"/>
  <c r="L63" i="32"/>
  <c r="V63" i="32" s="1"/>
  <c r="AF63" i="32" s="1"/>
  <c r="Y93" i="32"/>
  <c r="AD93" i="32" s="1"/>
  <c r="AE93" i="32"/>
  <c r="M84" i="32"/>
  <c r="O84" i="32"/>
  <c r="T84" i="32" s="1"/>
  <c r="AE94" i="32"/>
  <c r="Y94" i="32"/>
  <c r="AD94" i="32" s="1"/>
  <c r="M91" i="32"/>
  <c r="O91" i="32"/>
  <c r="T91" i="32" s="1"/>
  <c r="M83" i="32"/>
  <c r="O83" i="32"/>
  <c r="T83" i="32" s="1"/>
  <c r="AE82" i="32"/>
  <c r="Y82" i="32"/>
  <c r="AD82" i="32" s="1"/>
  <c r="AE80" i="32"/>
  <c r="Y80" i="32"/>
  <c r="AD80" i="32" s="1"/>
  <c r="Y89" i="32"/>
  <c r="AD89" i="32" s="1"/>
  <c r="AE89" i="32"/>
  <c r="AE81" i="32"/>
  <c r="Y81" i="32"/>
  <c r="AD81" i="32" s="1"/>
  <c r="T88" i="32"/>
  <c r="AF121" i="32"/>
  <c r="AP121" i="32" s="1"/>
  <c r="AZ121" i="32" s="1"/>
  <c r="V131" i="32"/>
  <c r="AE90" i="32"/>
  <c r="Y90" i="32"/>
  <c r="AD90" i="32" s="1"/>
  <c r="M87" i="32"/>
  <c r="O87" i="32"/>
  <c r="T87" i="32" s="1"/>
  <c r="Y86" i="32"/>
  <c r="AD86" i="32" s="1"/>
  <c r="AE86" i="32"/>
  <c r="Y85" i="32"/>
  <c r="AD85" i="32" s="1"/>
  <c r="AE85" i="32"/>
  <c r="V109" i="32"/>
  <c r="M93" i="32"/>
  <c r="M81" i="32"/>
  <c r="Z131" i="32"/>
  <c r="F187" i="32" s="1"/>
  <c r="V65" i="32"/>
  <c r="V118" i="32"/>
  <c r="M82" i="32"/>
  <c r="M80" i="32"/>
  <c r="M88" i="32"/>
  <c r="M90" i="32"/>
  <c r="M94" i="32"/>
  <c r="M85" i="32"/>
  <c r="M86" i="32"/>
  <c r="M89" i="32"/>
  <c r="F92" i="32"/>
  <c r="J92" i="32" s="1"/>
  <c r="O92" i="32" s="1"/>
  <c r="T92" i="32" s="1"/>
  <c r="BJ121" i="32" l="1"/>
  <c r="AZ131" i="32"/>
  <c r="L77" i="32"/>
  <c r="AI81" i="32"/>
  <c r="AO81" i="32"/>
  <c r="AI90" i="32"/>
  <c r="AO90" i="32"/>
  <c r="Y91" i="32"/>
  <c r="AD91" i="32" s="1"/>
  <c r="AE91" i="32"/>
  <c r="AE83" i="32"/>
  <c r="Y83" i="32"/>
  <c r="AD83" i="32" s="1"/>
  <c r="AE92" i="32"/>
  <c r="Y92" i="32"/>
  <c r="AD92" i="32" s="1"/>
  <c r="AI89" i="32"/>
  <c r="AO89" i="32"/>
  <c r="AO80" i="32"/>
  <c r="AI80" i="32"/>
  <c r="AO94" i="32"/>
  <c r="AI94" i="32"/>
  <c r="AI82" i="32"/>
  <c r="AO82" i="32"/>
  <c r="Y84" i="32"/>
  <c r="AD84" i="32" s="1"/>
  <c r="AE84" i="32"/>
  <c r="AI85" i="32"/>
  <c r="AO85" i="32"/>
  <c r="AO86" i="32"/>
  <c r="AI86" i="32"/>
  <c r="AE88" i="32"/>
  <c r="Y88" i="32"/>
  <c r="AD88" i="32" s="1"/>
  <c r="Y87" i="32"/>
  <c r="AD87" i="32" s="1"/>
  <c r="AE87" i="32"/>
  <c r="AO93" i="32"/>
  <c r="AI93" i="32"/>
  <c r="V77" i="32"/>
  <c r="AF65" i="32"/>
  <c r="M92" i="32"/>
  <c r="M95" i="32" s="1"/>
  <c r="A95" i="32"/>
  <c r="AM95" i="32"/>
  <c r="AL95" i="32"/>
  <c r="AK95" i="32"/>
  <c r="G191" i="32" s="1"/>
  <c r="AJ95" i="32"/>
  <c r="G186" i="32" s="1"/>
  <c r="AC95" i="32"/>
  <c r="AB95" i="32"/>
  <c r="AA95" i="32"/>
  <c r="Z95" i="32"/>
  <c r="F186" i="32" s="1"/>
  <c r="T95" i="32"/>
  <c r="S95" i="32"/>
  <c r="R95" i="32"/>
  <c r="Q95" i="32"/>
  <c r="E191" i="32" s="1"/>
  <c r="P95" i="32"/>
  <c r="E186" i="32" s="1"/>
  <c r="O95" i="32"/>
  <c r="L95" i="32"/>
  <c r="J95" i="32"/>
  <c r="I95" i="32"/>
  <c r="H95" i="32"/>
  <c r="G95" i="32"/>
  <c r="D191" i="32" s="1"/>
  <c r="F95" i="32"/>
  <c r="D186" i="32" s="1"/>
  <c r="E95" i="32"/>
  <c r="D95" i="32"/>
  <c r="C95" i="32"/>
  <c r="A81" i="32"/>
  <c r="A82" i="32"/>
  <c r="A83" i="32"/>
  <c r="A84" i="32"/>
  <c r="A85" i="32"/>
  <c r="A86" i="32"/>
  <c r="A87" i="32"/>
  <c r="A88" i="32"/>
  <c r="A89" i="32"/>
  <c r="A90" i="32"/>
  <c r="A91" i="32"/>
  <c r="A92" i="32"/>
  <c r="A93" i="32"/>
  <c r="A94" i="32"/>
  <c r="A80" i="32"/>
  <c r="BX88" i="32" l="1"/>
  <c r="AT88" i="32"/>
  <c r="BN88" i="32"/>
  <c r="BD88" i="32"/>
  <c r="AY89" i="32"/>
  <c r="BI89" i="32"/>
  <c r="BS89" i="32"/>
  <c r="CC89" i="32"/>
  <c r="BX89" i="32"/>
  <c r="AT89" i="32"/>
  <c r="AX89" i="32" s="1"/>
  <c r="BC89" i="32" s="1"/>
  <c r="BN89" i="32"/>
  <c r="BD89" i="32"/>
  <c r="BD84" i="32"/>
  <c r="BX84" i="32"/>
  <c r="AT84" i="32"/>
  <c r="BN84" i="32"/>
  <c r="BX86" i="32"/>
  <c r="AT86" i="32"/>
  <c r="AX86" i="32" s="1"/>
  <c r="BC86" i="32" s="1"/>
  <c r="BN86" i="32"/>
  <c r="BD86" i="32"/>
  <c r="BD83" i="32"/>
  <c r="BX83" i="32"/>
  <c r="AT83" i="32"/>
  <c r="BN83" i="32"/>
  <c r="AY90" i="32"/>
  <c r="BI90" i="32"/>
  <c r="BS90" i="32"/>
  <c r="CC90" i="32"/>
  <c r="AT90" i="32"/>
  <c r="AX90" i="32" s="1"/>
  <c r="BC90" i="32" s="1"/>
  <c r="BN90" i="32"/>
  <c r="BD90" i="32"/>
  <c r="BX90" i="32"/>
  <c r="AY85" i="32"/>
  <c r="BI85" i="32"/>
  <c r="BS85" i="32"/>
  <c r="CC85" i="32"/>
  <c r="BD85" i="32"/>
  <c r="BX85" i="32"/>
  <c r="AT85" i="32"/>
  <c r="AX85" i="32" s="1"/>
  <c r="BC85" i="32" s="1"/>
  <c r="BN85" i="32"/>
  <c r="AY82" i="32"/>
  <c r="BI82" i="32"/>
  <c r="CC82" i="32"/>
  <c r="BS82" i="32"/>
  <c r="BD82" i="32"/>
  <c r="BN82" i="32"/>
  <c r="BX82" i="32"/>
  <c r="AT82" i="32"/>
  <c r="AX82" i="32" s="1"/>
  <c r="BS93" i="32"/>
  <c r="CC93" i="32"/>
  <c r="AY93" i="32"/>
  <c r="BI93" i="32"/>
  <c r="BN93" i="32"/>
  <c r="BD93" i="32"/>
  <c r="BX93" i="32"/>
  <c r="AT93" i="32"/>
  <c r="AX93" i="32" s="1"/>
  <c r="BS94" i="32"/>
  <c r="CC94" i="32"/>
  <c r="AY94" i="32"/>
  <c r="BI94" i="32"/>
  <c r="BN94" i="32"/>
  <c r="BD94" i="32"/>
  <c r="BX94" i="32"/>
  <c r="AT94" i="32"/>
  <c r="AX94" i="32" s="1"/>
  <c r="BI92" i="32"/>
  <c r="BS92" i="32"/>
  <c r="CC92" i="32"/>
  <c r="AY92" i="32"/>
  <c r="BN92" i="32"/>
  <c r="BD92" i="32"/>
  <c r="BX92" i="32"/>
  <c r="AT92" i="32"/>
  <c r="BX87" i="32"/>
  <c r="AT87" i="32"/>
  <c r="BN87" i="32"/>
  <c r="BD87" i="32"/>
  <c r="BS80" i="32"/>
  <c r="AY80" i="32"/>
  <c r="BI80" i="32"/>
  <c r="CC80" i="32"/>
  <c r="BN80" i="32"/>
  <c r="BD80" i="32"/>
  <c r="BX80" i="32"/>
  <c r="AT80" i="32"/>
  <c r="AX80" i="32" s="1"/>
  <c r="AY81" i="32"/>
  <c r="BI81" i="32"/>
  <c r="BS81" i="32"/>
  <c r="CC81" i="32"/>
  <c r="BN81" i="32"/>
  <c r="BD81" i="32"/>
  <c r="BX81" i="32"/>
  <c r="AT81" i="32"/>
  <c r="AX81" i="32" s="1"/>
  <c r="BC81" i="32" s="1"/>
  <c r="BI91" i="32"/>
  <c r="BS91" i="32"/>
  <c r="CC91" i="32"/>
  <c r="AY91" i="32"/>
  <c r="BN91" i="32"/>
  <c r="BD91" i="32"/>
  <c r="BX91" i="32"/>
  <c r="AT91" i="32"/>
  <c r="BT121" i="32"/>
  <c r="BJ131" i="32"/>
  <c r="Y95" i="32"/>
  <c r="AE95" i="32"/>
  <c r="AO83" i="32"/>
  <c r="AI83" i="32"/>
  <c r="AI91" i="32"/>
  <c r="AO91" i="32"/>
  <c r="AO87" i="32"/>
  <c r="AI87" i="32"/>
  <c r="AO84" i="32"/>
  <c r="AI84" i="32"/>
  <c r="AI88" i="32"/>
  <c r="AO88" i="32"/>
  <c r="AD95" i="32"/>
  <c r="AI92" i="32"/>
  <c r="AO92" i="32"/>
  <c r="AF77" i="32"/>
  <c r="AB88" i="37"/>
  <c r="B66" i="33" s="1"/>
  <c r="U88" i="37"/>
  <c r="U112" i="37"/>
  <c r="U111" i="37"/>
  <c r="U110" i="37"/>
  <c r="U109" i="37"/>
  <c r="U108" i="37"/>
  <c r="U105" i="37"/>
  <c r="U104" i="37"/>
  <c r="U103" i="37"/>
  <c r="U102" i="37"/>
  <c r="U101" i="37"/>
  <c r="U100" i="37"/>
  <c r="U99" i="37"/>
  <c r="U98" i="37"/>
  <c r="U97" i="37"/>
  <c r="U96" i="37"/>
  <c r="U95" i="37"/>
  <c r="U94" i="37"/>
  <c r="U92" i="37"/>
  <c r="U91" i="37"/>
  <c r="U90" i="37"/>
  <c r="U89" i="37"/>
  <c r="AB112" i="37"/>
  <c r="AB111" i="37"/>
  <c r="AB110" i="37"/>
  <c r="AB109" i="37"/>
  <c r="AB108" i="37"/>
  <c r="B67" i="33" s="1"/>
  <c r="AB107" i="37"/>
  <c r="AB105" i="37"/>
  <c r="AB104" i="37"/>
  <c r="AB103" i="37"/>
  <c r="AB102" i="37"/>
  <c r="AB101" i="37"/>
  <c r="AB100" i="37"/>
  <c r="AB99" i="37"/>
  <c r="AB98" i="37"/>
  <c r="AB97" i="37"/>
  <c r="AB96" i="37"/>
  <c r="AB95" i="37"/>
  <c r="AB94" i="37"/>
  <c r="AB92" i="37"/>
  <c r="AB91" i="37"/>
  <c r="AB90" i="37"/>
  <c r="AB89" i="37"/>
  <c r="B68" i="33" s="1"/>
  <c r="AB125" i="37"/>
  <c r="AB124" i="37"/>
  <c r="AB123" i="37"/>
  <c r="AB122" i="37"/>
  <c r="AB121" i="37"/>
  <c r="AB120" i="37"/>
  <c r="AB119" i="37"/>
  <c r="AB118" i="37"/>
  <c r="AB117" i="37"/>
  <c r="AB116" i="37"/>
  <c r="AB115" i="37"/>
  <c r="B62" i="33" s="1"/>
  <c r="U125" i="37"/>
  <c r="U124" i="37"/>
  <c r="U123" i="37"/>
  <c r="U122" i="37"/>
  <c r="U121" i="37"/>
  <c r="U120" i="37"/>
  <c r="U119" i="37"/>
  <c r="U118" i="37"/>
  <c r="U117" i="37"/>
  <c r="U116" i="37"/>
  <c r="U115" i="37"/>
  <c r="N112" i="37"/>
  <c r="N111" i="37"/>
  <c r="N110" i="37"/>
  <c r="N109" i="37"/>
  <c r="N108" i="37"/>
  <c r="N88" i="37"/>
  <c r="N125" i="37"/>
  <c r="N124" i="37"/>
  <c r="N123" i="37"/>
  <c r="N122" i="37"/>
  <c r="N121" i="37"/>
  <c r="N120" i="37"/>
  <c r="N119" i="37"/>
  <c r="N118" i="37"/>
  <c r="N117" i="37"/>
  <c r="N116" i="37"/>
  <c r="N105" i="37"/>
  <c r="N104" i="37"/>
  <c r="N103" i="37"/>
  <c r="N102" i="37"/>
  <c r="N101" i="37"/>
  <c r="N100" i="37"/>
  <c r="N99" i="37"/>
  <c r="N98" i="37"/>
  <c r="N97" i="37"/>
  <c r="N96" i="37"/>
  <c r="N95" i="37"/>
  <c r="N94" i="37"/>
  <c r="N92" i="37"/>
  <c r="N91" i="37"/>
  <c r="N90" i="37"/>
  <c r="AB85" i="37"/>
  <c r="AB84" i="37"/>
  <c r="AB83" i="37"/>
  <c r="AB82" i="37"/>
  <c r="AB81" i="37"/>
  <c r="AB80" i="37"/>
  <c r="AB79" i="37"/>
  <c r="AB76" i="37"/>
  <c r="AB75" i="37"/>
  <c r="AB74" i="37"/>
  <c r="AB73" i="37"/>
  <c r="AB72" i="37"/>
  <c r="AB70" i="37"/>
  <c r="AB68" i="37"/>
  <c r="AB67" i="37"/>
  <c r="AB66" i="37"/>
  <c r="AB65" i="37"/>
  <c r="AB64" i="37"/>
  <c r="AB62" i="37"/>
  <c r="AB61" i="37"/>
  <c r="AB60" i="37"/>
  <c r="AB59" i="37"/>
  <c r="AB58" i="37"/>
  <c r="AB57" i="37"/>
  <c r="AB56" i="37"/>
  <c r="AB55" i="37"/>
  <c r="AB54" i="37"/>
  <c r="AB53" i="37"/>
  <c r="B65" i="33" s="1"/>
  <c r="AB51" i="37"/>
  <c r="AB49" i="37"/>
  <c r="AB48" i="37"/>
  <c r="AB47" i="37"/>
  <c r="AB46" i="37"/>
  <c r="AB45" i="37"/>
  <c r="AB44" i="37"/>
  <c r="AB43" i="37"/>
  <c r="AB42" i="37"/>
  <c r="AB40" i="37"/>
  <c r="AB39" i="37"/>
  <c r="AB38" i="37"/>
  <c r="AB37" i="37"/>
  <c r="AB36" i="37"/>
  <c r="AB35" i="37"/>
  <c r="AB34" i="37"/>
  <c r="AB33" i="37"/>
  <c r="AB32" i="37"/>
  <c r="AB31" i="37"/>
  <c r="AB30" i="37"/>
  <c r="AB29" i="37"/>
  <c r="AB28" i="37"/>
  <c r="AB27" i="37"/>
  <c r="AB26" i="37"/>
  <c r="AB25" i="37"/>
  <c r="AB24" i="37"/>
  <c r="AB23" i="37"/>
  <c r="AB22" i="37"/>
  <c r="AB21" i="37"/>
  <c r="AB20" i="37"/>
  <c r="AB19" i="37"/>
  <c r="AB18" i="37"/>
  <c r="AB17" i="37"/>
  <c r="AB16" i="37"/>
  <c r="AB15" i="37"/>
  <c r="AB14" i="37"/>
  <c r="AB13" i="37"/>
  <c r="AB11" i="37"/>
  <c r="AB10" i="37"/>
  <c r="B64" i="33" s="1"/>
  <c r="AB8" i="37"/>
  <c r="B63" i="33" s="1"/>
  <c r="U85" i="37"/>
  <c r="U84" i="37"/>
  <c r="U83" i="37"/>
  <c r="U82" i="37"/>
  <c r="U81" i="37"/>
  <c r="U80" i="37"/>
  <c r="U79" i="37"/>
  <c r="U75" i="37"/>
  <c r="U74" i="37"/>
  <c r="U73" i="37"/>
  <c r="U72" i="37"/>
  <c r="U70" i="37"/>
  <c r="U67" i="37"/>
  <c r="U66" i="37"/>
  <c r="U65" i="37"/>
  <c r="U64" i="37"/>
  <c r="U62" i="37"/>
  <c r="U61" i="37"/>
  <c r="U60" i="37"/>
  <c r="U59" i="37"/>
  <c r="U58" i="37"/>
  <c r="U56" i="37"/>
  <c r="U55" i="37"/>
  <c r="U54" i="37"/>
  <c r="U53" i="37"/>
  <c r="U51" i="37"/>
  <c r="U49" i="37"/>
  <c r="U48" i="37"/>
  <c r="U47" i="37"/>
  <c r="U46" i="37"/>
  <c r="U45" i="37"/>
  <c r="U44" i="37"/>
  <c r="U43" i="37"/>
  <c r="U42" i="37"/>
  <c r="U40" i="37"/>
  <c r="U39" i="37"/>
  <c r="U38" i="37"/>
  <c r="U37" i="37"/>
  <c r="U36" i="37"/>
  <c r="U35" i="37"/>
  <c r="U34" i="37"/>
  <c r="U33" i="37"/>
  <c r="U32" i="37"/>
  <c r="U31" i="37"/>
  <c r="U30" i="37"/>
  <c r="U29" i="37"/>
  <c r="U28" i="37"/>
  <c r="U27" i="37"/>
  <c r="U23" i="37"/>
  <c r="U22" i="37"/>
  <c r="U21" i="37"/>
  <c r="U20" i="37"/>
  <c r="U19" i="37"/>
  <c r="U18" i="37"/>
  <c r="U17" i="37"/>
  <c r="U16" i="37"/>
  <c r="U15" i="37"/>
  <c r="U14" i="37"/>
  <c r="U11" i="37"/>
  <c r="U10" i="37"/>
  <c r="N85" i="37"/>
  <c r="N84" i="37"/>
  <c r="N83" i="37"/>
  <c r="N82" i="37"/>
  <c r="N81" i="37"/>
  <c r="N80" i="37"/>
  <c r="N79" i="37"/>
  <c r="N75" i="37"/>
  <c r="N74" i="37"/>
  <c r="N73" i="37"/>
  <c r="N72" i="37"/>
  <c r="N70" i="37"/>
  <c r="N67" i="37"/>
  <c r="N66" i="37"/>
  <c r="N65" i="37"/>
  <c r="N64" i="37"/>
  <c r="N62" i="37"/>
  <c r="N61" i="37"/>
  <c r="N60" i="37"/>
  <c r="N59" i="37"/>
  <c r="N58" i="37"/>
  <c r="N56" i="37"/>
  <c r="N55" i="37"/>
  <c r="N54" i="37"/>
  <c r="N53" i="37"/>
  <c r="N51" i="37"/>
  <c r="N49" i="37"/>
  <c r="N48" i="37"/>
  <c r="N47" i="37"/>
  <c r="N46" i="37"/>
  <c r="N45" i="37"/>
  <c r="N44" i="37"/>
  <c r="N43" i="37"/>
  <c r="N42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2" i="37"/>
  <c r="N21" i="37"/>
  <c r="N20" i="37"/>
  <c r="N19" i="37"/>
  <c r="N18" i="37"/>
  <c r="N17" i="37"/>
  <c r="N16" i="37"/>
  <c r="N15" i="37"/>
  <c r="N14" i="37"/>
  <c r="N11" i="37"/>
  <c r="N10" i="37"/>
  <c r="G74" i="37"/>
  <c r="G51" i="37"/>
  <c r="G49" i="37"/>
  <c r="G48" i="37"/>
  <c r="G40" i="37"/>
  <c r="G39" i="37"/>
  <c r="G22" i="37"/>
  <c r="G21" i="37"/>
  <c r="G20" i="37"/>
  <c r="G19" i="37"/>
  <c r="G125" i="37"/>
  <c r="G124" i="37"/>
  <c r="G123" i="37"/>
  <c r="G122" i="37"/>
  <c r="G121" i="37"/>
  <c r="G120" i="37"/>
  <c r="G119" i="37"/>
  <c r="G118" i="37"/>
  <c r="G117" i="37"/>
  <c r="G116" i="37"/>
  <c r="G115" i="37"/>
  <c r="G112" i="37"/>
  <c r="G111" i="37"/>
  <c r="G110" i="37"/>
  <c r="G109" i="37"/>
  <c r="G108" i="37"/>
  <c r="G105" i="37"/>
  <c r="G104" i="37"/>
  <c r="G103" i="37"/>
  <c r="G102" i="37"/>
  <c r="G101" i="37"/>
  <c r="G99" i="37"/>
  <c r="G98" i="37"/>
  <c r="G97" i="37"/>
  <c r="G96" i="37"/>
  <c r="G95" i="37"/>
  <c r="G94" i="37"/>
  <c r="G92" i="37"/>
  <c r="G91" i="37"/>
  <c r="G90" i="37"/>
  <c r="G89" i="37"/>
  <c r="G85" i="37"/>
  <c r="G84" i="37"/>
  <c r="G83" i="37"/>
  <c r="G82" i="37"/>
  <c r="G81" i="37"/>
  <c r="G80" i="37"/>
  <c r="G79" i="37"/>
  <c r="G75" i="37"/>
  <c r="G73" i="37"/>
  <c r="G72" i="37"/>
  <c r="G70" i="37"/>
  <c r="G67" i="37"/>
  <c r="G66" i="37"/>
  <c r="G65" i="37"/>
  <c r="G64" i="37"/>
  <c r="G62" i="37"/>
  <c r="G61" i="37"/>
  <c r="G60" i="37"/>
  <c r="G59" i="37"/>
  <c r="G58" i="37"/>
  <c r="G56" i="37"/>
  <c r="G55" i="37"/>
  <c r="G54" i="37"/>
  <c r="G53" i="37"/>
  <c r="G47" i="37"/>
  <c r="G46" i="37"/>
  <c r="G45" i="37"/>
  <c r="G44" i="37"/>
  <c r="G42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11" i="37"/>
  <c r="G14" i="37"/>
  <c r="G15" i="37"/>
  <c r="G16" i="37"/>
  <c r="G17" i="37"/>
  <c r="G18" i="37"/>
  <c r="BH85" i="32" l="1"/>
  <c r="AX88" i="32"/>
  <c r="BC88" i="32" s="1"/>
  <c r="BH88" i="32" s="1"/>
  <c r="BH86" i="32"/>
  <c r="BM86" i="32" s="1"/>
  <c r="BR86" i="32" s="1"/>
  <c r="BH81" i="32"/>
  <c r="BM81" i="32" s="1"/>
  <c r="BR81" i="32" s="1"/>
  <c r="AX87" i="32"/>
  <c r="BC87" i="32" s="1"/>
  <c r="BH87" i="32" s="1"/>
  <c r="BH89" i="32"/>
  <c r="BM89" i="32" s="1"/>
  <c r="BR89" i="32" s="1"/>
  <c r="BH90" i="32"/>
  <c r="BM90" i="32" s="1"/>
  <c r="BR90" i="32" s="1"/>
  <c r="AX84" i="32"/>
  <c r="BC84" i="32" s="1"/>
  <c r="BH84" i="32" s="1"/>
  <c r="BN95" i="32"/>
  <c r="AT95" i="32"/>
  <c r="BX95" i="32"/>
  <c r="BD95" i="32"/>
  <c r="AX91" i="32"/>
  <c r="AX92" i="32"/>
  <c r="B69" i="33"/>
  <c r="BC94" i="32"/>
  <c r="BH94" i="32" s="1"/>
  <c r="BC93" i="32"/>
  <c r="BH93" i="32" s="1"/>
  <c r="CD121" i="32"/>
  <c r="CD131" i="32" s="1"/>
  <c r="BT131" i="32"/>
  <c r="BC82" i="32"/>
  <c r="BH82" i="32" s="1"/>
  <c r="BC80" i="32"/>
  <c r="BM85" i="32"/>
  <c r="BR85" i="32" s="1"/>
  <c r="AB9" i="37"/>
  <c r="U9" i="37"/>
  <c r="G9" i="37"/>
  <c r="AO95" i="32"/>
  <c r="AI95" i="32"/>
  <c r="N9" i="37"/>
  <c r="O8" i="32"/>
  <c r="O7" i="32"/>
  <c r="BH80" i="32" l="1"/>
  <c r="BW89" i="32"/>
  <c r="CB89" i="32" s="1"/>
  <c r="E242" i="32" s="1"/>
  <c r="BM84" i="32"/>
  <c r="BR84" i="32" s="1"/>
  <c r="BM82" i="32"/>
  <c r="BR82" i="32" s="1"/>
  <c r="BW81" i="32"/>
  <c r="CB81" i="32" s="1"/>
  <c r="E234" i="32" s="1"/>
  <c r="BM87" i="32"/>
  <c r="BR87" i="32" s="1"/>
  <c r="BM88" i="32"/>
  <c r="BR88" i="32" s="1"/>
  <c r="BC92" i="32"/>
  <c r="BH92" i="32" s="1"/>
  <c r="BW86" i="32"/>
  <c r="CB86" i="32" s="1"/>
  <c r="E239" i="32" s="1"/>
  <c r="BC91" i="32"/>
  <c r="BH91" i="32" s="1"/>
  <c r="BW85" i="32"/>
  <c r="CB85" i="32" s="1"/>
  <c r="E238" i="32" s="1"/>
  <c r="BM93" i="32"/>
  <c r="BR93" i="32" s="1"/>
  <c r="BW90" i="32"/>
  <c r="CB90" i="32" s="1"/>
  <c r="E243" i="32" s="1"/>
  <c r="BM94" i="32"/>
  <c r="BR94" i="32" s="1"/>
  <c r="AN95" i="32"/>
  <c r="E142" i="32"/>
  <c r="E135" i="32"/>
  <c r="E131" i="32"/>
  <c r="E118" i="32"/>
  <c r="E109" i="32"/>
  <c r="E77" i="32"/>
  <c r="D142" i="32"/>
  <c r="D77" i="32"/>
  <c r="D135" i="32"/>
  <c r="D131" i="32"/>
  <c r="D118" i="32"/>
  <c r="D109" i="32"/>
  <c r="C109" i="32"/>
  <c r="BW94" i="32" l="1"/>
  <c r="CB94" i="32" s="1"/>
  <c r="E247" i="32" s="1"/>
  <c r="BW82" i="32"/>
  <c r="CB82" i="32" s="1"/>
  <c r="E235" i="32" s="1"/>
  <c r="BW84" i="32"/>
  <c r="CB84" i="32" s="1"/>
  <c r="E237" i="32" s="1"/>
  <c r="BW93" i="32"/>
  <c r="CB93" i="32" s="1"/>
  <c r="E246" i="32" s="1"/>
  <c r="BW87" i="32"/>
  <c r="CB87" i="32" s="1"/>
  <c r="E240" i="32" s="1"/>
  <c r="AX83" i="32"/>
  <c r="AS95" i="32"/>
  <c r="D174" i="32" s="1"/>
  <c r="BM91" i="32"/>
  <c r="BR91" i="32" s="1"/>
  <c r="BM92" i="32"/>
  <c r="BR92" i="32" s="1"/>
  <c r="BW88" i="32"/>
  <c r="CB88" i="32" s="1"/>
  <c r="E241" i="32" s="1"/>
  <c r="BM80" i="32"/>
  <c r="D137" i="32"/>
  <c r="D144" i="32" s="1"/>
  <c r="E137" i="32"/>
  <c r="E144" i="32" s="1"/>
  <c r="B372" i="33"/>
  <c r="M6" i="33"/>
  <c r="Q6" i="33"/>
  <c r="BW91" i="32" l="1"/>
  <c r="CB91" i="32" s="1"/>
  <c r="E244" i="32" s="1"/>
  <c r="BR80" i="32"/>
  <c r="BC83" i="32"/>
  <c r="AX95" i="32"/>
  <c r="E174" i="32" s="1"/>
  <c r="BW92" i="32"/>
  <c r="CB92" i="32" s="1"/>
  <c r="E245" i="32" s="1"/>
  <c r="F33" i="33"/>
  <c r="F32" i="33"/>
  <c r="F31" i="33"/>
  <c r="BW80" i="32" l="1"/>
  <c r="BH83" i="32"/>
  <c r="BC95" i="32"/>
  <c r="AJ127" i="32"/>
  <c r="AJ129" i="32"/>
  <c r="T47" i="33"/>
  <c r="O46" i="33"/>
  <c r="BM83" i="32" l="1"/>
  <c r="BH95" i="32"/>
  <c r="F174" i="32" s="1"/>
  <c r="CB80" i="32"/>
  <c r="E233" i="32" s="1"/>
  <c r="F34" i="33"/>
  <c r="BR83" i="32" l="1"/>
  <c r="BM95" i="32"/>
  <c r="B410" i="33"/>
  <c r="T48" i="33"/>
  <c r="T46" i="33"/>
  <c r="T45" i="33"/>
  <c r="O47" i="33"/>
  <c r="O45" i="33"/>
  <c r="J46" i="33"/>
  <c r="E47" i="33"/>
  <c r="E46" i="33"/>
  <c r="BW83" i="32" l="1"/>
  <c r="BR95" i="32"/>
  <c r="G174" i="32" s="1"/>
  <c r="U8" i="33"/>
  <c r="U11" i="33"/>
  <c r="U12" i="33"/>
  <c r="Q10" i="33"/>
  <c r="Q9" i="33"/>
  <c r="E34" i="33" s="1"/>
  <c r="M5" i="33"/>
  <c r="I10" i="33"/>
  <c r="I6" i="33"/>
  <c r="I9" i="33" s="1"/>
  <c r="D352" i="33"/>
  <c r="J8" i="33"/>
  <c r="J6" i="33"/>
  <c r="F8" i="33"/>
  <c r="F6" i="33"/>
  <c r="B6" i="33"/>
  <c r="B8" i="33"/>
  <c r="D45" i="33"/>
  <c r="B5" i="33" s="1"/>
  <c r="CB83" i="32" l="1"/>
  <c r="E236" i="32" s="1"/>
  <c r="E248" i="32" s="1"/>
  <c r="BW95" i="32"/>
  <c r="B9" i="33"/>
  <c r="B31" i="33" s="1"/>
  <c r="U10" i="33"/>
  <c r="M9" i="33"/>
  <c r="E33" i="33" s="1"/>
  <c r="E5" i="33"/>
  <c r="U5" i="33" s="1"/>
  <c r="E45" i="33"/>
  <c r="I13" i="33"/>
  <c r="E32" i="33"/>
  <c r="Q13" i="33"/>
  <c r="U6" i="33"/>
  <c r="CB95" i="32" l="1"/>
  <c r="H174" i="32" s="1"/>
  <c r="M13" i="33"/>
  <c r="U13" i="33" s="1"/>
  <c r="E9" i="33"/>
  <c r="E31" i="33" s="1"/>
  <c r="U9" i="33"/>
  <c r="O10" i="33"/>
  <c r="E29" i="36"/>
  <c r="C403" i="33" l="1"/>
  <c r="G19" i="33" s="1"/>
  <c r="D403" i="33" l="1"/>
  <c r="G20" i="33" s="1"/>
  <c r="E403" i="33"/>
  <c r="G21" i="33" s="1"/>
  <c r="B403" i="33"/>
  <c r="G18" i="33" s="1"/>
  <c r="N8" i="33"/>
  <c r="N6" i="33"/>
  <c r="V187" i="33"/>
  <c r="O14" i="33" s="1"/>
  <c r="O12" i="33"/>
  <c r="O11" i="33"/>
  <c r="O8" i="33"/>
  <c r="O6" i="33"/>
  <c r="O5" i="33"/>
  <c r="K8" i="33"/>
  <c r="K10" i="33"/>
  <c r="K6" i="33"/>
  <c r="K5" i="33"/>
  <c r="P187" i="33"/>
  <c r="K14" i="33" s="1"/>
  <c r="G5" i="33"/>
  <c r="G11" i="33"/>
  <c r="G12" i="33"/>
  <c r="G8" i="33"/>
  <c r="G10" i="33"/>
  <c r="G6" i="33"/>
  <c r="J209" i="33"/>
  <c r="G14" i="33" s="1"/>
  <c r="C11" i="33"/>
  <c r="C8" i="33"/>
  <c r="C6" i="33"/>
  <c r="C5" i="33"/>
  <c r="D204" i="33"/>
  <c r="C14" i="33" s="1"/>
  <c r="C10" i="33"/>
  <c r="F93" i="27" l="1"/>
  <c r="E93" i="27"/>
  <c r="U87" i="32"/>
  <c r="U80" i="32"/>
  <c r="U88" i="32"/>
  <c r="U89" i="32"/>
  <c r="V89" i="32" s="1"/>
  <c r="U81" i="32"/>
  <c r="V81" i="32" s="1"/>
  <c r="U86" i="32"/>
  <c r="U94" i="32"/>
  <c r="V94" i="32" s="1"/>
  <c r="U85" i="32"/>
  <c r="V85" i="32" s="1"/>
  <c r="U82" i="32"/>
  <c r="V82" i="32" s="1"/>
  <c r="U91" i="32"/>
  <c r="V91" i="32" s="1"/>
  <c r="U83" i="32"/>
  <c r="U84" i="32"/>
  <c r="V84" i="32" s="1"/>
  <c r="U90" i="32"/>
  <c r="V90" i="32" s="1"/>
  <c r="U93" i="32"/>
  <c r="V93" i="32" s="1"/>
  <c r="U92" i="32"/>
  <c r="N9" i="33"/>
  <c r="B34" i="33" s="1"/>
  <c r="K9" i="33"/>
  <c r="D33" i="33" s="1"/>
  <c r="O9" i="33"/>
  <c r="G9" i="33"/>
  <c r="D32" i="33" s="1"/>
  <c r="C9" i="33"/>
  <c r="D31" i="33" s="1"/>
  <c r="V92" i="32" l="1"/>
  <c r="R78" i="44"/>
  <c r="V83" i="32"/>
  <c r="R74" i="44"/>
  <c r="V88" i="32"/>
  <c r="W88" i="32" s="1"/>
  <c r="R76" i="44"/>
  <c r="V86" i="32"/>
  <c r="AF86" i="32" s="1"/>
  <c r="AP68" i="32" s="1"/>
  <c r="R72" i="44"/>
  <c r="V87" i="32"/>
  <c r="AF87" i="32" s="1"/>
  <c r="AP69" i="32" s="1"/>
  <c r="R73" i="44"/>
  <c r="AF90" i="32"/>
  <c r="AP72" i="32" s="1"/>
  <c r="W90" i="32"/>
  <c r="W81" i="32"/>
  <c r="AF81" i="32"/>
  <c r="AP63" i="32" s="1"/>
  <c r="AF85" i="32"/>
  <c r="AP67" i="32" s="1"/>
  <c r="W85" i="32"/>
  <c r="W92" i="32"/>
  <c r="AF92" i="32"/>
  <c r="AP74" i="32" s="1"/>
  <c r="AF83" i="32"/>
  <c r="AP65" i="32" s="1"/>
  <c r="W83" i="32"/>
  <c r="AF94" i="32"/>
  <c r="AP76" i="32" s="1"/>
  <c r="W94" i="32"/>
  <c r="AF82" i="32"/>
  <c r="AP64" i="32" s="1"/>
  <c r="W82" i="32"/>
  <c r="W84" i="32"/>
  <c r="AF84" i="32"/>
  <c r="AP66" i="32" s="1"/>
  <c r="W89" i="32"/>
  <c r="AF89" i="32"/>
  <c r="AP71" i="32" s="1"/>
  <c r="W93" i="32"/>
  <c r="AF93" i="32"/>
  <c r="AP75" i="32" s="1"/>
  <c r="AF91" i="32"/>
  <c r="AP73" i="32" s="1"/>
  <c r="W91" i="32"/>
  <c r="V80" i="32"/>
  <c r="U95" i="32"/>
  <c r="W86" i="32" l="1"/>
  <c r="AF88" i="32"/>
  <c r="AP70" i="32" s="1"/>
  <c r="V95" i="32"/>
  <c r="W87" i="32"/>
  <c r="AG87" i="32"/>
  <c r="AG91" i="32"/>
  <c r="AG82" i="32"/>
  <c r="AG94" i="32"/>
  <c r="AG89" i="32"/>
  <c r="AG81" i="32"/>
  <c r="AG93" i="32"/>
  <c r="AG84" i="32"/>
  <c r="AG92" i="32"/>
  <c r="AF80" i="32"/>
  <c r="W80" i="32"/>
  <c r="W95" i="32" s="1"/>
  <c r="AG86" i="32"/>
  <c r="AG83" i="32"/>
  <c r="AG85" i="32"/>
  <c r="AG90" i="32"/>
  <c r="AG88" i="32" l="1"/>
  <c r="AF95" i="32"/>
  <c r="AP62" i="32"/>
  <c r="AQ86" i="32"/>
  <c r="AQ91" i="32"/>
  <c r="AZ91" i="32"/>
  <c r="AQ90" i="32"/>
  <c r="AZ90" i="32"/>
  <c r="AQ88" i="32"/>
  <c r="AQ85" i="32"/>
  <c r="AZ85" i="32"/>
  <c r="AQ84" i="32"/>
  <c r="AQ92" i="32"/>
  <c r="AZ92" i="32"/>
  <c r="AQ83" i="32"/>
  <c r="AQ87" i="32"/>
  <c r="AQ81" i="32"/>
  <c r="AZ81" i="32"/>
  <c r="AQ89" i="32"/>
  <c r="AZ89" i="32"/>
  <c r="AQ94" i="32"/>
  <c r="AZ94" i="32"/>
  <c r="AQ82" i="32"/>
  <c r="AZ82" i="32"/>
  <c r="AQ93" i="32"/>
  <c r="AZ93" i="32"/>
  <c r="AG80" i="32"/>
  <c r="AG95" i="32" s="1"/>
  <c r="AP77" i="32" l="1"/>
  <c r="BJ91" i="32"/>
  <c r="BA91" i="32"/>
  <c r="BJ81" i="32"/>
  <c r="BA81" i="32"/>
  <c r="BJ90" i="32"/>
  <c r="BA90" i="32"/>
  <c r="AP95" i="32"/>
  <c r="AZ80" i="32"/>
  <c r="BJ94" i="32"/>
  <c r="BA94" i="32"/>
  <c r="BJ89" i="32"/>
  <c r="BA89" i="32"/>
  <c r="BJ85" i="32"/>
  <c r="BA85" i="32"/>
  <c r="BJ93" i="32"/>
  <c r="BA93" i="32"/>
  <c r="BJ82" i="32"/>
  <c r="BA82" i="32"/>
  <c r="BJ92" i="32"/>
  <c r="BA92" i="32"/>
  <c r="AQ80" i="32"/>
  <c r="BT89" i="32" l="1"/>
  <c r="BK89" i="32"/>
  <c r="BT85" i="32"/>
  <c r="BK85" i="32"/>
  <c r="BT82" i="32"/>
  <c r="BK82" i="32"/>
  <c r="BT94" i="32"/>
  <c r="BK94" i="32"/>
  <c r="BJ80" i="32"/>
  <c r="BA80" i="32"/>
  <c r="BT92" i="32"/>
  <c r="BK92" i="32"/>
  <c r="BT90" i="32"/>
  <c r="BK90" i="32"/>
  <c r="BT81" i="32"/>
  <c r="BK81" i="32"/>
  <c r="BT93" i="32"/>
  <c r="BK93" i="32"/>
  <c r="BT91" i="32"/>
  <c r="BK91" i="32"/>
  <c r="AQ95" i="32"/>
  <c r="D179" i="32" s="1"/>
  <c r="E18" i="33"/>
  <c r="F18" i="33"/>
  <c r="E19" i="33"/>
  <c r="F19" i="33"/>
  <c r="F21" i="33"/>
  <c r="F20" i="33"/>
  <c r="E21" i="33"/>
  <c r="E20" i="33"/>
  <c r="CD90" i="32" l="1"/>
  <c r="CE90" i="32" s="1"/>
  <c r="F243" i="32" s="1"/>
  <c r="BU90" i="32"/>
  <c r="CD92" i="32"/>
  <c r="CE92" i="32" s="1"/>
  <c r="F245" i="32" s="1"/>
  <c r="BU92" i="32"/>
  <c r="BT80" i="32"/>
  <c r="BK80" i="32"/>
  <c r="CD82" i="32"/>
  <c r="CE82" i="32" s="1"/>
  <c r="F235" i="32" s="1"/>
  <c r="BU82" i="32"/>
  <c r="CD91" i="32"/>
  <c r="CE91" i="32" s="1"/>
  <c r="F244" i="32" s="1"/>
  <c r="BU91" i="32"/>
  <c r="CD94" i="32"/>
  <c r="CE94" i="32" s="1"/>
  <c r="F247" i="32" s="1"/>
  <c r="BU94" i="32"/>
  <c r="CD93" i="32"/>
  <c r="CE93" i="32" s="1"/>
  <c r="F246" i="32" s="1"/>
  <c r="BU93" i="32"/>
  <c r="CD85" i="32"/>
  <c r="CE85" i="32" s="1"/>
  <c r="F238" i="32" s="1"/>
  <c r="BU85" i="32"/>
  <c r="CD81" i="32"/>
  <c r="CE81" i="32" s="1"/>
  <c r="F234" i="32" s="1"/>
  <c r="BU81" i="32"/>
  <c r="CD89" i="32"/>
  <c r="CE89" i="32" s="1"/>
  <c r="F242" i="32" s="1"/>
  <c r="BU89" i="32"/>
  <c r="B376" i="33"/>
  <c r="C364" i="33"/>
  <c r="O220" i="33"/>
  <c r="R10" i="33"/>
  <c r="R8" i="33"/>
  <c r="R12" i="33"/>
  <c r="N13" i="33"/>
  <c r="B21" i="33" s="1"/>
  <c r="P12" i="33"/>
  <c r="P11" i="33"/>
  <c r="P8" i="33"/>
  <c r="P10" i="33"/>
  <c r="T10" i="33" s="1"/>
  <c r="P6" i="33"/>
  <c r="P5" i="33"/>
  <c r="L12" i="33"/>
  <c r="L11" i="33"/>
  <c r="L8" i="33"/>
  <c r="L6" i="33"/>
  <c r="L5" i="33"/>
  <c r="K12" i="33"/>
  <c r="K11" i="33"/>
  <c r="J11" i="33"/>
  <c r="J9" i="33"/>
  <c r="B33" i="33" s="1"/>
  <c r="H12" i="33"/>
  <c r="H11" i="33"/>
  <c r="H8" i="33"/>
  <c r="H6" i="33"/>
  <c r="H5" i="33"/>
  <c r="BU80" i="32" l="1"/>
  <c r="CD80" i="32"/>
  <c r="P9" i="33"/>
  <c r="H9" i="33"/>
  <c r="C32" i="33" s="1"/>
  <c r="L9" i="33"/>
  <c r="T12" i="33"/>
  <c r="S8" i="33"/>
  <c r="S10" i="33"/>
  <c r="S12" i="33"/>
  <c r="O13" i="33"/>
  <c r="K13" i="33"/>
  <c r="D20" i="33" s="1"/>
  <c r="J13" i="33"/>
  <c r="B20" i="33" s="1"/>
  <c r="F5" i="33"/>
  <c r="F9" i="33" s="1"/>
  <c r="B32" i="33" s="1"/>
  <c r="D11" i="33"/>
  <c r="T11" i="33" s="1"/>
  <c r="D8" i="33"/>
  <c r="T8" i="33" s="1"/>
  <c r="D6" i="33"/>
  <c r="T6" i="33" s="1"/>
  <c r="D5" i="33"/>
  <c r="S11" i="33"/>
  <c r="S6" i="33"/>
  <c r="F11" i="33"/>
  <c r="B11" i="33"/>
  <c r="B13" i="33" s="1"/>
  <c r="CE80" i="32" l="1"/>
  <c r="F233" i="32" s="1"/>
  <c r="P13" i="33"/>
  <c r="C21" i="33" s="1"/>
  <c r="C34" i="33"/>
  <c r="H13" i="33"/>
  <c r="C19" i="33" s="1"/>
  <c r="D21" i="33"/>
  <c r="D34" i="33"/>
  <c r="L13" i="33"/>
  <c r="C20" i="33" s="1"/>
  <c r="C33" i="33"/>
  <c r="T5" i="33"/>
  <c r="T9" i="33" s="1"/>
  <c r="D9" i="33"/>
  <c r="C31" i="33" s="1"/>
  <c r="R11" i="33"/>
  <c r="F13" i="33"/>
  <c r="B19" i="33" s="1"/>
  <c r="R5" i="33"/>
  <c r="S5" i="33"/>
  <c r="S9" i="33" s="1"/>
  <c r="R6" i="33"/>
  <c r="AM142" i="32"/>
  <c r="AL142" i="32"/>
  <c r="AK142" i="32"/>
  <c r="AJ142" i="32"/>
  <c r="AC142" i="32"/>
  <c r="AB142" i="32"/>
  <c r="AA142" i="32"/>
  <c r="Z142" i="32"/>
  <c r="S142" i="32"/>
  <c r="R142" i="32"/>
  <c r="Q142" i="32"/>
  <c r="P142" i="32"/>
  <c r="L142" i="32"/>
  <c r="I142" i="32"/>
  <c r="H142" i="32"/>
  <c r="G142" i="32"/>
  <c r="F142" i="32"/>
  <c r="C142" i="32"/>
  <c r="AP141" i="32"/>
  <c r="AF141" i="32"/>
  <c r="J141" i="32"/>
  <c r="O141" i="32" s="1"/>
  <c r="T141" i="32" s="1"/>
  <c r="AP140" i="32"/>
  <c r="AF140" i="32"/>
  <c r="J140" i="32"/>
  <c r="O140" i="32" s="1"/>
  <c r="T140" i="32" s="1"/>
  <c r="Y140" i="32" s="1"/>
  <c r="AD140" i="32" s="1"/>
  <c r="AP139" i="32"/>
  <c r="AF139" i="32"/>
  <c r="J139" i="32"/>
  <c r="AP135" i="32"/>
  <c r="AM135" i="32"/>
  <c r="AL135" i="32"/>
  <c r="AK135" i="32"/>
  <c r="AJ135" i="32"/>
  <c r="AF135" i="32"/>
  <c r="AC135" i="32"/>
  <c r="AB135" i="32"/>
  <c r="AA135" i="32"/>
  <c r="Z135" i="32"/>
  <c r="S135" i="32"/>
  <c r="R135" i="32"/>
  <c r="Q135" i="32"/>
  <c r="P135" i="32"/>
  <c r="L135" i="32"/>
  <c r="I135" i="32"/>
  <c r="H135" i="32"/>
  <c r="G135" i="32"/>
  <c r="F135" i="32"/>
  <c r="C135" i="32"/>
  <c r="A135" i="32"/>
  <c r="J134" i="32"/>
  <c r="J135" i="32" s="1"/>
  <c r="A134" i="32"/>
  <c r="AM131" i="32"/>
  <c r="AL131" i="32"/>
  <c r="AK131" i="32"/>
  <c r="G192" i="32" s="1"/>
  <c r="AJ131" i="32"/>
  <c r="G187" i="32" s="1"/>
  <c r="AC131" i="32"/>
  <c r="AB131" i="32"/>
  <c r="AA131" i="32"/>
  <c r="F192" i="32" s="1"/>
  <c r="S131" i="32"/>
  <c r="R131" i="32"/>
  <c r="Q131" i="32"/>
  <c r="E192" i="32" s="1"/>
  <c r="P131" i="32"/>
  <c r="E187" i="32" s="1"/>
  <c r="I131" i="32"/>
  <c r="H131" i="32"/>
  <c r="G131" i="32"/>
  <c r="D192" i="32" s="1"/>
  <c r="F131" i="32"/>
  <c r="D187" i="32" s="1"/>
  <c r="C131" i="32"/>
  <c r="A131" i="32"/>
  <c r="J130" i="32"/>
  <c r="O130" i="32" s="1"/>
  <c r="T130" i="32" s="1"/>
  <c r="A130" i="32"/>
  <c r="J129" i="32"/>
  <c r="O129" i="32" s="1"/>
  <c r="T129" i="32" s="1"/>
  <c r="A129" i="32"/>
  <c r="J128" i="32"/>
  <c r="O128" i="32" s="1"/>
  <c r="T128" i="32" s="1"/>
  <c r="A128" i="32"/>
  <c r="J127" i="32"/>
  <c r="O127" i="32" s="1"/>
  <c r="T127" i="32" s="1"/>
  <c r="A127" i="32"/>
  <c r="J126" i="32"/>
  <c r="O126" i="32" s="1"/>
  <c r="T126" i="32" s="1"/>
  <c r="A126" i="32"/>
  <c r="J125" i="32"/>
  <c r="O125" i="32" s="1"/>
  <c r="T125" i="32" s="1"/>
  <c r="A125" i="32"/>
  <c r="J124" i="32"/>
  <c r="M124" i="32" s="1"/>
  <c r="A124" i="32"/>
  <c r="J123" i="32"/>
  <c r="O123" i="32" s="1"/>
  <c r="T123" i="32" s="1"/>
  <c r="A123" i="32"/>
  <c r="J122" i="32"/>
  <c r="O122" i="32" s="1"/>
  <c r="T122" i="32" s="1"/>
  <c r="A122" i="32"/>
  <c r="J121" i="32"/>
  <c r="A121" i="32"/>
  <c r="AM118" i="32"/>
  <c r="AL118" i="32"/>
  <c r="AK118" i="32"/>
  <c r="AJ118" i="32"/>
  <c r="AC118" i="32"/>
  <c r="AB118" i="32"/>
  <c r="AA118" i="32"/>
  <c r="Z118" i="32"/>
  <c r="S118" i="32"/>
  <c r="R118" i="32"/>
  <c r="Q118" i="32"/>
  <c r="P118" i="32"/>
  <c r="I118" i="32"/>
  <c r="H118" i="32"/>
  <c r="G118" i="32"/>
  <c r="F118" i="32"/>
  <c r="C118" i="32"/>
  <c r="A118" i="32"/>
  <c r="J117" i="32"/>
  <c r="M117" i="32" s="1"/>
  <c r="A117" i="32"/>
  <c r="AP116" i="32"/>
  <c r="AZ116" i="32" s="1"/>
  <c r="BJ116" i="32" s="1"/>
  <c r="BT116" i="32" s="1"/>
  <c r="CD116" i="32" s="1"/>
  <c r="AF116" i="32"/>
  <c r="L116" i="32"/>
  <c r="J116" i="32"/>
  <c r="O116" i="32" s="1"/>
  <c r="T116" i="32" s="1"/>
  <c r="A116" i="32"/>
  <c r="AP115" i="32"/>
  <c r="AZ115" i="32" s="1"/>
  <c r="BJ115" i="32" s="1"/>
  <c r="BT115" i="32" s="1"/>
  <c r="CD115" i="32" s="1"/>
  <c r="AF115" i="32"/>
  <c r="L115" i="32"/>
  <c r="J115" i="32"/>
  <c r="O115" i="32" s="1"/>
  <c r="T115" i="32" s="1"/>
  <c r="A115" i="32"/>
  <c r="AP114" i="32"/>
  <c r="AZ114" i="32" s="1"/>
  <c r="BJ114" i="32" s="1"/>
  <c r="BT114" i="32" s="1"/>
  <c r="CD114" i="32" s="1"/>
  <c r="AF114" i="32"/>
  <c r="L114" i="32"/>
  <c r="J114" i="32"/>
  <c r="O114" i="32" s="1"/>
  <c r="T114" i="32" s="1"/>
  <c r="Y114" i="32" s="1"/>
  <c r="AD114" i="32" s="1"/>
  <c r="AI114" i="32" s="1"/>
  <c r="AN114" i="32" s="1"/>
  <c r="AS114" i="32" s="1"/>
  <c r="A114" i="32"/>
  <c r="L113" i="32"/>
  <c r="J113" i="32"/>
  <c r="A113" i="32"/>
  <c r="J112" i="32"/>
  <c r="O112" i="32" s="1"/>
  <c r="T112" i="32" s="1"/>
  <c r="A112" i="32"/>
  <c r="AP111" i="32"/>
  <c r="AZ111" i="32" s="1"/>
  <c r="AF111" i="32"/>
  <c r="L111" i="32"/>
  <c r="J111" i="32"/>
  <c r="A111" i="32"/>
  <c r="AM109" i="32"/>
  <c r="AL109" i="32"/>
  <c r="AK109" i="32"/>
  <c r="AC109" i="32"/>
  <c r="AB109" i="32"/>
  <c r="AA109" i="32"/>
  <c r="Z109" i="32"/>
  <c r="S109" i="32"/>
  <c r="R109" i="32"/>
  <c r="Q109" i="32"/>
  <c r="P109" i="32"/>
  <c r="I109" i="32"/>
  <c r="H109" i="32"/>
  <c r="G109" i="32"/>
  <c r="F109" i="32"/>
  <c r="A109" i="32"/>
  <c r="A108" i="32"/>
  <c r="J107" i="32"/>
  <c r="O107" i="32" s="1"/>
  <c r="T107" i="32" s="1"/>
  <c r="A107" i="32"/>
  <c r="J106" i="32"/>
  <c r="O106" i="32" s="1"/>
  <c r="T106" i="32" s="1"/>
  <c r="A106" i="32"/>
  <c r="J105" i="32"/>
  <c r="O105" i="32" s="1"/>
  <c r="T105" i="32" s="1"/>
  <c r="A105" i="32"/>
  <c r="J104" i="32"/>
  <c r="O104" i="32" s="1"/>
  <c r="T104" i="32" s="1"/>
  <c r="A104" i="32"/>
  <c r="J103" i="32"/>
  <c r="O103" i="32" s="1"/>
  <c r="T103" i="32" s="1"/>
  <c r="A103" i="32"/>
  <c r="J102" i="32"/>
  <c r="O102" i="32" s="1"/>
  <c r="T102" i="32" s="1"/>
  <c r="A102" i="32"/>
  <c r="J101" i="32"/>
  <c r="O101" i="32" s="1"/>
  <c r="T101" i="32" s="1"/>
  <c r="A101" i="32"/>
  <c r="J100" i="32"/>
  <c r="A100" i="32"/>
  <c r="J99" i="32"/>
  <c r="O99" i="32" s="1"/>
  <c r="A99" i="32"/>
  <c r="G190" i="32"/>
  <c r="AJ77" i="32"/>
  <c r="G185" i="32" s="1"/>
  <c r="G188" i="32" s="1"/>
  <c r="AC77" i="32"/>
  <c r="AB77" i="32"/>
  <c r="AA77" i="32"/>
  <c r="F190" i="32" s="1"/>
  <c r="Z77" i="32"/>
  <c r="F185" i="32" s="1"/>
  <c r="F188" i="32" s="1"/>
  <c r="S77" i="32"/>
  <c r="R77" i="32"/>
  <c r="Q77" i="32"/>
  <c r="E190" i="32" s="1"/>
  <c r="P77" i="32"/>
  <c r="E185" i="32" s="1"/>
  <c r="E188" i="32" s="1"/>
  <c r="I77" i="32"/>
  <c r="H77" i="32"/>
  <c r="G77" i="32"/>
  <c r="D190" i="32" s="1"/>
  <c r="F77" i="32"/>
  <c r="D185" i="32" s="1"/>
  <c r="C77" i="32"/>
  <c r="A77" i="32"/>
  <c r="J76" i="32"/>
  <c r="M76" i="32" s="1"/>
  <c r="A76" i="32"/>
  <c r="J75" i="32"/>
  <c r="O75" i="32" s="1"/>
  <c r="T75" i="32" s="1"/>
  <c r="A75" i="32"/>
  <c r="J74" i="32"/>
  <c r="O74" i="32" s="1"/>
  <c r="T74" i="32" s="1"/>
  <c r="A74" i="32"/>
  <c r="J73" i="32"/>
  <c r="O73" i="32" s="1"/>
  <c r="T73" i="32" s="1"/>
  <c r="A73" i="32"/>
  <c r="J72" i="32"/>
  <c r="M72" i="32" s="1"/>
  <c r="A72" i="32"/>
  <c r="J71" i="32"/>
  <c r="O71" i="32" s="1"/>
  <c r="T71" i="32" s="1"/>
  <c r="A71" i="32"/>
  <c r="J70" i="32"/>
  <c r="O70" i="32" s="1"/>
  <c r="T70" i="32" s="1"/>
  <c r="A70" i="32"/>
  <c r="J69" i="32"/>
  <c r="O69" i="32" s="1"/>
  <c r="T69" i="32" s="1"/>
  <c r="A69" i="32"/>
  <c r="J68" i="32"/>
  <c r="O68" i="32" s="1"/>
  <c r="T68" i="32" s="1"/>
  <c r="A68" i="32"/>
  <c r="J67" i="32"/>
  <c r="M67" i="32" s="1"/>
  <c r="A67" i="32"/>
  <c r="J66" i="32"/>
  <c r="M66" i="32" s="1"/>
  <c r="A66" i="32"/>
  <c r="J65" i="32"/>
  <c r="O65" i="32" s="1"/>
  <c r="T65" i="32" s="1"/>
  <c r="A65" i="32"/>
  <c r="J64" i="32"/>
  <c r="M64" i="32" s="1"/>
  <c r="A64" i="32"/>
  <c r="J63" i="32"/>
  <c r="M63" i="32" s="1"/>
  <c r="A63" i="32"/>
  <c r="J62" i="32"/>
  <c r="M62" i="32" s="1"/>
  <c r="A62" i="32"/>
  <c r="AN58" i="32"/>
  <c r="AM58" i="32"/>
  <c r="AL58" i="32"/>
  <c r="AK58" i="32"/>
  <c r="AJ58" i="32"/>
  <c r="AI58" i="32"/>
  <c r="AH58" i="32"/>
  <c r="AG58" i="32"/>
  <c r="AD58" i="32"/>
  <c r="AC58" i="32"/>
  <c r="AB58" i="32"/>
  <c r="AA58" i="32"/>
  <c r="Z58" i="32"/>
  <c r="Y58" i="32"/>
  <c r="X58" i="32"/>
  <c r="W58" i="32"/>
  <c r="T58" i="32"/>
  <c r="S58" i="32"/>
  <c r="R58" i="32"/>
  <c r="Q58" i="32"/>
  <c r="P58" i="32"/>
  <c r="O58" i="32"/>
  <c r="N58" i="32"/>
  <c r="M58" i="32"/>
  <c r="J58" i="32"/>
  <c r="I58" i="32"/>
  <c r="H58" i="32"/>
  <c r="G58" i="32"/>
  <c r="F58" i="32"/>
  <c r="E58" i="32"/>
  <c r="D58" i="32"/>
  <c r="C58" i="32"/>
  <c r="BS62" i="32" l="1"/>
  <c r="AY62" i="32"/>
  <c r="AZ62" i="32" s="1"/>
  <c r="BI62" i="32"/>
  <c r="CC62" i="32"/>
  <c r="BX62" i="32"/>
  <c r="AT62" i="32"/>
  <c r="BN62" i="32"/>
  <c r="BD62" i="32"/>
  <c r="BD68" i="32"/>
  <c r="BX68" i="32"/>
  <c r="CB68" i="32" s="1"/>
  <c r="AT68" i="32"/>
  <c r="BN68" i="32"/>
  <c r="AY74" i="32"/>
  <c r="AZ74" i="32" s="1"/>
  <c r="BI74" i="32"/>
  <c r="CC74" i="32"/>
  <c r="BS74" i="32"/>
  <c r="BX74" i="32"/>
  <c r="AT74" i="32"/>
  <c r="BN74" i="32"/>
  <c r="BD74" i="32"/>
  <c r="BD100" i="32"/>
  <c r="BX100" i="32"/>
  <c r="AT100" i="32"/>
  <c r="AY100" i="32"/>
  <c r="AZ100" i="32" s="1"/>
  <c r="BJ100" i="32" s="1"/>
  <c r="BT100" i="32" s="1"/>
  <c r="CD100" i="32" s="1"/>
  <c r="BN100" i="32"/>
  <c r="BN106" i="32"/>
  <c r="AT106" i="32"/>
  <c r="AY106" i="32"/>
  <c r="AZ106" i="32" s="1"/>
  <c r="BJ106" i="32" s="1"/>
  <c r="BT106" i="32" s="1"/>
  <c r="CD106" i="32" s="1"/>
  <c r="BD106" i="32"/>
  <c r="BX106" i="32"/>
  <c r="BJ111" i="32"/>
  <c r="AZ118" i="32"/>
  <c r="BS63" i="32"/>
  <c r="CC63" i="32"/>
  <c r="AY63" i="32"/>
  <c r="AZ63" i="32" s="1"/>
  <c r="BI63" i="32"/>
  <c r="BN63" i="32"/>
  <c r="BD63" i="32"/>
  <c r="BX63" i="32"/>
  <c r="AT63" i="32"/>
  <c r="BD69" i="32"/>
  <c r="BX69" i="32"/>
  <c r="AT69" i="32"/>
  <c r="BN69" i="32"/>
  <c r="AY75" i="32"/>
  <c r="AZ75" i="32" s="1"/>
  <c r="BI75" i="32"/>
  <c r="BS75" i="32"/>
  <c r="CC75" i="32"/>
  <c r="BX75" i="32"/>
  <c r="BN75" i="32"/>
  <c r="AT75" i="32"/>
  <c r="BD75" i="32"/>
  <c r="BD101" i="32"/>
  <c r="BX101" i="32"/>
  <c r="AT101" i="32"/>
  <c r="BN101" i="32"/>
  <c r="AY101" i="32"/>
  <c r="AZ101" i="32" s="1"/>
  <c r="BJ101" i="32" s="1"/>
  <c r="BT101" i="32" s="1"/>
  <c r="CD101" i="32" s="1"/>
  <c r="BN107" i="32"/>
  <c r="AY107" i="32"/>
  <c r="AZ107" i="32" s="1"/>
  <c r="BJ107" i="32" s="1"/>
  <c r="BT107" i="32" s="1"/>
  <c r="CD107" i="32" s="1"/>
  <c r="BD107" i="32"/>
  <c r="BX107" i="32"/>
  <c r="AT107" i="32"/>
  <c r="BI64" i="32"/>
  <c r="CC64" i="32"/>
  <c r="BS64" i="32"/>
  <c r="AY64" i="32"/>
  <c r="AZ64" i="32" s="1"/>
  <c r="BN64" i="32"/>
  <c r="BD64" i="32"/>
  <c r="BX64" i="32"/>
  <c r="AT64" i="32"/>
  <c r="BD70" i="32"/>
  <c r="BX70" i="32"/>
  <c r="AT70" i="32"/>
  <c r="BN70" i="32"/>
  <c r="AY76" i="32"/>
  <c r="AZ76" i="32" s="1"/>
  <c r="BI76" i="32"/>
  <c r="BS76" i="32"/>
  <c r="CC76" i="32"/>
  <c r="BN76" i="32"/>
  <c r="BD76" i="32"/>
  <c r="BX76" i="32"/>
  <c r="AT76" i="32"/>
  <c r="BX102" i="32"/>
  <c r="AT102" i="32"/>
  <c r="BD102" i="32"/>
  <c r="BN102" i="32"/>
  <c r="AY102" i="32"/>
  <c r="AZ102" i="32" s="1"/>
  <c r="BJ102" i="32" s="1"/>
  <c r="BT102" i="32" s="1"/>
  <c r="CD102" i="32" s="1"/>
  <c r="BN108" i="32"/>
  <c r="AY108" i="32"/>
  <c r="AZ108" i="32" s="1"/>
  <c r="BJ108" i="32" s="1"/>
  <c r="BT108" i="32" s="1"/>
  <c r="CD108" i="32" s="1"/>
  <c r="BD108" i="32"/>
  <c r="BX108" i="32"/>
  <c r="AT108" i="32"/>
  <c r="BN65" i="32"/>
  <c r="BD65" i="32"/>
  <c r="BX65" i="32"/>
  <c r="AT65" i="32"/>
  <c r="AY71" i="32"/>
  <c r="AZ71" i="32" s="1"/>
  <c r="BS71" i="32"/>
  <c r="BI71" i="32"/>
  <c r="CC71" i="32"/>
  <c r="BX71" i="32"/>
  <c r="AT71" i="32"/>
  <c r="BD71" i="32"/>
  <c r="BN71" i="32"/>
  <c r="BX103" i="32"/>
  <c r="AT103" i="32"/>
  <c r="BN103" i="32"/>
  <c r="BD103" i="32"/>
  <c r="AY103" i="32"/>
  <c r="AZ103" i="32" s="1"/>
  <c r="BJ103" i="32" s="1"/>
  <c r="BT103" i="32" s="1"/>
  <c r="CD103" i="32" s="1"/>
  <c r="BN66" i="32"/>
  <c r="BD66" i="32"/>
  <c r="BX66" i="32"/>
  <c r="AT66" i="32"/>
  <c r="BS72" i="32"/>
  <c r="AY72" i="32"/>
  <c r="AZ72" i="32" s="1"/>
  <c r="BI72" i="32"/>
  <c r="CC72" i="32"/>
  <c r="BX72" i="32"/>
  <c r="AT72" i="32"/>
  <c r="BN72" i="32"/>
  <c r="BD72" i="32"/>
  <c r="BX104" i="32"/>
  <c r="AT104" i="32"/>
  <c r="BN104" i="32"/>
  <c r="BD104" i="32"/>
  <c r="AY104" i="32"/>
  <c r="CC67" i="32"/>
  <c r="BI67" i="32"/>
  <c r="AY67" i="32"/>
  <c r="AZ67" i="32" s="1"/>
  <c r="BS67" i="32"/>
  <c r="BD67" i="32"/>
  <c r="BN67" i="32"/>
  <c r="BX67" i="32"/>
  <c r="AT67" i="32"/>
  <c r="BI73" i="32"/>
  <c r="AY73" i="32"/>
  <c r="AZ73" i="32" s="1"/>
  <c r="BS73" i="32"/>
  <c r="CC73" i="32"/>
  <c r="BX73" i="32"/>
  <c r="AT73" i="32"/>
  <c r="BN73" i="32"/>
  <c r="BD73" i="32"/>
  <c r="BD99" i="32"/>
  <c r="BX99" i="32"/>
  <c r="AT99" i="32"/>
  <c r="AY99" i="32"/>
  <c r="AZ99" i="32" s="1"/>
  <c r="BN99" i="32"/>
  <c r="BX105" i="32"/>
  <c r="AT105" i="32"/>
  <c r="BN105" i="32"/>
  <c r="BD105" i="32"/>
  <c r="AY105" i="32"/>
  <c r="AZ105" i="32" s="1"/>
  <c r="BJ105" i="32" s="1"/>
  <c r="BT105" i="32" s="1"/>
  <c r="CD105" i="32" s="1"/>
  <c r="G193" i="32"/>
  <c r="AX114" i="32"/>
  <c r="D188" i="32"/>
  <c r="F193" i="32"/>
  <c r="D193" i="32"/>
  <c r="E193" i="32"/>
  <c r="H137" i="32"/>
  <c r="H144" i="32" s="1"/>
  <c r="AB137" i="32"/>
  <c r="AB144" i="32" s="1"/>
  <c r="M99" i="32"/>
  <c r="R9" i="33"/>
  <c r="G13" i="33"/>
  <c r="D19" i="33" s="1"/>
  <c r="F137" i="32"/>
  <c r="F144" i="32" s="1"/>
  <c r="Q137" i="32"/>
  <c r="Q144" i="32" s="1"/>
  <c r="AK137" i="32"/>
  <c r="AK144" i="32" s="1"/>
  <c r="R137" i="32"/>
  <c r="R144" i="32" s="1"/>
  <c r="AL137" i="32"/>
  <c r="AL144" i="32" s="1"/>
  <c r="Z137" i="32"/>
  <c r="Z144" i="32" s="1"/>
  <c r="M108" i="32"/>
  <c r="M114" i="32"/>
  <c r="C13" i="33"/>
  <c r="O67" i="32"/>
  <c r="T67" i="32" s="1"/>
  <c r="W67" i="32" s="1"/>
  <c r="D13" i="33"/>
  <c r="C137" i="32"/>
  <c r="C144" i="32" s="1"/>
  <c r="M112" i="32"/>
  <c r="M129" i="32"/>
  <c r="G137" i="32"/>
  <c r="G144" i="32" s="1"/>
  <c r="AA137" i="32"/>
  <c r="AA144" i="32" s="1"/>
  <c r="M75" i="32"/>
  <c r="P137" i="32"/>
  <c r="P144" i="32" s="1"/>
  <c r="AJ137" i="32"/>
  <c r="AJ144" i="32" s="1"/>
  <c r="W104" i="32"/>
  <c r="AP109" i="32"/>
  <c r="J118" i="32"/>
  <c r="M125" i="32"/>
  <c r="M113" i="32"/>
  <c r="M123" i="32"/>
  <c r="M130" i="32"/>
  <c r="M107" i="32"/>
  <c r="O113" i="32"/>
  <c r="T113" i="32" s="1"/>
  <c r="Y113" i="32" s="1"/>
  <c r="AD113" i="32" s="1"/>
  <c r="AG113" i="32" s="1"/>
  <c r="I137" i="32"/>
  <c r="I144" i="32" s="1"/>
  <c r="AC137" i="32"/>
  <c r="AC144" i="32" s="1"/>
  <c r="O124" i="32"/>
  <c r="T124" i="32" s="1"/>
  <c r="W124" i="32" s="1"/>
  <c r="J142" i="32"/>
  <c r="AM137" i="32"/>
  <c r="AM144" i="32" s="1"/>
  <c r="S137" i="32"/>
  <c r="S144" i="32" s="1"/>
  <c r="V137" i="32"/>
  <c r="V144" i="32" s="1"/>
  <c r="M71" i="32"/>
  <c r="L118" i="32"/>
  <c r="M134" i="32"/>
  <c r="M135" i="32" s="1"/>
  <c r="O63" i="32"/>
  <c r="T63" i="32" s="1"/>
  <c r="Y63" i="32" s="1"/>
  <c r="AD63" i="32" s="1"/>
  <c r="M116" i="32"/>
  <c r="M127" i="32"/>
  <c r="AF118" i="32"/>
  <c r="AQ114" i="32"/>
  <c r="J131" i="32"/>
  <c r="M103" i="32"/>
  <c r="AP118" i="32"/>
  <c r="M121" i="32"/>
  <c r="O134" i="32"/>
  <c r="O135" i="32" s="1"/>
  <c r="O139" i="32"/>
  <c r="T139" i="32" s="1"/>
  <c r="T142" i="32" s="1"/>
  <c r="M140" i="32"/>
  <c r="M65" i="32"/>
  <c r="M69" i="32"/>
  <c r="M73" i="32"/>
  <c r="M104" i="32"/>
  <c r="M105" i="32"/>
  <c r="O111" i="32"/>
  <c r="T111" i="32" s="1"/>
  <c r="Y111" i="32" s="1"/>
  <c r="O121" i="32"/>
  <c r="T121" i="32" s="1"/>
  <c r="W121" i="32" s="1"/>
  <c r="M126" i="32"/>
  <c r="AF142" i="32"/>
  <c r="AF109" i="32"/>
  <c r="AP142" i="32"/>
  <c r="Y65" i="32"/>
  <c r="AD65" i="32" s="1"/>
  <c r="W65" i="32"/>
  <c r="Y70" i="32"/>
  <c r="AD70" i="32" s="1"/>
  <c r="W70" i="32"/>
  <c r="Y68" i="32"/>
  <c r="AD68" i="32" s="1"/>
  <c r="W68" i="32"/>
  <c r="Y71" i="32"/>
  <c r="AD71" i="32" s="1"/>
  <c r="W71" i="32"/>
  <c r="Y73" i="32"/>
  <c r="AD73" i="32" s="1"/>
  <c r="W73" i="32"/>
  <c r="Y102" i="32"/>
  <c r="AD102" i="32" s="1"/>
  <c r="W102" i="32"/>
  <c r="Y74" i="32"/>
  <c r="AD74" i="32" s="1"/>
  <c r="W74" i="32"/>
  <c r="Y69" i="32"/>
  <c r="AD69" i="32" s="1"/>
  <c r="W69" i="32"/>
  <c r="Y75" i="32"/>
  <c r="AD75" i="32" s="1"/>
  <c r="W75" i="32"/>
  <c r="O62" i="32"/>
  <c r="T62" i="32" s="1"/>
  <c r="O64" i="32"/>
  <c r="T64" i="32" s="1"/>
  <c r="O66" i="32"/>
  <c r="T66" i="32" s="1"/>
  <c r="M68" i="32"/>
  <c r="M70" i="32"/>
  <c r="O72" i="32"/>
  <c r="T72" i="32" s="1"/>
  <c r="M74" i="32"/>
  <c r="O76" i="32"/>
  <c r="T76" i="32" s="1"/>
  <c r="Y103" i="32"/>
  <c r="AD103" i="32" s="1"/>
  <c r="W103" i="32"/>
  <c r="J77" i="32"/>
  <c r="T99" i="32"/>
  <c r="O100" i="32"/>
  <c r="T100" i="32" s="1"/>
  <c r="M100" i="32"/>
  <c r="Y104" i="32"/>
  <c r="AD104" i="32" s="1"/>
  <c r="Y106" i="32"/>
  <c r="AD106" i="32" s="1"/>
  <c r="W106" i="32"/>
  <c r="Y107" i="32"/>
  <c r="AD107" i="32" s="1"/>
  <c r="W107" i="32"/>
  <c r="Y101" i="32"/>
  <c r="AD101" i="32" s="1"/>
  <c r="W101" i="32"/>
  <c r="J109" i="32"/>
  <c r="L109" i="32"/>
  <c r="M101" i="32"/>
  <c r="Y105" i="32"/>
  <c r="AD105" i="32" s="1"/>
  <c r="W105" i="32"/>
  <c r="Y112" i="32"/>
  <c r="AD112" i="32" s="1"/>
  <c r="W112" i="32"/>
  <c r="O108" i="32"/>
  <c r="T108" i="32" s="1"/>
  <c r="AG114" i="32"/>
  <c r="M102" i="32"/>
  <c r="M106" i="32"/>
  <c r="M111" i="32"/>
  <c r="W114" i="32"/>
  <c r="Y116" i="32"/>
  <c r="AD116" i="32" s="1"/>
  <c r="W116" i="32"/>
  <c r="Y115" i="32"/>
  <c r="AD115" i="32" s="1"/>
  <c r="W115" i="32"/>
  <c r="M115" i="32"/>
  <c r="O117" i="32"/>
  <c r="T117" i="32" s="1"/>
  <c r="W122" i="32"/>
  <c r="Y122" i="32"/>
  <c r="AD122" i="32" s="1"/>
  <c r="W130" i="32"/>
  <c r="Y130" i="32"/>
  <c r="AD130" i="32" s="1"/>
  <c r="Y126" i="32"/>
  <c r="AD126" i="32" s="1"/>
  <c r="W126" i="32"/>
  <c r="Y127" i="32"/>
  <c r="AD127" i="32" s="1"/>
  <c r="W127" i="32"/>
  <c r="Y129" i="32"/>
  <c r="AD129" i="32" s="1"/>
  <c r="W129" i="32"/>
  <c r="Y128" i="32"/>
  <c r="AD128" i="32" s="1"/>
  <c r="W128" i="32"/>
  <c r="Y123" i="32"/>
  <c r="AD123" i="32" s="1"/>
  <c r="W123" i="32"/>
  <c r="Y125" i="32"/>
  <c r="AD125" i="32" s="1"/>
  <c r="W125" i="32"/>
  <c r="M122" i="32"/>
  <c r="L131" i="32"/>
  <c r="M128" i="32"/>
  <c r="AF131" i="32"/>
  <c r="AP131" i="32"/>
  <c r="AI140" i="32"/>
  <c r="AN140" i="32" s="1"/>
  <c r="AG140" i="32"/>
  <c r="Y141" i="32"/>
  <c r="AD141" i="32" s="1"/>
  <c r="W141" i="32"/>
  <c r="M139" i="32"/>
  <c r="W140" i="32"/>
  <c r="M141" i="32"/>
  <c r="BX77" i="32" l="1"/>
  <c r="BJ73" i="32"/>
  <c r="BJ64" i="32"/>
  <c r="BT64" i="32" s="1"/>
  <c r="CD64" i="32" s="1"/>
  <c r="BD109" i="32"/>
  <c r="E282" i="32" s="1"/>
  <c r="BJ72" i="32"/>
  <c r="BT72" i="32" s="1"/>
  <c r="CD72" i="32" s="1"/>
  <c r="BJ76" i="32"/>
  <c r="BT76" i="32" s="1"/>
  <c r="CD76" i="32" s="1"/>
  <c r="BJ63" i="32"/>
  <c r="BT63" i="32" s="1"/>
  <c r="CD63" i="32" s="1"/>
  <c r="BX109" i="32"/>
  <c r="G282" i="32" s="1"/>
  <c r="AT109" i="32"/>
  <c r="D282" i="32" s="1"/>
  <c r="BJ67" i="32"/>
  <c r="BT67" i="32" s="1"/>
  <c r="CD67" i="32" s="1"/>
  <c r="BJ71" i="32"/>
  <c r="BT71" i="32" s="1"/>
  <c r="CD71" i="32" s="1"/>
  <c r="BJ75" i="32"/>
  <c r="BT75" i="32" s="1"/>
  <c r="CD75" i="32" s="1"/>
  <c r="BJ74" i="32"/>
  <c r="BT74" i="32" s="1"/>
  <c r="CD74" i="32" s="1"/>
  <c r="BD77" i="32"/>
  <c r="BT111" i="32"/>
  <c r="BJ118" i="32"/>
  <c r="BN77" i="32"/>
  <c r="AY109" i="32"/>
  <c r="AZ104" i="32"/>
  <c r="BJ104" i="32" s="1"/>
  <c r="BT104" i="32" s="1"/>
  <c r="CD104" i="32" s="1"/>
  <c r="AT77" i="32"/>
  <c r="BT73" i="32"/>
  <c r="CD73" i="32" s="1"/>
  <c r="BN109" i="32"/>
  <c r="F282" i="32" s="1"/>
  <c r="BJ99" i="32"/>
  <c r="BJ62" i="32"/>
  <c r="BT62" i="32" s="1"/>
  <c r="CD62" i="32" s="1"/>
  <c r="BC114" i="32"/>
  <c r="BH114" i="32" s="1"/>
  <c r="BA114" i="32"/>
  <c r="AQ140" i="32"/>
  <c r="AS140" i="32"/>
  <c r="O109" i="32"/>
  <c r="Y124" i="32"/>
  <c r="AD124" i="32" s="1"/>
  <c r="AI124" i="32" s="1"/>
  <c r="AN124" i="32" s="1"/>
  <c r="AS124" i="32" s="1"/>
  <c r="AX124" i="32" s="1"/>
  <c r="W63" i="32"/>
  <c r="Y121" i="32"/>
  <c r="S13" i="33"/>
  <c r="D18" i="33"/>
  <c r="T13" i="33"/>
  <c r="C18" i="33"/>
  <c r="R13" i="33"/>
  <c r="B18" i="33"/>
  <c r="Y67" i="32"/>
  <c r="AD67" i="32" s="1"/>
  <c r="AI67" i="32" s="1"/>
  <c r="AN67" i="32" s="1"/>
  <c r="AS67" i="32" s="1"/>
  <c r="W111" i="32"/>
  <c r="T134" i="32"/>
  <c r="W134" i="32" s="1"/>
  <c r="W135" i="32" s="1"/>
  <c r="J137" i="32"/>
  <c r="J144" i="32" s="1"/>
  <c r="W139" i="32"/>
  <c r="W142" i="32" s="1"/>
  <c r="W113" i="32"/>
  <c r="O142" i="32"/>
  <c r="L137" i="32"/>
  <c r="L144" i="32" s="1"/>
  <c r="AI113" i="32"/>
  <c r="AN113" i="32" s="1"/>
  <c r="M131" i="32"/>
  <c r="T131" i="32"/>
  <c r="O131" i="32"/>
  <c r="Y139" i="32"/>
  <c r="AD139" i="32" s="1"/>
  <c r="M77" i="32"/>
  <c r="M109" i="32"/>
  <c r="AI128" i="32"/>
  <c r="AN128" i="32" s="1"/>
  <c r="AS128" i="32" s="1"/>
  <c r="AX128" i="32" s="1"/>
  <c r="AG128" i="32"/>
  <c r="Y117" i="32"/>
  <c r="AD117" i="32" s="1"/>
  <c r="W117" i="32"/>
  <c r="AI116" i="32"/>
  <c r="AN116" i="32" s="1"/>
  <c r="AG116" i="32"/>
  <c r="AI105" i="32"/>
  <c r="AN105" i="32" s="1"/>
  <c r="AS105" i="32" s="1"/>
  <c r="AX105" i="32" s="1"/>
  <c r="AG105" i="32"/>
  <c r="M142" i="32"/>
  <c r="AI123" i="32"/>
  <c r="AN123" i="32" s="1"/>
  <c r="AS123" i="32" s="1"/>
  <c r="AX123" i="32" s="1"/>
  <c r="AG123" i="32"/>
  <c r="AI122" i="32"/>
  <c r="AN122" i="32" s="1"/>
  <c r="AS122" i="32" s="1"/>
  <c r="AX122" i="32" s="1"/>
  <c r="AG122" i="32"/>
  <c r="O118" i="32"/>
  <c r="M118" i="32"/>
  <c r="W108" i="32"/>
  <c r="Y108" i="32"/>
  <c r="AD108" i="32" s="1"/>
  <c r="AD111" i="32"/>
  <c r="AG104" i="32"/>
  <c r="AI104" i="32"/>
  <c r="AN104" i="32" s="1"/>
  <c r="AS104" i="32" s="1"/>
  <c r="AX104" i="32" s="1"/>
  <c r="W99" i="32"/>
  <c r="T109" i="32"/>
  <c r="Y99" i="32"/>
  <c r="Y76" i="32"/>
  <c r="AD76" i="32" s="1"/>
  <c r="W76" i="32"/>
  <c r="O77" i="32"/>
  <c r="AI69" i="32"/>
  <c r="AN69" i="32" s="1"/>
  <c r="AS69" i="32" s="1"/>
  <c r="AG69" i="32"/>
  <c r="AI65" i="32"/>
  <c r="AN65" i="32" s="1"/>
  <c r="AS65" i="32" s="1"/>
  <c r="AG65" i="32"/>
  <c r="AI126" i="32"/>
  <c r="AN126" i="32" s="1"/>
  <c r="AS126" i="32" s="1"/>
  <c r="AG126" i="32"/>
  <c r="T118" i="32"/>
  <c r="AI106" i="32"/>
  <c r="AN106" i="32" s="1"/>
  <c r="AS106" i="32" s="1"/>
  <c r="AX106" i="32" s="1"/>
  <c r="AG106" i="32"/>
  <c r="AI103" i="32"/>
  <c r="AN103" i="32" s="1"/>
  <c r="AS103" i="32" s="1"/>
  <c r="AX103" i="32" s="1"/>
  <c r="AG103" i="32"/>
  <c r="Y72" i="32"/>
  <c r="AD72" i="32" s="1"/>
  <c r="W72" i="32"/>
  <c r="Y64" i="32"/>
  <c r="AD64" i="32" s="1"/>
  <c r="W64" i="32"/>
  <c r="AI74" i="32"/>
  <c r="AN74" i="32" s="1"/>
  <c r="AS74" i="32" s="1"/>
  <c r="AG74" i="32"/>
  <c r="AI102" i="32"/>
  <c r="AN102" i="32" s="1"/>
  <c r="AS102" i="32" s="1"/>
  <c r="AX102" i="32" s="1"/>
  <c r="AG102" i="32"/>
  <c r="AG71" i="32"/>
  <c r="AI71" i="32"/>
  <c r="AN71" i="32" s="1"/>
  <c r="AS71" i="32" s="1"/>
  <c r="AI107" i="32"/>
  <c r="AN107" i="32" s="1"/>
  <c r="AS107" i="32" s="1"/>
  <c r="AX107" i="32" s="1"/>
  <c r="AG107" i="32"/>
  <c r="Y100" i="32"/>
  <c r="AD100" i="32" s="1"/>
  <c r="W100" i="32"/>
  <c r="Y66" i="32"/>
  <c r="AD66" i="32" s="1"/>
  <c r="W66" i="32"/>
  <c r="AG75" i="32"/>
  <c r="AI75" i="32"/>
  <c r="AN75" i="32" s="1"/>
  <c r="AS75" i="32" s="1"/>
  <c r="AI70" i="32"/>
  <c r="AN70" i="32" s="1"/>
  <c r="AS70" i="32" s="1"/>
  <c r="AG70" i="32"/>
  <c r="AG63" i="32"/>
  <c r="AI63" i="32"/>
  <c r="AN63" i="32" s="1"/>
  <c r="AS63" i="32" s="1"/>
  <c r="AI129" i="32"/>
  <c r="AN129" i="32" s="1"/>
  <c r="AS129" i="32" s="1"/>
  <c r="AX129" i="32" s="1"/>
  <c r="AG129" i="32"/>
  <c r="AI125" i="32"/>
  <c r="AN125" i="32" s="1"/>
  <c r="AS125" i="32" s="1"/>
  <c r="AX125" i="32" s="1"/>
  <c r="AG125" i="32"/>
  <c r="AG130" i="32"/>
  <c r="AI130" i="32"/>
  <c r="AN130" i="32" s="1"/>
  <c r="AS130" i="32" s="1"/>
  <c r="AX130" i="32" s="1"/>
  <c r="AG112" i="32"/>
  <c r="AI112" i="32"/>
  <c r="AN112" i="32" s="1"/>
  <c r="AI141" i="32"/>
  <c r="AN141" i="32" s="1"/>
  <c r="AG141" i="32"/>
  <c r="W131" i="32"/>
  <c r="AI127" i="32"/>
  <c r="AN127" i="32" s="1"/>
  <c r="AS127" i="32" s="1"/>
  <c r="AX127" i="32" s="1"/>
  <c r="AG127" i="32"/>
  <c r="AI115" i="32"/>
  <c r="AN115" i="32" s="1"/>
  <c r="AG115" i="32"/>
  <c r="AI101" i="32"/>
  <c r="AN101" i="32" s="1"/>
  <c r="AS101" i="32" s="1"/>
  <c r="AG101" i="32"/>
  <c r="AI73" i="32"/>
  <c r="AN73" i="32" s="1"/>
  <c r="AS73" i="32" s="1"/>
  <c r="AG73" i="32"/>
  <c r="AI68" i="32"/>
  <c r="AN68" i="32" s="1"/>
  <c r="AS68" i="32" s="1"/>
  <c r="AG68" i="32"/>
  <c r="O163" i="18"/>
  <c r="O129" i="18"/>
  <c r="O79" i="18"/>
  <c r="O78" i="18"/>
  <c r="O77" i="18"/>
  <c r="O76" i="18"/>
  <c r="O75" i="18"/>
  <c r="O74" i="18"/>
  <c r="O73" i="18"/>
  <c r="O62" i="18"/>
  <c r="O61" i="18"/>
  <c r="O60" i="18"/>
  <c r="O59" i="18"/>
  <c r="O58" i="18"/>
  <c r="O57" i="18"/>
  <c r="O29" i="18"/>
  <c r="O28" i="18"/>
  <c r="O27" i="18"/>
  <c r="O26" i="18"/>
  <c r="O25" i="18"/>
  <c r="O24" i="18"/>
  <c r="O23" i="18"/>
  <c r="AX126" i="32" l="1"/>
  <c r="D266" i="23"/>
  <c r="AZ109" i="32"/>
  <c r="BT99" i="32"/>
  <c r="BJ109" i="32"/>
  <c r="BT118" i="32"/>
  <c r="CD111" i="32"/>
  <c r="CD118" i="32" s="1"/>
  <c r="AX74" i="32"/>
  <c r="AX67" i="32"/>
  <c r="AX73" i="32"/>
  <c r="AX65" i="32"/>
  <c r="BC65" i="32" s="1"/>
  <c r="BH65" i="32" s="1"/>
  <c r="AX70" i="32"/>
  <c r="BC70" i="32" s="1"/>
  <c r="BH70" i="32" s="1"/>
  <c r="AX68" i="32"/>
  <c r="BC68" i="32" s="1"/>
  <c r="BH68" i="32" s="1"/>
  <c r="AX75" i="32"/>
  <c r="AX71" i="32"/>
  <c r="AX69" i="32"/>
  <c r="BC69" i="32" s="1"/>
  <c r="BH69" i="32" s="1"/>
  <c r="BC130" i="32"/>
  <c r="BH130" i="32" s="1"/>
  <c r="BA130" i="32"/>
  <c r="AX101" i="32"/>
  <c r="BC125" i="32"/>
  <c r="BH125" i="32" s="1"/>
  <c r="BA125" i="32"/>
  <c r="AQ115" i="32"/>
  <c r="AS115" i="32"/>
  <c r="AX115" i="32" s="1"/>
  <c r="BC128" i="32"/>
  <c r="BH128" i="32" s="1"/>
  <c r="BA128" i="32"/>
  <c r="BC124" i="32"/>
  <c r="BH124" i="32" s="1"/>
  <c r="BA124" i="32"/>
  <c r="BC129" i="32"/>
  <c r="BH129" i="32" s="1"/>
  <c r="BA129" i="32"/>
  <c r="BC107" i="32"/>
  <c r="BH107" i="32" s="1"/>
  <c r="BA107" i="32"/>
  <c r="BC103" i="32"/>
  <c r="BH103" i="32" s="1"/>
  <c r="BA103" i="32"/>
  <c r="BC122" i="32"/>
  <c r="BH122" i="32" s="1"/>
  <c r="BA122" i="32"/>
  <c r="AQ116" i="32"/>
  <c r="AS116" i="32"/>
  <c r="AX116" i="32" s="1"/>
  <c r="BC127" i="32"/>
  <c r="BH127" i="32" s="1"/>
  <c r="BA127" i="32"/>
  <c r="BA106" i="32"/>
  <c r="BC106" i="32"/>
  <c r="BH106" i="32" s="1"/>
  <c r="BC123" i="32"/>
  <c r="BH123" i="32" s="1"/>
  <c r="BA123" i="32"/>
  <c r="AX140" i="32"/>
  <c r="AQ141" i="32"/>
  <c r="AS141" i="32"/>
  <c r="AX141" i="32" s="1"/>
  <c r="BC102" i="32"/>
  <c r="BH102" i="32" s="1"/>
  <c r="BA102" i="32"/>
  <c r="BC104" i="32"/>
  <c r="BH104" i="32" s="1"/>
  <c r="BA104" i="32"/>
  <c r="AQ112" i="32"/>
  <c r="AS112" i="32"/>
  <c r="AX112" i="32" s="1"/>
  <c r="BC126" i="32"/>
  <c r="BH126" i="32" s="1"/>
  <c r="BA126" i="32"/>
  <c r="BC105" i="32"/>
  <c r="BH105" i="32" s="1"/>
  <c r="BA105" i="32"/>
  <c r="BM114" i="32"/>
  <c r="BR114" i="32" s="1"/>
  <c r="BK114" i="32"/>
  <c r="AQ113" i="32"/>
  <c r="AS113" i="32"/>
  <c r="AX113" i="32" s="1"/>
  <c r="AQ127" i="32"/>
  <c r="AQ125" i="32"/>
  <c r="AQ126" i="32"/>
  <c r="AQ129" i="32"/>
  <c r="AQ102" i="32"/>
  <c r="AQ103" i="32"/>
  <c r="AQ104" i="32"/>
  <c r="AQ122" i="32"/>
  <c r="AQ101" i="32"/>
  <c r="AQ106" i="32"/>
  <c r="AQ123" i="32"/>
  <c r="AQ105" i="32"/>
  <c r="AQ130" i="32"/>
  <c r="AQ128" i="32"/>
  <c r="AQ124" i="32"/>
  <c r="AQ107" i="32"/>
  <c r="AQ71" i="32"/>
  <c r="AQ68" i="32"/>
  <c r="AQ65" i="32"/>
  <c r="AQ69" i="32"/>
  <c r="AQ75" i="32"/>
  <c r="AQ67" i="32"/>
  <c r="AQ70" i="32"/>
  <c r="AQ74" i="32"/>
  <c r="AQ73" i="32"/>
  <c r="AG124" i="32"/>
  <c r="Y131" i="32"/>
  <c r="AD121" i="32"/>
  <c r="AI121" i="32" s="1"/>
  <c r="Y134" i="32"/>
  <c r="AD134" i="32" s="1"/>
  <c r="W118" i="32"/>
  <c r="T135" i="32"/>
  <c r="AG67" i="32"/>
  <c r="O137" i="32"/>
  <c r="O144" i="32" s="1"/>
  <c r="Y142" i="32"/>
  <c r="M137" i="32"/>
  <c r="M144" i="32" s="1"/>
  <c r="Y118" i="32"/>
  <c r="AI66" i="32"/>
  <c r="AN66" i="32" s="1"/>
  <c r="AS66" i="32" s="1"/>
  <c r="AG66" i="32"/>
  <c r="AI76" i="32"/>
  <c r="AN76" i="32" s="1"/>
  <c r="AS76" i="32" s="1"/>
  <c r="AG76" i="32"/>
  <c r="AG108" i="32"/>
  <c r="AI108" i="32"/>
  <c r="AN108" i="32" s="1"/>
  <c r="AS108" i="32" s="1"/>
  <c r="AX108" i="32" s="1"/>
  <c r="AG139" i="32"/>
  <c r="AG142" i="32" s="1"/>
  <c r="AD142" i="32"/>
  <c r="AI139" i="32"/>
  <c r="AI72" i="32"/>
  <c r="AN72" i="32" s="1"/>
  <c r="AS72" i="32" s="1"/>
  <c r="AG72" i="32"/>
  <c r="Y109" i="32"/>
  <c r="AD99" i="32"/>
  <c r="Y62" i="32"/>
  <c r="W62" i="32"/>
  <c r="W77" i="32" s="1"/>
  <c r="T77" i="32"/>
  <c r="AD118" i="32"/>
  <c r="AI111" i="32"/>
  <c r="AG111" i="32"/>
  <c r="AI117" i="32"/>
  <c r="AN117" i="32" s="1"/>
  <c r="AG117" i="32"/>
  <c r="AI100" i="32"/>
  <c r="AN100" i="32" s="1"/>
  <c r="AS100" i="32" s="1"/>
  <c r="AX100" i="32" s="1"/>
  <c r="AG100" i="32"/>
  <c r="AI64" i="32"/>
  <c r="AN64" i="32" s="1"/>
  <c r="AS64" i="32" s="1"/>
  <c r="AG64" i="32"/>
  <c r="W109" i="32"/>
  <c r="C37" i="26"/>
  <c r="BT109" i="32" l="1"/>
  <c r="CD99" i="32"/>
  <c r="CD109" i="32" s="1"/>
  <c r="BA71" i="32"/>
  <c r="BC71" i="32"/>
  <c r="BH71" i="32" s="1"/>
  <c r="BM71" i="32" s="1"/>
  <c r="BR71" i="32" s="1"/>
  <c r="BA75" i="32"/>
  <c r="BC75" i="32"/>
  <c r="BH75" i="32" s="1"/>
  <c r="BM75" i="32" s="1"/>
  <c r="BR75" i="32" s="1"/>
  <c r="BC73" i="32"/>
  <c r="BH73" i="32" s="1"/>
  <c r="BM73" i="32" s="1"/>
  <c r="BR73" i="32" s="1"/>
  <c r="BA73" i="32"/>
  <c r="BA67" i="32"/>
  <c r="BC67" i="32"/>
  <c r="BH67" i="32" s="1"/>
  <c r="BM67" i="32" s="1"/>
  <c r="BR67" i="32" s="1"/>
  <c r="BC74" i="32"/>
  <c r="BH74" i="32" s="1"/>
  <c r="BM74" i="32" s="1"/>
  <c r="BR74" i="32" s="1"/>
  <c r="BA74" i="32"/>
  <c r="AX66" i="32"/>
  <c r="BC66" i="32" s="1"/>
  <c r="BH66" i="32" s="1"/>
  <c r="AX63" i="32"/>
  <c r="AX76" i="32"/>
  <c r="AX72" i="32"/>
  <c r="BU114" i="32"/>
  <c r="BW114" i="32"/>
  <c r="CB114" i="32" s="1"/>
  <c r="CE114" i="32" s="1"/>
  <c r="BM104" i="32"/>
  <c r="BR104" i="32" s="1"/>
  <c r="BK104" i="32"/>
  <c r="BM122" i="32"/>
  <c r="BR122" i="32" s="1"/>
  <c r="BK122" i="32"/>
  <c r="BM128" i="32"/>
  <c r="BR128" i="32" s="1"/>
  <c r="BK128" i="32"/>
  <c r="BA115" i="32"/>
  <c r="BC115" i="32"/>
  <c r="BH115" i="32" s="1"/>
  <c r="BM103" i="32"/>
  <c r="BR103" i="32" s="1"/>
  <c r="BK103" i="32"/>
  <c r="BM106" i="32"/>
  <c r="BR106" i="32" s="1"/>
  <c r="BK106" i="32"/>
  <c r="AX64" i="32"/>
  <c r="BM126" i="32"/>
  <c r="BR126" i="32" s="1"/>
  <c r="BK126" i="32"/>
  <c r="BM70" i="32"/>
  <c r="BR70" i="32" s="1"/>
  <c r="BM107" i="32"/>
  <c r="BR107" i="32" s="1"/>
  <c r="BK107" i="32"/>
  <c r="BM125" i="32"/>
  <c r="BR125" i="32" s="1"/>
  <c r="BK125" i="32"/>
  <c r="BM123" i="32"/>
  <c r="BR123" i="32" s="1"/>
  <c r="BK123" i="32"/>
  <c r="BC141" i="32"/>
  <c r="BH141" i="32" s="1"/>
  <c r="BA141" i="32"/>
  <c r="BK102" i="32"/>
  <c r="BM102" i="32"/>
  <c r="BR102" i="32" s="1"/>
  <c r="BM129" i="32"/>
  <c r="BR129" i="32" s="1"/>
  <c r="BK129" i="32"/>
  <c r="BM69" i="32"/>
  <c r="BR69" i="32" s="1"/>
  <c r="BC113" i="32"/>
  <c r="BH113" i="32" s="1"/>
  <c r="BA113" i="32"/>
  <c r="BC112" i="32"/>
  <c r="BH112" i="32" s="1"/>
  <c r="BA112" i="32"/>
  <c r="BC101" i="32"/>
  <c r="BH101" i="32" s="1"/>
  <c r="BA101" i="32"/>
  <c r="AQ117" i="32"/>
  <c r="AS117" i="32"/>
  <c r="AX117" i="32" s="1"/>
  <c r="BM65" i="32"/>
  <c r="BR65" i="32" s="1"/>
  <c r="BM127" i="32"/>
  <c r="BR127" i="32" s="1"/>
  <c r="BK127" i="32"/>
  <c r="BM105" i="32"/>
  <c r="BR105" i="32" s="1"/>
  <c r="BK105" i="32"/>
  <c r="BA100" i="32"/>
  <c r="BC100" i="32"/>
  <c r="BH100" i="32" s="1"/>
  <c r="BC140" i="32"/>
  <c r="BH140" i="32" s="1"/>
  <c r="BA140" i="32"/>
  <c r="BA116" i="32"/>
  <c r="BC116" i="32"/>
  <c r="BH116" i="32" s="1"/>
  <c r="BC108" i="32"/>
  <c r="BH108" i="32" s="1"/>
  <c r="BA108" i="32"/>
  <c r="BM68" i="32"/>
  <c r="BR68" i="32" s="1"/>
  <c r="BM124" i="32"/>
  <c r="BR124" i="32" s="1"/>
  <c r="BK124" i="32"/>
  <c r="BM130" i="32"/>
  <c r="BR130" i="32" s="1"/>
  <c r="BK130" i="32"/>
  <c r="AQ100" i="32"/>
  <c r="AQ108" i="32"/>
  <c r="AQ64" i="32"/>
  <c r="AQ66" i="32"/>
  <c r="AQ63" i="32"/>
  <c r="AQ76" i="32"/>
  <c r="AQ72" i="32"/>
  <c r="AD131" i="32"/>
  <c r="AG121" i="32"/>
  <c r="AG131" i="32" s="1"/>
  <c r="Y135" i="32"/>
  <c r="I9" i="26"/>
  <c r="M9" i="26"/>
  <c r="K9" i="26"/>
  <c r="AG118" i="32"/>
  <c r="W137" i="32"/>
  <c r="W144" i="32" s="1"/>
  <c r="AP137" i="32"/>
  <c r="AP144" i="32" s="1"/>
  <c r="T137" i="32"/>
  <c r="T144" i="32" s="1"/>
  <c r="AI134" i="32"/>
  <c r="AD135" i="32"/>
  <c r="AG134" i="32"/>
  <c r="AG135" i="32" s="1"/>
  <c r="AI99" i="32"/>
  <c r="AG99" i="32"/>
  <c r="AG109" i="32" s="1"/>
  <c r="AD109" i="32"/>
  <c r="AI131" i="32"/>
  <c r="AN121" i="32"/>
  <c r="AI118" i="32"/>
  <c r="AN111" i="32"/>
  <c r="AS111" i="32" s="1"/>
  <c r="Y77" i="32"/>
  <c r="AD62" i="32"/>
  <c r="AG62" i="32" s="1"/>
  <c r="AG77" i="32" s="1"/>
  <c r="AN139" i="32"/>
  <c r="AS139" i="32" s="1"/>
  <c r="AI142" i="32"/>
  <c r="H55" i="27" l="1"/>
  <c r="I55" i="27"/>
  <c r="BK71" i="32"/>
  <c r="BK74" i="32"/>
  <c r="BK73" i="32"/>
  <c r="BK67" i="32"/>
  <c r="BK75" i="32"/>
  <c r="BC63" i="32"/>
  <c r="BH63" i="32" s="1"/>
  <c r="BM63" i="32" s="1"/>
  <c r="BR63" i="32" s="1"/>
  <c r="BA63" i="32"/>
  <c r="BA72" i="32"/>
  <c r="BC72" i="32"/>
  <c r="BH72" i="32" s="1"/>
  <c r="BM72" i="32" s="1"/>
  <c r="BR72" i="32" s="1"/>
  <c r="BC76" i="32"/>
  <c r="BH76" i="32" s="1"/>
  <c r="BM76" i="32" s="1"/>
  <c r="BR76" i="32" s="1"/>
  <c r="BA76" i="32"/>
  <c r="BW69" i="32"/>
  <c r="CB69" i="32" s="1"/>
  <c r="C240" i="32" s="1"/>
  <c r="BW75" i="32"/>
  <c r="CB75" i="32" s="1"/>
  <c r="BU75" i="32"/>
  <c r="BM115" i="32"/>
  <c r="BR115" i="32" s="1"/>
  <c r="BK115" i="32"/>
  <c r="BM66" i="32"/>
  <c r="BR66" i="32" s="1"/>
  <c r="BW128" i="32"/>
  <c r="CB128" i="32" s="1"/>
  <c r="BU128" i="32"/>
  <c r="BA117" i="32"/>
  <c r="BC117" i="32"/>
  <c r="BH117" i="32" s="1"/>
  <c r="AX139" i="32"/>
  <c r="AS142" i="32"/>
  <c r="BC64" i="32"/>
  <c r="BH64" i="32" s="1"/>
  <c r="BA64" i="32"/>
  <c r="BW130" i="32"/>
  <c r="CB130" i="32" s="1"/>
  <c r="BU130" i="32"/>
  <c r="BW129" i="32"/>
  <c r="CB129" i="32" s="1"/>
  <c r="BU129" i="32"/>
  <c r="BW124" i="32"/>
  <c r="CB124" i="32" s="1"/>
  <c r="BU124" i="32"/>
  <c r="BW125" i="32"/>
  <c r="CB125" i="32" s="1"/>
  <c r="BU125" i="32"/>
  <c r="BW106" i="32"/>
  <c r="CB106" i="32" s="1"/>
  <c r="BU106" i="32"/>
  <c r="BW122" i="32"/>
  <c r="CB122" i="32" s="1"/>
  <c r="BU122" i="32"/>
  <c r="BM101" i="32"/>
  <c r="BR101" i="32" s="1"/>
  <c r="BK101" i="32"/>
  <c r="BW102" i="32"/>
  <c r="CB102" i="32" s="1"/>
  <c r="BU102" i="32"/>
  <c r="BW107" i="32"/>
  <c r="CB107" i="32" s="1"/>
  <c r="BU107" i="32"/>
  <c r="BW67" i="32"/>
  <c r="CB67" i="32" s="1"/>
  <c r="BU67" i="32"/>
  <c r="BW65" i="32"/>
  <c r="CB65" i="32" s="1"/>
  <c r="BW105" i="32"/>
  <c r="CB105" i="32" s="1"/>
  <c r="BU105" i="32"/>
  <c r="BW74" i="32"/>
  <c r="CB74" i="32" s="1"/>
  <c r="BU74" i="32"/>
  <c r="AX111" i="32"/>
  <c r="AS118" i="32"/>
  <c r="BM100" i="32"/>
  <c r="BR100" i="32" s="1"/>
  <c r="BK100" i="32"/>
  <c r="BW73" i="32"/>
  <c r="CB73" i="32" s="1"/>
  <c r="BU73" i="32"/>
  <c r="BK112" i="32"/>
  <c r="BM112" i="32"/>
  <c r="BR112" i="32" s="1"/>
  <c r="BW71" i="32"/>
  <c r="CB71" i="32" s="1"/>
  <c r="BU71" i="32"/>
  <c r="BW70" i="32"/>
  <c r="CB70" i="32" s="1"/>
  <c r="C241" i="32" s="1"/>
  <c r="BW104" i="32"/>
  <c r="CB104" i="32" s="1"/>
  <c r="BU104" i="32"/>
  <c r="BK140" i="32"/>
  <c r="BM140" i="32"/>
  <c r="BR140" i="32" s="1"/>
  <c r="BM108" i="32"/>
  <c r="BR108" i="32" s="1"/>
  <c r="BK108" i="32"/>
  <c r="BW123" i="32"/>
  <c r="CB123" i="32" s="1"/>
  <c r="BU123" i="32"/>
  <c r="AS121" i="32"/>
  <c r="BW68" i="32"/>
  <c r="C239" i="32" s="1"/>
  <c r="BM116" i="32"/>
  <c r="BR116" i="32" s="1"/>
  <c r="BK116" i="32"/>
  <c r="BW127" i="32"/>
  <c r="CB127" i="32" s="1"/>
  <c r="BU127" i="32"/>
  <c r="BK113" i="32"/>
  <c r="BM113" i="32"/>
  <c r="BR113" i="32" s="1"/>
  <c r="BK141" i="32"/>
  <c r="BM141" i="32"/>
  <c r="BR141" i="32" s="1"/>
  <c r="BW126" i="32"/>
  <c r="CB126" i="32" s="1"/>
  <c r="BU126" i="32"/>
  <c r="BW103" i="32"/>
  <c r="CB103" i="32" s="1"/>
  <c r="C272" i="32" s="1"/>
  <c r="BU103" i="32"/>
  <c r="C40" i="26"/>
  <c r="D40" i="26" s="1"/>
  <c r="E40" i="26" s="1"/>
  <c r="F40" i="26" s="1"/>
  <c r="G40" i="26" s="1"/>
  <c r="H40" i="26" s="1"/>
  <c r="I40" i="26" s="1"/>
  <c r="J40" i="26" s="1"/>
  <c r="AF137" i="32"/>
  <c r="AF144" i="32" s="1"/>
  <c r="Y137" i="32"/>
  <c r="Y144" i="32" s="1"/>
  <c r="AD77" i="32"/>
  <c r="AI62" i="32"/>
  <c r="AN62" i="32" s="1"/>
  <c r="AS62" i="32" s="1"/>
  <c r="AN131" i="32"/>
  <c r="AQ121" i="32"/>
  <c r="AN118" i="32"/>
  <c r="AQ111" i="32"/>
  <c r="AQ118" i="32" s="1"/>
  <c r="AQ139" i="32"/>
  <c r="AQ142" i="32" s="1"/>
  <c r="AN142" i="32"/>
  <c r="AI109" i="32"/>
  <c r="AN99" i="32"/>
  <c r="AS99" i="32" s="1"/>
  <c r="AI135" i="32"/>
  <c r="AN134" i="32"/>
  <c r="AS134" i="32" s="1"/>
  <c r="CE74" i="32" l="1"/>
  <c r="D245" i="32" s="1"/>
  <c r="C245" i="32"/>
  <c r="CE75" i="32"/>
  <c r="D246" i="32" s="1"/>
  <c r="C246" i="32"/>
  <c r="CE105" i="32"/>
  <c r="D274" i="32" s="1"/>
  <c r="C274" i="32"/>
  <c r="CE71" i="32"/>
  <c r="D242" i="32" s="1"/>
  <c r="C242" i="32"/>
  <c r="CE67" i="32"/>
  <c r="D238" i="32" s="1"/>
  <c r="C238" i="32"/>
  <c r="CE125" i="32"/>
  <c r="D256" i="32" s="1"/>
  <c r="C256" i="32"/>
  <c r="CE103" i="32"/>
  <c r="D272" i="32" s="1"/>
  <c r="CE73" i="32"/>
  <c r="D244" i="32" s="1"/>
  <c r="C244" i="32"/>
  <c r="CE107" i="32"/>
  <c r="D276" i="32" s="1"/>
  <c r="C276" i="32"/>
  <c r="CE124" i="32"/>
  <c r="D255" i="32" s="1"/>
  <c r="C255" i="32"/>
  <c r="CE106" i="32"/>
  <c r="D275" i="32" s="1"/>
  <c r="C275" i="32"/>
  <c r="CE102" i="32"/>
  <c r="D271" i="32" s="1"/>
  <c r="C271" i="32"/>
  <c r="CE129" i="32"/>
  <c r="D260" i="32" s="1"/>
  <c r="C260" i="32"/>
  <c r="CE126" i="32"/>
  <c r="D257" i="32" s="1"/>
  <c r="C257" i="32"/>
  <c r="CE104" i="32"/>
  <c r="D273" i="32" s="1"/>
  <c r="C273" i="32"/>
  <c r="CE130" i="32"/>
  <c r="D261" i="32" s="1"/>
  <c r="C261" i="32"/>
  <c r="CE127" i="32"/>
  <c r="D258" i="32" s="1"/>
  <c r="C258" i="32"/>
  <c r="CE128" i="32"/>
  <c r="D259" i="32" s="1"/>
  <c r="C259" i="32"/>
  <c r="CE123" i="32"/>
  <c r="D254" i="32" s="1"/>
  <c r="C254" i="32"/>
  <c r="CE122" i="32"/>
  <c r="D253" i="32" s="1"/>
  <c r="C253" i="32"/>
  <c r="BK76" i="32"/>
  <c r="BK63" i="32"/>
  <c r="BK72" i="32"/>
  <c r="BU112" i="32"/>
  <c r="BW112" i="32"/>
  <c r="CB112" i="32" s="1"/>
  <c r="CE112" i="32" s="1"/>
  <c r="BW108" i="32"/>
  <c r="CB108" i="32" s="1"/>
  <c r="BU108" i="32"/>
  <c r="BW66" i="32"/>
  <c r="CB66" i="32" s="1"/>
  <c r="C237" i="32" s="1"/>
  <c r="BU140" i="32"/>
  <c r="BW140" i="32"/>
  <c r="CB140" i="32" s="1"/>
  <c r="CE140" i="32" s="1"/>
  <c r="BK64" i="32"/>
  <c r="BM64" i="32"/>
  <c r="BR64" i="32" s="1"/>
  <c r="AS135" i="32"/>
  <c r="AX134" i="32"/>
  <c r="BW101" i="32"/>
  <c r="CB101" i="32" s="1"/>
  <c r="BU101" i="32"/>
  <c r="BU115" i="32"/>
  <c r="BW115" i="32"/>
  <c r="CB115" i="32" s="1"/>
  <c r="CE115" i="32" s="1"/>
  <c r="BW63" i="32"/>
  <c r="CB63" i="32" s="1"/>
  <c r="BU63" i="32"/>
  <c r="BA139" i="32"/>
  <c r="BA142" i="32" s="1"/>
  <c r="BC139" i="32"/>
  <c r="AX142" i="32"/>
  <c r="BU141" i="32"/>
  <c r="BW141" i="32"/>
  <c r="CB141" i="32" s="1"/>
  <c r="CE141" i="32" s="1"/>
  <c r="BU113" i="32"/>
  <c r="BW113" i="32"/>
  <c r="CB113" i="32" s="1"/>
  <c r="CE113" i="32" s="1"/>
  <c r="AX99" i="32"/>
  <c r="AS109" i="32"/>
  <c r="C284" i="32" s="1"/>
  <c r="BU116" i="32"/>
  <c r="BW116" i="32"/>
  <c r="CB116" i="32" s="1"/>
  <c r="CE116" i="32" s="1"/>
  <c r="BW100" i="32"/>
  <c r="CB100" i="32" s="1"/>
  <c r="BU100" i="32"/>
  <c r="AS131" i="32"/>
  <c r="D175" i="32" s="1"/>
  <c r="AX121" i="32"/>
  <c r="BW76" i="32"/>
  <c r="CB76" i="32" s="1"/>
  <c r="BU76" i="32"/>
  <c r="BC111" i="32"/>
  <c r="BA111" i="32"/>
  <c r="BA118" i="32" s="1"/>
  <c r="AX118" i="32"/>
  <c r="BW72" i="32"/>
  <c r="CB72" i="32" s="1"/>
  <c r="BU72" i="32"/>
  <c r="BK117" i="32"/>
  <c r="BM117" i="32"/>
  <c r="BR117" i="32" s="1"/>
  <c r="AQ131" i="32"/>
  <c r="D180" i="32" s="1"/>
  <c r="AN109" i="32"/>
  <c r="AG137" i="32"/>
  <c r="AG144" i="32" s="1"/>
  <c r="AD137" i="32"/>
  <c r="AD144" i="32" s="1"/>
  <c r="AQ99" i="32"/>
  <c r="AQ134" i="32"/>
  <c r="AQ135" i="32" s="1"/>
  <c r="AN135" i="32"/>
  <c r="AI77" i="32"/>
  <c r="CE100" i="32" l="1"/>
  <c r="D269" i="32" s="1"/>
  <c r="C269" i="32"/>
  <c r="CE72" i="32"/>
  <c r="D243" i="32" s="1"/>
  <c r="C243" i="32"/>
  <c r="CE76" i="32"/>
  <c r="D247" i="32" s="1"/>
  <c r="C247" i="32"/>
  <c r="CE108" i="32"/>
  <c r="D277" i="32" s="1"/>
  <c r="C277" i="32"/>
  <c r="CE101" i="32"/>
  <c r="D270" i="32" s="1"/>
  <c r="C270" i="32"/>
  <c r="CE63" i="32"/>
  <c r="D234" i="32" s="1"/>
  <c r="C234" i="32"/>
  <c r="BH111" i="32"/>
  <c r="BC118" i="32"/>
  <c r="BH139" i="32"/>
  <c r="BC142" i="32"/>
  <c r="BW117" i="32"/>
  <c r="CB117" i="32" s="1"/>
  <c r="CE117" i="32" s="1"/>
  <c r="BU117" i="32"/>
  <c r="BW64" i="32"/>
  <c r="CB64" i="32" s="1"/>
  <c r="BU64" i="32"/>
  <c r="AX131" i="32"/>
  <c r="E175" i="32" s="1"/>
  <c r="BC121" i="32"/>
  <c r="BA121" i="32"/>
  <c r="BA131" i="32" s="1"/>
  <c r="E180" i="32" s="1"/>
  <c r="BA99" i="32"/>
  <c r="BA109" i="32" s="1"/>
  <c r="D285" i="32" s="1"/>
  <c r="BC99" i="32"/>
  <c r="AX109" i="32"/>
  <c r="D284" i="32" s="1"/>
  <c r="AX135" i="32"/>
  <c r="BA134" i="32"/>
  <c r="BA135" i="32" s="1"/>
  <c r="BC134" i="32"/>
  <c r="AQ109" i="32"/>
  <c r="C285" i="32" s="1"/>
  <c r="AI137" i="32"/>
  <c r="AI144" i="32" s="1"/>
  <c r="AN77" i="32"/>
  <c r="AQ62" i="32"/>
  <c r="CE64" i="32" l="1"/>
  <c r="D235" i="32" s="1"/>
  <c r="C235" i="32"/>
  <c r="BH121" i="32"/>
  <c r="BC131" i="32"/>
  <c r="BM139" i="32"/>
  <c r="BH142" i="32"/>
  <c r="BK139" i="32"/>
  <c r="BK142" i="32" s="1"/>
  <c r="AX62" i="32"/>
  <c r="AS77" i="32"/>
  <c r="BH134" i="32"/>
  <c r="BC135" i="32"/>
  <c r="BH99" i="32"/>
  <c r="BC109" i="32"/>
  <c r="BM111" i="32"/>
  <c r="BK111" i="32"/>
  <c r="BK118" i="32" s="1"/>
  <c r="BH118" i="32"/>
  <c r="AQ77" i="32"/>
  <c r="D178" i="32" s="1"/>
  <c r="D181" i="32" s="1"/>
  <c r="AN137" i="32"/>
  <c r="AN144" i="32" s="1"/>
  <c r="AS137" i="32" l="1"/>
  <c r="AS144" i="32" s="1"/>
  <c r="D173" i="32"/>
  <c r="D176" i="32" s="1"/>
  <c r="BM118" i="32"/>
  <c r="BR111" i="32"/>
  <c r="BM134" i="32"/>
  <c r="BH135" i="32"/>
  <c r="BK134" i="32"/>
  <c r="BK135" i="32" s="1"/>
  <c r="BM99" i="32"/>
  <c r="BK99" i="32"/>
  <c r="BK109" i="32" s="1"/>
  <c r="E285" i="32" s="1"/>
  <c r="BH109" i="32"/>
  <c r="E284" i="32" s="1"/>
  <c r="BM142" i="32"/>
  <c r="BR139" i="32"/>
  <c r="BC62" i="32"/>
  <c r="BA62" i="32"/>
  <c r="AX77" i="32"/>
  <c r="E173" i="32" s="1"/>
  <c r="E176" i="32" s="1"/>
  <c r="BM121" i="32"/>
  <c r="BH131" i="32"/>
  <c r="F175" i="32" s="1"/>
  <c r="BK121" i="32"/>
  <c r="BK131" i="32" s="1"/>
  <c r="F180" i="32" s="1"/>
  <c r="AQ137" i="32"/>
  <c r="AQ144" i="32" s="1"/>
  <c r="AX137" i="32" l="1"/>
  <c r="AX144" i="32" s="1"/>
  <c r="S67" i="44"/>
  <c r="BW139" i="32"/>
  <c r="BR142" i="32"/>
  <c r="BU139" i="32"/>
  <c r="BU142" i="32" s="1"/>
  <c r="BM109" i="32"/>
  <c r="BR99" i="32"/>
  <c r="BR134" i="32"/>
  <c r="BM135" i="32"/>
  <c r="BH62" i="32"/>
  <c r="BC77" i="32"/>
  <c r="BC137" i="32" s="1"/>
  <c r="BC144" i="32" s="1"/>
  <c r="BR121" i="32"/>
  <c r="BM131" i="32"/>
  <c r="BW111" i="32"/>
  <c r="BU111" i="32"/>
  <c r="BU118" i="32" s="1"/>
  <c r="BR118" i="32"/>
  <c r="E46" i="29"/>
  <c r="I57" i="44" l="1"/>
  <c r="W67" i="44"/>
  <c r="S79" i="44"/>
  <c r="S77" i="44"/>
  <c r="S75" i="44"/>
  <c r="S74" i="44"/>
  <c r="S73" i="44"/>
  <c r="AY69" i="32" s="1"/>
  <c r="S76" i="44"/>
  <c r="S72" i="44"/>
  <c r="S78" i="44"/>
  <c r="AY66" i="32" s="1"/>
  <c r="BW99" i="32"/>
  <c r="BU99" i="32"/>
  <c r="BU109" i="32" s="1"/>
  <c r="F285" i="32" s="1"/>
  <c r="BR109" i="32"/>
  <c r="F284" i="32" s="1"/>
  <c r="BW118" i="32"/>
  <c r="CB111" i="32"/>
  <c r="CE111" i="32" s="1"/>
  <c r="CE118" i="32" s="1"/>
  <c r="BW121" i="32"/>
  <c r="BR131" i="32"/>
  <c r="G175" i="32" s="1"/>
  <c r="BU121" i="32"/>
  <c r="BU131" i="32" s="1"/>
  <c r="G180" i="32" s="1"/>
  <c r="BM62" i="32"/>
  <c r="BH77" i="32"/>
  <c r="F173" i="32" s="1"/>
  <c r="F176" i="32" s="1"/>
  <c r="BK62" i="32"/>
  <c r="BW134" i="32"/>
  <c r="BR135" i="32"/>
  <c r="BU134" i="32"/>
  <c r="BU135" i="32" s="1"/>
  <c r="CB139" i="32"/>
  <c r="BW142" i="32"/>
  <c r="AY68" i="32" l="1"/>
  <c r="AZ68" i="32" s="1"/>
  <c r="AY70" i="32"/>
  <c r="AZ70" i="32" s="1"/>
  <c r="BA70" i="32" s="1"/>
  <c r="AY65" i="32"/>
  <c r="AZ65" i="32" s="1"/>
  <c r="BA65" i="32" s="1"/>
  <c r="S71" i="44"/>
  <c r="BH137" i="32"/>
  <c r="BH144" i="32" s="1"/>
  <c r="T67" i="44"/>
  <c r="J56" i="44" s="1"/>
  <c r="AZ69" i="32"/>
  <c r="AZ66" i="32"/>
  <c r="W77" i="44"/>
  <c r="W75" i="44"/>
  <c r="W79" i="44"/>
  <c r="W72" i="44"/>
  <c r="AY86" i="32" s="1"/>
  <c r="W73" i="44"/>
  <c r="W74" i="44"/>
  <c r="W76" i="44"/>
  <c r="AY88" i="32" s="1"/>
  <c r="W78" i="44"/>
  <c r="AY84" i="32" s="1"/>
  <c r="CB118" i="32"/>
  <c r="CB121" i="32"/>
  <c r="C252" i="32" s="1"/>
  <c r="C262" i="32" s="1"/>
  <c r="BW131" i="32"/>
  <c r="CE139" i="32"/>
  <c r="CE142" i="32" s="1"/>
  <c r="CB142" i="32"/>
  <c r="BM77" i="32"/>
  <c r="BM137" i="32" s="1"/>
  <c r="BM144" i="32" s="1"/>
  <c r="BR62" i="32"/>
  <c r="CB134" i="32"/>
  <c r="BW135" i="32"/>
  <c r="CB99" i="32"/>
  <c r="C268" i="32" s="1"/>
  <c r="C278" i="32" s="1"/>
  <c r="BW109" i="32"/>
  <c r="AY87" i="32" l="1"/>
  <c r="AZ87" i="32" s="1"/>
  <c r="AY83" i="32"/>
  <c r="AZ83" i="32" s="1"/>
  <c r="BA83" i="32" s="1"/>
  <c r="AZ88" i="32"/>
  <c r="BA88" i="32" s="1"/>
  <c r="J57" i="44"/>
  <c r="BA69" i="32"/>
  <c r="AZ77" i="32"/>
  <c r="AZ137" i="32" s="1"/>
  <c r="AZ144" i="32" s="1"/>
  <c r="BA68" i="32"/>
  <c r="BA66" i="32"/>
  <c r="AZ84" i="32"/>
  <c r="W71" i="44"/>
  <c r="AZ86" i="32"/>
  <c r="AY77" i="32"/>
  <c r="X67" i="44"/>
  <c r="T77" i="44"/>
  <c r="T79" i="44"/>
  <c r="T75" i="44"/>
  <c r="T72" i="44"/>
  <c r="T73" i="44"/>
  <c r="T78" i="44"/>
  <c r="T76" i="44"/>
  <c r="T74" i="44"/>
  <c r="CB109" i="32"/>
  <c r="C15" i="32" s="1"/>
  <c r="CE99" i="32"/>
  <c r="CE134" i="32"/>
  <c r="CE135" i="32" s="1"/>
  <c r="CB135" i="32"/>
  <c r="CB131" i="32"/>
  <c r="CE121" i="32"/>
  <c r="BW62" i="32"/>
  <c r="BU62" i="32"/>
  <c r="BR77" i="32"/>
  <c r="G173" i="32" s="1"/>
  <c r="G176" i="32" s="1"/>
  <c r="G284" i="32" l="1"/>
  <c r="CE109" i="32"/>
  <c r="D268" i="32"/>
  <c r="D278" i="32" s="1"/>
  <c r="C17" i="32"/>
  <c r="D17" i="32" s="1"/>
  <c r="E17" i="32" s="1"/>
  <c r="H175" i="32"/>
  <c r="CE131" i="32"/>
  <c r="D252" i="32"/>
  <c r="D262" i="32" s="1"/>
  <c r="C40" i="23"/>
  <c r="C273" i="23" s="1"/>
  <c r="BI70" i="32"/>
  <c r="BJ70" i="32" s="1"/>
  <c r="BK70" i="32" s="1"/>
  <c r="BI68" i="32"/>
  <c r="BI66" i="32"/>
  <c r="BJ66" i="32" s="1"/>
  <c r="BK66" i="32" s="1"/>
  <c r="BI69" i="32"/>
  <c r="BJ69" i="32" s="1"/>
  <c r="BK69" i="32" s="1"/>
  <c r="BI65" i="32"/>
  <c r="BJ65" i="32" s="1"/>
  <c r="BK65" i="32" s="1"/>
  <c r="D15" i="32"/>
  <c r="E15" i="32" s="1"/>
  <c r="C164" i="23"/>
  <c r="AY95" i="32"/>
  <c r="BA77" i="32"/>
  <c r="X79" i="44"/>
  <c r="X75" i="44"/>
  <c r="X77" i="44"/>
  <c r="X72" i="44"/>
  <c r="X78" i="44"/>
  <c r="X76" i="44"/>
  <c r="X74" i="44"/>
  <c r="X73" i="44"/>
  <c r="BA84" i="32"/>
  <c r="T71" i="44"/>
  <c r="BA87" i="32"/>
  <c r="BR137" i="32"/>
  <c r="BR144" i="32" s="1"/>
  <c r="U67" i="44"/>
  <c r="K56" i="44" s="1"/>
  <c r="BA86" i="32"/>
  <c r="AZ95" i="32"/>
  <c r="CB62" i="32"/>
  <c r="C233" i="32" s="1"/>
  <c r="BW77" i="32"/>
  <c r="BW137" i="32" s="1"/>
  <c r="BW144" i="32" s="1"/>
  <c r="BA137" i="32" l="1"/>
  <c r="BA144" i="32" s="1"/>
  <c r="E178" i="32"/>
  <c r="C16" i="32"/>
  <c r="D16" i="32" s="1"/>
  <c r="G285" i="32"/>
  <c r="C18" i="32"/>
  <c r="C42" i="23" s="1"/>
  <c r="D38" i="23" s="1"/>
  <c r="H180" i="32"/>
  <c r="BI87" i="32"/>
  <c r="BJ87" i="32" s="1"/>
  <c r="BK87" i="32" s="1"/>
  <c r="BI86" i="32"/>
  <c r="BI88" i="32"/>
  <c r="BJ88" i="32" s="1"/>
  <c r="BK88" i="32" s="1"/>
  <c r="BI84" i="32"/>
  <c r="BJ84" i="32" s="1"/>
  <c r="BK84" i="32" s="1"/>
  <c r="BI83" i="32"/>
  <c r="BJ83" i="32" s="1"/>
  <c r="BK83" i="32" s="1"/>
  <c r="C177" i="23"/>
  <c r="K57" i="44"/>
  <c r="BA95" i="32"/>
  <c r="E179" i="32" s="1"/>
  <c r="BI77" i="32"/>
  <c r="BJ68" i="32"/>
  <c r="Y67" i="44"/>
  <c r="U75" i="44"/>
  <c r="U77" i="44"/>
  <c r="U79" i="44"/>
  <c r="U74" i="44"/>
  <c r="U78" i="44"/>
  <c r="U72" i="44"/>
  <c r="U73" i="44"/>
  <c r="BS69" i="32" s="1"/>
  <c r="U76" i="44"/>
  <c r="X71" i="44"/>
  <c r="CE62" i="32"/>
  <c r="D233" i="32" s="1"/>
  <c r="CB77" i="32"/>
  <c r="E16" i="32" l="1"/>
  <c r="C166" i="23"/>
  <c r="C165" i="23" s="1"/>
  <c r="E181" i="32"/>
  <c r="C41" i="23"/>
  <c r="D18" i="32"/>
  <c r="E18" i="32" s="1"/>
  <c r="BS68" i="32"/>
  <c r="BS66" i="32"/>
  <c r="BT66" i="32" s="1"/>
  <c r="BU66" i="32" s="1"/>
  <c r="BS70" i="32"/>
  <c r="BT70" i="32" s="1"/>
  <c r="BU70" i="32" s="1"/>
  <c r="BS65" i="32"/>
  <c r="BT65" i="32" s="1"/>
  <c r="BU65" i="32" s="1"/>
  <c r="BT69" i="32"/>
  <c r="BU69" i="32" s="1"/>
  <c r="BI95" i="32"/>
  <c r="BJ86" i="32"/>
  <c r="BK68" i="32"/>
  <c r="BK77" i="32" s="1"/>
  <c r="BJ77" i="32"/>
  <c r="BJ137" i="32" s="1"/>
  <c r="BJ144" i="32" s="1"/>
  <c r="CB137" i="32"/>
  <c r="CB144" i="32" s="1"/>
  <c r="V67" i="44"/>
  <c r="L56" i="44" s="1"/>
  <c r="BA55" i="32" s="1"/>
  <c r="U71" i="44"/>
  <c r="Y75" i="44"/>
  <c r="Y79" i="44"/>
  <c r="Y77" i="44"/>
  <c r="Y76" i="44"/>
  <c r="BS88" i="32" s="1"/>
  <c r="Y72" i="44"/>
  <c r="Y74" i="44"/>
  <c r="Y73" i="44"/>
  <c r="BS87" i="32" s="1"/>
  <c r="Y78" i="44"/>
  <c r="E84" i="27"/>
  <c r="F84" i="27"/>
  <c r="G84" i="27"/>
  <c r="H84" i="27"/>
  <c r="C11" i="32" l="1"/>
  <c r="BK137" i="32"/>
  <c r="BK144" i="32" s="1"/>
  <c r="F178" i="32"/>
  <c r="BS86" i="32"/>
  <c r="BS84" i="32"/>
  <c r="BT84" i="32" s="1"/>
  <c r="BU84" i="32" s="1"/>
  <c r="BS83" i="32"/>
  <c r="BT83" i="32" s="1"/>
  <c r="BU83" i="32" s="1"/>
  <c r="BS77" i="32"/>
  <c r="L57" i="44"/>
  <c r="CB146" i="32" s="1"/>
  <c r="C13" i="32" s="1"/>
  <c r="BT88" i="32"/>
  <c r="BU88" i="32" s="1"/>
  <c r="BT87" i="32"/>
  <c r="BK86" i="32"/>
  <c r="BK95" i="32" s="1"/>
  <c r="F179" i="32" s="1"/>
  <c r="BJ95" i="32"/>
  <c r="Y71" i="44"/>
  <c r="Z67" i="44"/>
  <c r="V77" i="44"/>
  <c r="V79" i="44"/>
  <c r="V75" i="44"/>
  <c r="V74" i="44"/>
  <c r="V72" i="44"/>
  <c r="V73" i="44"/>
  <c r="V78" i="44"/>
  <c r="V76" i="44"/>
  <c r="CC70" i="32" s="1"/>
  <c r="BT68" i="32"/>
  <c r="H112" i="23"/>
  <c r="G112" i="23"/>
  <c r="F112" i="23"/>
  <c r="E112" i="23"/>
  <c r="D112" i="23"/>
  <c r="H100" i="23"/>
  <c r="G100" i="23"/>
  <c r="F100" i="23"/>
  <c r="E100" i="23"/>
  <c r="D100" i="23"/>
  <c r="H87" i="23"/>
  <c r="G87" i="23"/>
  <c r="F87" i="23"/>
  <c r="E87" i="23"/>
  <c r="D87" i="23"/>
  <c r="C87" i="23"/>
  <c r="H73" i="23"/>
  <c r="G73" i="23"/>
  <c r="F73" i="23"/>
  <c r="E73" i="23"/>
  <c r="D73" i="23"/>
  <c r="C73" i="23"/>
  <c r="C236" i="32" l="1"/>
  <c r="C248" i="32" s="1"/>
  <c r="C9" i="23"/>
  <c r="D19" i="27" s="1"/>
  <c r="H173" i="32"/>
  <c r="H176" i="32" s="1"/>
  <c r="F181" i="32"/>
  <c r="CC65" i="32"/>
  <c r="CD65" i="32" s="1"/>
  <c r="CE65" i="32" s="1"/>
  <c r="D236" i="32" s="1"/>
  <c r="CC66" i="32"/>
  <c r="CC69" i="32"/>
  <c r="CD69" i="32" s="1"/>
  <c r="CE69" i="32" s="1"/>
  <c r="D240" i="32" s="1"/>
  <c r="CC68" i="32"/>
  <c r="CD68" i="32" s="1"/>
  <c r="D13" i="32"/>
  <c r="E13" i="32" s="1"/>
  <c r="C19" i="23"/>
  <c r="C63" i="23" s="1"/>
  <c r="CD70" i="32"/>
  <c r="CE70" i="32" s="1"/>
  <c r="D241" i="32" s="1"/>
  <c r="BS95" i="32"/>
  <c r="BT86" i="32"/>
  <c r="BU86" i="32" s="1"/>
  <c r="BU68" i="32"/>
  <c r="BU77" i="32" s="1"/>
  <c r="BT77" i="32"/>
  <c r="BT137" i="32" s="1"/>
  <c r="BT144" i="32" s="1"/>
  <c r="V71" i="44"/>
  <c r="Z79" i="44"/>
  <c r="Z75" i="44"/>
  <c r="Z77" i="44"/>
  <c r="Z76" i="44"/>
  <c r="CC88" i="32" s="1"/>
  <c r="Z74" i="44"/>
  <c r="Z73" i="44"/>
  <c r="Z78" i="44"/>
  <c r="Z72" i="44"/>
  <c r="BU87" i="32"/>
  <c r="D95" i="13"/>
  <c r="F7" i="32" l="1"/>
  <c r="D11" i="32"/>
  <c r="E11" i="32" s="1"/>
  <c r="BU137" i="32"/>
  <c r="BU144" i="32" s="1"/>
  <c r="G178" i="32"/>
  <c r="CC83" i="32"/>
  <c r="CD83" i="32" s="1"/>
  <c r="CE83" i="32" s="1"/>
  <c r="F236" i="32" s="1"/>
  <c r="CC84" i="32"/>
  <c r="CD84" i="32" s="1"/>
  <c r="CE84" i="32" s="1"/>
  <c r="F237" i="32" s="1"/>
  <c r="CC86" i="32"/>
  <c r="CC87" i="32"/>
  <c r="CD87" i="32" s="1"/>
  <c r="CE87" i="32" s="1"/>
  <c r="F240" i="32" s="1"/>
  <c r="BT95" i="32"/>
  <c r="CC77" i="32"/>
  <c r="CD66" i="32"/>
  <c r="CE66" i="32" s="1"/>
  <c r="D237" i="32" s="1"/>
  <c r="CD88" i="32"/>
  <c r="CE88" i="32" s="1"/>
  <c r="F241" i="32" s="1"/>
  <c r="BU95" i="32"/>
  <c r="G179" i="32" s="1"/>
  <c r="Z71" i="44"/>
  <c r="E85" i="13"/>
  <c r="D85" i="13"/>
  <c r="E56" i="13"/>
  <c r="D56" i="13"/>
  <c r="F66" i="13"/>
  <c r="F65" i="13"/>
  <c r="F64" i="13"/>
  <c r="F63" i="13"/>
  <c r="F62" i="13"/>
  <c r="F61" i="13"/>
  <c r="F60" i="13"/>
  <c r="F59" i="13"/>
  <c r="F58" i="13"/>
  <c r="F57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7" i="13"/>
  <c r="F88" i="13"/>
  <c r="F89" i="13"/>
  <c r="F90" i="13"/>
  <c r="F91" i="13"/>
  <c r="F92" i="13"/>
  <c r="F93" i="13"/>
  <c r="F96" i="13"/>
  <c r="F97" i="13"/>
  <c r="F98" i="13"/>
  <c r="F100" i="13"/>
  <c r="G181" i="32" l="1"/>
  <c r="CC95" i="32"/>
  <c r="CD86" i="32"/>
  <c r="CE68" i="32"/>
  <c r="CD77" i="32"/>
  <c r="CD137" i="32" s="1"/>
  <c r="CD144" i="32" s="1"/>
  <c r="F85" i="13"/>
  <c r="F99" i="13"/>
  <c r="CE77" i="32" l="1"/>
  <c r="H178" i="32" s="1"/>
  <c r="D239" i="32"/>
  <c r="D248" i="32" s="1"/>
  <c r="CE86" i="32"/>
  <c r="CD95" i="32"/>
  <c r="F43" i="13"/>
  <c r="C12" i="32" l="1"/>
  <c r="C10" i="23" s="1"/>
  <c r="C11" i="23" s="1"/>
  <c r="CE137" i="32"/>
  <c r="CE144" i="32" s="1"/>
  <c r="CE95" i="32"/>
  <c r="F239" i="32"/>
  <c r="F248" i="32" s="1"/>
  <c r="D12" i="32" l="1"/>
  <c r="E12" i="32" s="1"/>
  <c r="C14" i="32"/>
  <c r="C20" i="23" s="1"/>
  <c r="H179" i="32"/>
  <c r="H181" i="32" s="1"/>
  <c r="F29" i="26"/>
  <c r="D29" i="26"/>
  <c r="D14" i="32" l="1"/>
  <c r="C22" i="23"/>
  <c r="S22" i="29"/>
  <c r="E14" i="32" l="1"/>
  <c r="F8" i="32"/>
  <c r="K12" i="26"/>
  <c r="L12" i="26"/>
  <c r="O164" i="18" l="1"/>
  <c r="O162" i="18" s="1"/>
  <c r="O135" i="18"/>
  <c r="O134" i="18"/>
  <c r="O80" i="18"/>
  <c r="H81" i="27" l="1"/>
  <c r="H93" i="27" l="1"/>
  <c r="G81" i="27"/>
  <c r="G93" i="27" l="1"/>
  <c r="D93" i="27" s="1"/>
  <c r="E10" i="24" l="1"/>
  <c r="E9" i="24"/>
  <c r="C145" i="23" l="1"/>
  <c r="D145" i="23"/>
  <c r="E145" i="23"/>
  <c r="F145" i="23"/>
  <c r="G145" i="23"/>
  <c r="H145" i="23"/>
  <c r="F24" i="29" l="1"/>
  <c r="D24" i="29" s="1"/>
  <c r="G23" i="29"/>
  <c r="D23" i="29"/>
  <c r="E23" i="29" s="1"/>
  <c r="F22" i="29"/>
  <c r="D22" i="29" s="1"/>
  <c r="J21" i="29"/>
  <c r="G21" i="29"/>
  <c r="M18" i="29"/>
  <c r="H18" i="29"/>
  <c r="G18" i="29"/>
  <c r="F18" i="29"/>
  <c r="E18" i="29"/>
  <c r="D18" i="29"/>
  <c r="C18" i="29"/>
  <c r="N17" i="29"/>
  <c r="J24" i="29" s="1"/>
  <c r="I17" i="29"/>
  <c r="N16" i="29"/>
  <c r="J23" i="29" s="1"/>
  <c r="I16" i="29"/>
  <c r="N15" i="29"/>
  <c r="J22" i="29" s="1"/>
  <c r="I15" i="29"/>
  <c r="J15" i="29" s="1"/>
  <c r="K15" i="29" l="1"/>
  <c r="J17" i="29"/>
  <c r="K17" i="29" s="1"/>
  <c r="I24" i="29" s="1"/>
  <c r="J16" i="29"/>
  <c r="K16" i="29" s="1"/>
  <c r="I23" i="29" s="1"/>
  <c r="G22" i="29"/>
  <c r="I18" i="29"/>
  <c r="H23" i="29"/>
  <c r="E24" i="29"/>
  <c r="J25" i="29"/>
  <c r="D25" i="29"/>
  <c r="G24" i="29"/>
  <c r="F25" i="29"/>
  <c r="N18" i="29"/>
  <c r="E22" i="29"/>
  <c r="K23" i="29" l="1"/>
  <c r="J18" i="29"/>
  <c r="E25" i="29"/>
  <c r="H24" i="29"/>
  <c r="K24" i="29" s="1"/>
  <c r="G25" i="29"/>
  <c r="H22" i="29"/>
  <c r="H25" i="29" l="1"/>
  <c r="R22" i="29" l="1"/>
  <c r="R26" i="29" s="1"/>
  <c r="Q22" i="29"/>
  <c r="D14" i="24" l="1"/>
  <c r="D13" i="24"/>
  <c r="H7" i="26" l="1"/>
  <c r="J7" i="26" s="1"/>
  <c r="L7" i="26" s="1"/>
  <c r="N7" i="26" s="1"/>
  <c r="G7" i="26"/>
  <c r="I7" i="26" s="1"/>
  <c r="K7" i="26" s="1"/>
  <c r="M7" i="26" s="1"/>
  <c r="E58" i="27" l="1"/>
  <c r="E67" i="27" l="1"/>
  <c r="E33" i="27"/>
  <c r="E26" i="27"/>
  <c r="D26" i="27"/>
  <c r="E18" i="27"/>
  <c r="D18" i="27"/>
  <c r="I8" i="27"/>
  <c r="H8" i="27"/>
  <c r="G8" i="27"/>
  <c r="F8" i="27"/>
  <c r="I7" i="27"/>
  <c r="H7" i="27"/>
  <c r="G7" i="27"/>
  <c r="F7" i="27"/>
  <c r="F6" i="27"/>
  <c r="F41" i="27" l="1"/>
  <c r="F49" i="27"/>
  <c r="F58" i="27"/>
  <c r="F67" i="27"/>
  <c r="G6" i="27"/>
  <c r="F26" i="27"/>
  <c r="F18" i="27"/>
  <c r="F33" i="27"/>
  <c r="G41" i="27" l="1"/>
  <c r="G49" i="27"/>
  <c r="G58" i="27"/>
  <c r="G67" i="27"/>
  <c r="G33" i="27"/>
  <c r="G18" i="27"/>
  <c r="H6" i="27"/>
  <c r="G26" i="27"/>
  <c r="H49" i="27" l="1"/>
  <c r="H41" i="27"/>
  <c r="H58" i="27"/>
  <c r="H33" i="27"/>
  <c r="H26" i="27"/>
  <c r="H18" i="27"/>
  <c r="H67" i="27"/>
  <c r="I6" i="27"/>
  <c r="I49" i="27" l="1"/>
  <c r="I41" i="27"/>
  <c r="I58" i="27"/>
  <c r="I33" i="27"/>
  <c r="I67" i="27"/>
  <c r="I26" i="27"/>
  <c r="I18" i="27"/>
  <c r="H271" i="23" l="1"/>
  <c r="G271" i="23"/>
  <c r="F271" i="23"/>
  <c r="E271" i="23"/>
  <c r="D271" i="23"/>
  <c r="C271" i="23"/>
  <c r="H255" i="23"/>
  <c r="G255" i="23"/>
  <c r="F255" i="23"/>
  <c r="E255" i="23"/>
  <c r="D255" i="23"/>
  <c r="C255" i="23"/>
  <c r="N29" i="26" l="1"/>
  <c r="M29" i="26"/>
  <c r="L29" i="26"/>
  <c r="K29" i="26"/>
  <c r="J29" i="26"/>
  <c r="I29" i="26"/>
  <c r="H29" i="26"/>
  <c r="G29" i="26"/>
  <c r="E29" i="26"/>
  <c r="C29" i="26"/>
  <c r="E80" i="24" l="1"/>
  <c r="F80" i="24" s="1"/>
  <c r="G80" i="24" s="1"/>
  <c r="H80" i="24" s="1"/>
  <c r="H243" i="23" l="1"/>
  <c r="G243" i="23"/>
  <c r="F243" i="23"/>
  <c r="E243" i="23"/>
  <c r="D243" i="23"/>
  <c r="C243" i="23"/>
  <c r="H12" i="26"/>
  <c r="F12" i="26" l="1"/>
  <c r="J12" i="26"/>
  <c r="G12" i="26"/>
  <c r="E12" i="26"/>
  <c r="I12" i="26"/>
  <c r="I10" i="24" l="1"/>
  <c r="H10" i="24"/>
  <c r="G10" i="24"/>
  <c r="F10" i="24"/>
  <c r="I9" i="24"/>
  <c r="H9" i="24"/>
  <c r="G9" i="24"/>
  <c r="F9" i="24"/>
  <c r="I70" i="24"/>
  <c r="I57" i="24"/>
  <c r="E38" i="24"/>
  <c r="D38" i="24"/>
  <c r="E33" i="24"/>
  <c r="D33" i="24"/>
  <c r="E27" i="24"/>
  <c r="D27" i="24"/>
  <c r="E21" i="24"/>
  <c r="D21" i="24"/>
  <c r="F8" i="24"/>
  <c r="E44" i="24" l="1"/>
  <c r="F38" i="24"/>
  <c r="F33" i="24"/>
  <c r="F21" i="24"/>
  <c r="E68" i="24"/>
  <c r="E75" i="24" s="1"/>
  <c r="G8" i="24"/>
  <c r="F44" i="24" s="1"/>
  <c r="F27" i="24"/>
  <c r="E55" i="24"/>
  <c r="E72" i="24" s="1"/>
  <c r="C64" i="23"/>
  <c r="C62" i="23"/>
  <c r="D28" i="23"/>
  <c r="H204" i="23"/>
  <c r="G204" i="23"/>
  <c r="F204" i="23"/>
  <c r="E204" i="23"/>
  <c r="D204" i="23"/>
  <c r="C204" i="23"/>
  <c r="AE6" i="18"/>
  <c r="AO6" i="18" s="1"/>
  <c r="AO1" i="18" s="1"/>
  <c r="AN6" i="18"/>
  <c r="AX6" i="18" s="1"/>
  <c r="AX1" i="18" s="1"/>
  <c r="E84" i="24" l="1"/>
  <c r="E73" i="24"/>
  <c r="E85" i="24"/>
  <c r="E76" i="24"/>
  <c r="E82" i="24"/>
  <c r="E70" i="24"/>
  <c r="E79" i="24" s="1"/>
  <c r="E57" i="24"/>
  <c r="F70" i="24"/>
  <c r="F79" i="24" s="1"/>
  <c r="F57" i="24"/>
  <c r="F82" i="24"/>
  <c r="G38" i="24"/>
  <c r="H8" i="24"/>
  <c r="G44" i="24" s="1"/>
  <c r="G21" i="24"/>
  <c r="G33" i="24"/>
  <c r="G27" i="24"/>
  <c r="AJ6" i="18"/>
  <c r="AF6" i="18"/>
  <c r="AM6" i="18"/>
  <c r="AW6" i="18" s="1"/>
  <c r="AW1" i="18" s="1"/>
  <c r="AI6" i="18"/>
  <c r="AI143" i="18" s="1"/>
  <c r="AL6" i="18"/>
  <c r="AH6" i="18"/>
  <c r="AK6" i="18"/>
  <c r="AG6" i="18"/>
  <c r="AQ6" i="18" s="1"/>
  <c r="AQ1" i="18" s="1"/>
  <c r="AJ32" i="18" l="1"/>
  <c r="AJ33" i="18"/>
  <c r="AJ35" i="18"/>
  <c r="AJ19" i="18"/>
  <c r="AJ31" i="18"/>
  <c r="AJ20" i="18"/>
  <c r="AI104" i="18"/>
  <c r="AI105" i="18"/>
  <c r="AI45" i="18"/>
  <c r="AI16" i="18"/>
  <c r="AI41" i="18"/>
  <c r="AI17" i="18"/>
  <c r="AI42" i="18"/>
  <c r="AI15" i="18"/>
  <c r="AI18" i="18"/>
  <c r="AH65" i="18"/>
  <c r="AH125" i="18"/>
  <c r="AU6" i="18"/>
  <c r="AU1" i="18" s="1"/>
  <c r="AK158" i="18"/>
  <c r="AU158" i="18" s="1"/>
  <c r="AK160" i="18"/>
  <c r="AU160" i="18" s="1"/>
  <c r="AT6" i="18"/>
  <c r="AT1" i="18" s="1"/>
  <c r="AJ158" i="18"/>
  <c r="AT158" i="18" s="1"/>
  <c r="AJ128" i="18"/>
  <c r="AT128" i="18" s="1"/>
  <c r="AJ154" i="18"/>
  <c r="AT154" i="18" s="1"/>
  <c r="AJ160" i="18"/>
  <c r="AT160" i="18" s="1"/>
  <c r="AJ69" i="18"/>
  <c r="AT69" i="18" s="1"/>
  <c r="AS6" i="18"/>
  <c r="AS1" i="18" s="1"/>
  <c r="AI152" i="18"/>
  <c r="AI127" i="18"/>
  <c r="AS127" i="18" s="1"/>
  <c r="AI153" i="18"/>
  <c r="AS153" i="18" s="1"/>
  <c r="AI158" i="18"/>
  <c r="AS158" i="18" s="1"/>
  <c r="AI128" i="18"/>
  <c r="AS128" i="18" s="1"/>
  <c r="AI69" i="18"/>
  <c r="AS69" i="18" s="1"/>
  <c r="AI160" i="18"/>
  <c r="AS160" i="18" s="1"/>
  <c r="AI70" i="18"/>
  <c r="AS70" i="18" s="1"/>
  <c r="AI126" i="18"/>
  <c r="AS126" i="18" s="1"/>
  <c r="AI154" i="18"/>
  <c r="AS154" i="18" s="1"/>
  <c r="AI68" i="18"/>
  <c r="AS68" i="18" s="1"/>
  <c r="AI66" i="18"/>
  <c r="AS66" i="18" s="1"/>
  <c r="AI21" i="18"/>
  <c r="AI20" i="18"/>
  <c r="AI22" i="18"/>
  <c r="AL53" i="18"/>
  <c r="AV6" i="18"/>
  <c r="AV1" i="18" s="1"/>
  <c r="AR6" i="18"/>
  <c r="AR1" i="18" s="1"/>
  <c r="AH152" i="18"/>
  <c r="AH127" i="18"/>
  <c r="AR127" i="18" s="1"/>
  <c r="AH155" i="18"/>
  <c r="AR155" i="18" s="1"/>
  <c r="AH153" i="18"/>
  <c r="AR153" i="18" s="1"/>
  <c r="AH158" i="18"/>
  <c r="AR158" i="18" s="1"/>
  <c r="AH128" i="18"/>
  <c r="AR128" i="18" s="1"/>
  <c r="AH126" i="18"/>
  <c r="AR126" i="18" s="1"/>
  <c r="AH160" i="18"/>
  <c r="AR160" i="18" s="1"/>
  <c r="AH66" i="18"/>
  <c r="AR66" i="18" s="1"/>
  <c r="AH70" i="18"/>
  <c r="AR70" i="18" s="1"/>
  <c r="AH67" i="18"/>
  <c r="AR67" i="18" s="1"/>
  <c r="AH154" i="18"/>
  <c r="AR154" i="18" s="1"/>
  <c r="AH68" i="18"/>
  <c r="AR68" i="18" s="1"/>
  <c r="AH69" i="18"/>
  <c r="AR69" i="18" s="1"/>
  <c r="AH12" i="18"/>
  <c r="G26" i="23" s="1"/>
  <c r="G64" i="23" s="1"/>
  <c r="AH14" i="18"/>
  <c r="AH16" i="18"/>
  <c r="AH19" i="18"/>
  <c r="AH15" i="18"/>
  <c r="AH18" i="18"/>
  <c r="AH17" i="18"/>
  <c r="AH13" i="18"/>
  <c r="AF83" i="18"/>
  <c r="AP6" i="18"/>
  <c r="AP1" i="18" s="1"/>
  <c r="F26" i="23"/>
  <c r="F64" i="23" s="1"/>
  <c r="AG157" i="18"/>
  <c r="AG142" i="18"/>
  <c r="AG139" i="18"/>
  <c r="AG137" i="18"/>
  <c r="AG86" i="18"/>
  <c r="AG84" i="18"/>
  <c r="AG156" i="18"/>
  <c r="AG141" i="18"/>
  <c r="AG138" i="18"/>
  <c r="AG85" i="18"/>
  <c r="AG140" i="18"/>
  <c r="AK51" i="18"/>
  <c r="AK144" i="18"/>
  <c r="AK52" i="18"/>
  <c r="AK50" i="18"/>
  <c r="AK132" i="18"/>
  <c r="AH98" i="18"/>
  <c r="AH91" i="18"/>
  <c r="AH143" i="18"/>
  <c r="AH103" i="18"/>
  <c r="AH96" i="18"/>
  <c r="AH90" i="18"/>
  <c r="AH92" i="18"/>
  <c r="AH101" i="18"/>
  <c r="AH97" i="18"/>
  <c r="AH104" i="18"/>
  <c r="AH102" i="18"/>
  <c r="AH95" i="18"/>
  <c r="AH89" i="18"/>
  <c r="AH105" i="18"/>
  <c r="AH71" i="18"/>
  <c r="AH93" i="18"/>
  <c r="AH99" i="18"/>
  <c r="AH72" i="18"/>
  <c r="AH88" i="18"/>
  <c r="AH94" i="18"/>
  <c r="AH100" i="18"/>
  <c r="AH87" i="18"/>
  <c r="AI120" i="18"/>
  <c r="AI111" i="18"/>
  <c r="AI116" i="18"/>
  <c r="AI114" i="18"/>
  <c r="AI109" i="18"/>
  <c r="AI37" i="18"/>
  <c r="AI112" i="18"/>
  <c r="AI33" i="18"/>
  <c r="AI121" i="18"/>
  <c r="AI117" i="18"/>
  <c r="AI115" i="18"/>
  <c r="AI108" i="18"/>
  <c r="AI32" i="18"/>
  <c r="AI119" i="18"/>
  <c r="AI34" i="18"/>
  <c r="AI107" i="18"/>
  <c r="AI36" i="18"/>
  <c r="AI106" i="18"/>
  <c r="AI110" i="18"/>
  <c r="AI118" i="18"/>
  <c r="AI35" i="18"/>
  <c r="AI31" i="18"/>
  <c r="AI113" i="18"/>
  <c r="AM54" i="18"/>
  <c r="AM133" i="18"/>
  <c r="AJ122" i="18"/>
  <c r="AJ44" i="18"/>
  <c r="AJ46" i="18"/>
  <c r="AJ125" i="18"/>
  <c r="AJ123" i="18"/>
  <c r="AJ38" i="18"/>
  <c r="AJ40" i="18"/>
  <c r="AJ45" i="18"/>
  <c r="AJ131" i="18"/>
  <c r="AJ41" i="18"/>
  <c r="AJ39" i="18"/>
  <c r="AJ43" i="18"/>
  <c r="AJ124" i="18"/>
  <c r="AJ42" i="18"/>
  <c r="H26" i="23"/>
  <c r="H64" i="23" s="1"/>
  <c r="E86" i="24"/>
  <c r="E77" i="24"/>
  <c r="G70" i="24"/>
  <c r="G79" i="24" s="1"/>
  <c r="G57" i="24"/>
  <c r="G82" i="24"/>
  <c r="H21" i="24"/>
  <c r="H38" i="24"/>
  <c r="H33" i="24"/>
  <c r="H27" i="24"/>
  <c r="I8" i="24"/>
  <c r="H44" i="24" s="1"/>
  <c r="H198" i="23"/>
  <c r="G198" i="23"/>
  <c r="F198" i="23"/>
  <c r="E198" i="23"/>
  <c r="D198" i="23"/>
  <c r="C198" i="23"/>
  <c r="H150" i="23"/>
  <c r="G150" i="23"/>
  <c r="F150" i="23"/>
  <c r="E150" i="23"/>
  <c r="D150" i="23"/>
  <c r="C150" i="23"/>
  <c r="E230" i="23"/>
  <c r="E233" i="23" s="1"/>
  <c r="E229" i="23"/>
  <c r="E232" i="23" s="1"/>
  <c r="H232" i="23" s="1"/>
  <c r="H227" i="23"/>
  <c r="G227" i="23"/>
  <c r="F227" i="23"/>
  <c r="H226" i="23"/>
  <c r="G226" i="23"/>
  <c r="F226" i="23"/>
  <c r="H210" i="23"/>
  <c r="G210" i="23"/>
  <c r="F210" i="23"/>
  <c r="E210" i="23"/>
  <c r="D210" i="23"/>
  <c r="C195" i="23"/>
  <c r="H192" i="23"/>
  <c r="G192" i="23"/>
  <c r="F192" i="23"/>
  <c r="E192" i="23"/>
  <c r="D192" i="23"/>
  <c r="C192" i="23"/>
  <c r="H189" i="23"/>
  <c r="G189" i="23"/>
  <c r="F189" i="23"/>
  <c r="E189" i="23"/>
  <c r="D189" i="23"/>
  <c r="H184" i="23"/>
  <c r="G184" i="23"/>
  <c r="F184" i="23"/>
  <c r="E184" i="23"/>
  <c r="D184" i="23"/>
  <c r="C184" i="23"/>
  <c r="C179" i="23"/>
  <c r="D172" i="23"/>
  <c r="C143" i="23"/>
  <c r="H134" i="23"/>
  <c r="G134" i="23"/>
  <c r="F134" i="23"/>
  <c r="E134" i="23"/>
  <c r="D134" i="23"/>
  <c r="C132" i="23"/>
  <c r="H123" i="23"/>
  <c r="G123" i="23"/>
  <c r="F123" i="23"/>
  <c r="E123" i="23"/>
  <c r="D123" i="23"/>
  <c r="C121" i="23"/>
  <c r="C109" i="23"/>
  <c r="C196" i="23"/>
  <c r="D78" i="23"/>
  <c r="H60" i="23"/>
  <c r="G60" i="23"/>
  <c r="F60" i="23"/>
  <c r="E60" i="23"/>
  <c r="D60" i="23"/>
  <c r="C60" i="23"/>
  <c r="C58" i="23"/>
  <c r="H56" i="23"/>
  <c r="G56" i="23"/>
  <c r="F56" i="23"/>
  <c r="E56" i="23"/>
  <c r="D56" i="23"/>
  <c r="C56" i="23"/>
  <c r="D48" i="23"/>
  <c r="D47" i="23"/>
  <c r="D51" i="23" s="1"/>
  <c r="AS152" i="18" l="1"/>
  <c r="AR65" i="18"/>
  <c r="AR152" i="18"/>
  <c r="E47" i="23"/>
  <c r="E51" i="23" s="1"/>
  <c r="F47" i="23" s="1"/>
  <c r="F51" i="23" s="1"/>
  <c r="O172" i="18"/>
  <c r="E26" i="23"/>
  <c r="E64" i="23" s="1"/>
  <c r="H70" i="24"/>
  <c r="H79" i="24" s="1"/>
  <c r="H57" i="24"/>
  <c r="H82" i="24"/>
  <c r="I38" i="24"/>
  <c r="I33" i="24"/>
  <c r="I27" i="24"/>
  <c r="I21" i="24"/>
  <c r="G230" i="23"/>
  <c r="G229" i="23"/>
  <c r="H230" i="23"/>
  <c r="H229" i="23"/>
  <c r="E236" i="23"/>
  <c r="G233" i="23"/>
  <c r="F233" i="23"/>
  <c r="H233" i="23"/>
  <c r="E235" i="23"/>
  <c r="G232" i="23"/>
  <c r="F232" i="23"/>
  <c r="F229" i="23"/>
  <c r="F230" i="23"/>
  <c r="G236" i="23" l="1"/>
  <c r="F236" i="23"/>
  <c r="H236" i="23"/>
  <c r="G47" i="23"/>
  <c r="G51" i="23" s="1"/>
  <c r="G235" i="23"/>
  <c r="F235" i="23"/>
  <c r="H235" i="23"/>
  <c r="H47" i="23" l="1"/>
  <c r="H51" i="23" s="1"/>
  <c r="D75" i="20" l="1"/>
  <c r="C75" i="20"/>
  <c r="D62" i="20"/>
  <c r="C62" i="20"/>
  <c r="D7" i="18" l="1"/>
  <c r="A9" i="18"/>
  <c r="A10" i="18" s="1"/>
  <c r="A64" i="18" l="1"/>
  <c r="E7" i="18"/>
  <c r="E6" i="18"/>
  <c r="F6" i="18" s="1"/>
  <c r="G6" i="18" s="1"/>
  <c r="H6" i="18" s="1"/>
  <c r="I6" i="18" s="1"/>
  <c r="J6" i="18" s="1"/>
  <c r="K6" i="18" s="1"/>
  <c r="L6" i="18" s="1"/>
  <c r="M6" i="18" s="1"/>
  <c r="N6" i="18" s="1"/>
  <c r="AO157" i="18" l="1"/>
  <c r="AO133" i="18"/>
  <c r="AO125" i="18"/>
  <c r="AO119" i="18"/>
  <c r="AO113" i="18"/>
  <c r="AO107" i="18"/>
  <c r="AO101" i="18"/>
  <c r="AO95" i="18"/>
  <c r="AO89" i="18"/>
  <c r="AO83" i="18"/>
  <c r="AO69" i="18"/>
  <c r="AO53" i="18"/>
  <c r="AO156" i="18"/>
  <c r="AO68" i="18"/>
  <c r="AO154" i="18"/>
  <c r="AO153" i="18"/>
  <c r="AO131" i="18"/>
  <c r="AO123" i="18"/>
  <c r="AO117" i="18"/>
  <c r="AO111" i="18"/>
  <c r="AO105" i="18"/>
  <c r="AO99" i="18"/>
  <c r="AO93" i="18"/>
  <c r="AO87" i="18"/>
  <c r="AO51" i="18"/>
  <c r="AO128" i="18"/>
  <c r="AO122" i="18"/>
  <c r="AO116" i="18"/>
  <c r="AO110" i="18"/>
  <c r="AO104" i="18"/>
  <c r="AO98" i="18"/>
  <c r="AO92" i="18"/>
  <c r="AO86" i="18"/>
  <c r="AO56" i="18"/>
  <c r="AO50" i="18"/>
  <c r="AO127" i="18"/>
  <c r="AO121" i="18"/>
  <c r="AO115" i="18"/>
  <c r="AO109" i="18"/>
  <c r="AO103" i="18"/>
  <c r="AO97" i="18"/>
  <c r="AO91" i="18"/>
  <c r="AO85" i="18"/>
  <c r="AO55" i="18"/>
  <c r="AO160" i="18"/>
  <c r="AO72" i="18"/>
  <c r="AO159" i="18"/>
  <c r="AO126" i="18"/>
  <c r="AO120" i="18"/>
  <c r="AO114" i="18"/>
  <c r="AO108" i="18"/>
  <c r="AO102" i="18"/>
  <c r="AO96" i="18"/>
  <c r="AO90" i="18"/>
  <c r="AO84" i="18"/>
  <c r="AO71" i="18"/>
  <c r="AO54" i="18"/>
  <c r="AO158" i="18"/>
  <c r="AO70" i="18"/>
  <c r="AO124" i="18"/>
  <c r="AO41" i="18"/>
  <c r="AO35" i="18"/>
  <c r="AO15" i="18"/>
  <c r="AO34" i="18"/>
  <c r="AO20" i="18"/>
  <c r="AO132" i="18"/>
  <c r="AO42" i="18"/>
  <c r="AO36" i="18"/>
  <c r="AO22" i="18"/>
  <c r="AO16" i="18"/>
  <c r="AO21" i="18"/>
  <c r="AO66" i="18"/>
  <c r="AO88" i="18"/>
  <c r="AO46" i="18"/>
  <c r="AO94" i="18"/>
  <c r="AO100" i="18"/>
  <c r="AO155" i="18"/>
  <c r="AO52" i="18"/>
  <c r="AO40" i="18"/>
  <c r="AO106" i="18"/>
  <c r="AO45" i="18"/>
  <c r="AO39" i="18"/>
  <c r="AO33" i="18"/>
  <c r="AO19" i="18"/>
  <c r="AO13" i="18"/>
  <c r="AO112" i="18"/>
  <c r="AO14" i="18"/>
  <c r="AO118" i="18"/>
  <c r="AO67" i="18"/>
  <c r="AO44" i="18"/>
  <c r="AO38" i="18"/>
  <c r="AO32" i="18"/>
  <c r="AO18" i="18"/>
  <c r="AO43" i="18"/>
  <c r="AO37" i="18"/>
  <c r="AO31" i="18"/>
  <c r="AO17" i="18"/>
  <c r="F7" i="18"/>
  <c r="A80" i="18"/>
  <c r="AO152" i="18" l="1"/>
  <c r="AO65" i="18"/>
  <c r="AO12" i="18"/>
  <c r="AO2" i="18" s="1"/>
  <c r="AP156" i="18"/>
  <c r="AP68" i="18"/>
  <c r="AP155" i="18"/>
  <c r="AP132" i="18"/>
  <c r="AP124" i="18"/>
  <c r="AP118" i="18"/>
  <c r="AP112" i="18"/>
  <c r="AP106" i="18"/>
  <c r="AP100" i="18"/>
  <c r="AP94" i="18"/>
  <c r="AP88" i="18"/>
  <c r="AP67" i="18"/>
  <c r="AP52" i="18"/>
  <c r="AP153" i="18"/>
  <c r="AP131" i="18"/>
  <c r="AP128" i="18"/>
  <c r="AP127" i="18"/>
  <c r="AP121" i="18"/>
  <c r="AP115" i="18"/>
  <c r="AP109" i="18"/>
  <c r="AP103" i="18"/>
  <c r="AP97" i="18"/>
  <c r="AP91" i="18"/>
  <c r="AP85" i="18"/>
  <c r="AP55" i="18"/>
  <c r="AP160" i="18"/>
  <c r="AP72" i="18"/>
  <c r="AP159" i="18"/>
  <c r="AP126" i="18"/>
  <c r="AP120" i="18"/>
  <c r="AP114" i="18"/>
  <c r="AP108" i="18"/>
  <c r="AP102" i="18"/>
  <c r="AP96" i="18"/>
  <c r="AP90" i="18"/>
  <c r="AP84" i="18"/>
  <c r="AP71" i="18"/>
  <c r="AP54" i="18"/>
  <c r="AP158" i="18"/>
  <c r="AP70" i="18"/>
  <c r="AP157" i="18"/>
  <c r="AP133" i="18"/>
  <c r="AP125" i="18"/>
  <c r="AP119" i="18"/>
  <c r="AP113" i="18"/>
  <c r="AP107" i="18"/>
  <c r="AP101" i="18"/>
  <c r="AP95" i="18"/>
  <c r="AP89" i="18"/>
  <c r="AP83" i="18"/>
  <c r="AP69" i="18"/>
  <c r="AP53" i="18"/>
  <c r="AP99" i="18"/>
  <c r="AP50" i="18"/>
  <c r="AP42" i="18"/>
  <c r="AP36" i="18"/>
  <c r="AP22" i="18"/>
  <c r="AP16" i="18"/>
  <c r="AP105" i="18"/>
  <c r="AP66" i="18"/>
  <c r="AP56" i="18"/>
  <c r="AP154" i="18"/>
  <c r="AP111" i="18"/>
  <c r="AP41" i="18"/>
  <c r="AP35" i="18"/>
  <c r="AP21" i="18"/>
  <c r="AP15" i="18"/>
  <c r="AP117" i="18"/>
  <c r="AP46" i="18"/>
  <c r="AP40" i="18"/>
  <c r="AP34" i="18"/>
  <c r="AP20" i="18"/>
  <c r="AP14" i="18"/>
  <c r="AP123" i="18"/>
  <c r="AP86" i="18"/>
  <c r="AP51" i="18"/>
  <c r="AP92" i="18"/>
  <c r="AP45" i="18"/>
  <c r="AP39" i="18"/>
  <c r="AP33" i="18"/>
  <c r="AP19" i="18"/>
  <c r="AP13" i="18"/>
  <c r="AP98" i="18"/>
  <c r="AP93" i="18"/>
  <c r="AP104" i="18"/>
  <c r="AP44" i="18"/>
  <c r="AP38" i="18"/>
  <c r="AP32" i="18"/>
  <c r="AP18" i="18"/>
  <c r="AP110" i="18"/>
  <c r="AP122" i="18"/>
  <c r="AP116" i="18"/>
  <c r="AP87" i="18"/>
  <c r="AP43" i="18"/>
  <c r="AP37" i="18"/>
  <c r="AP31" i="18"/>
  <c r="AP17" i="18"/>
  <c r="G7" i="18"/>
  <c r="H7" i="18" s="1"/>
  <c r="A81" i="18"/>
  <c r="A82" i="18" s="1"/>
  <c r="H133" i="18" l="1"/>
  <c r="AR133" i="18" s="1"/>
  <c r="AR96" i="18"/>
  <c r="AR108" i="18"/>
  <c r="AR112" i="18"/>
  <c r="H132" i="18"/>
  <c r="AR132" i="18" s="1"/>
  <c r="H131" i="18"/>
  <c r="AR99" i="18"/>
  <c r="AR103" i="18"/>
  <c r="AR107" i="18"/>
  <c r="AR98" i="18"/>
  <c r="AR102" i="18"/>
  <c r="AR114" i="18"/>
  <c r="AR118" i="18"/>
  <c r="AR117" i="18"/>
  <c r="AR123" i="18"/>
  <c r="AR86" i="18"/>
  <c r="AR51" i="18"/>
  <c r="AR55" i="18"/>
  <c r="H33" i="18"/>
  <c r="AR33" i="18" s="1"/>
  <c r="H37" i="18"/>
  <c r="AR37" i="18" s="1"/>
  <c r="H41" i="18"/>
  <c r="H45" i="18"/>
  <c r="H31" i="18"/>
  <c r="AR31" i="18" s="1"/>
  <c r="AR109" i="18"/>
  <c r="AR89" i="18"/>
  <c r="AR85" i="18"/>
  <c r="AR54" i="18"/>
  <c r="H32" i="18"/>
  <c r="AR32" i="18" s="1"/>
  <c r="H36" i="18"/>
  <c r="H40" i="18"/>
  <c r="AR40" i="18" s="1"/>
  <c r="H44" i="18"/>
  <c r="AR44" i="18" s="1"/>
  <c r="AR83" i="18"/>
  <c r="H38" i="18"/>
  <c r="AR38" i="18" s="1"/>
  <c r="H46" i="18"/>
  <c r="AR46" i="18" s="1"/>
  <c r="AR105" i="18"/>
  <c r="AR121" i="18"/>
  <c r="AR53" i="18"/>
  <c r="H35" i="18"/>
  <c r="AR35" i="18" s="1"/>
  <c r="H39" i="18"/>
  <c r="AR39" i="18" s="1"/>
  <c r="H43" i="18"/>
  <c r="AR43" i="18" s="1"/>
  <c r="AR101" i="18"/>
  <c r="AR124" i="18"/>
  <c r="AR87" i="18"/>
  <c r="AR52" i="18"/>
  <c r="AR56" i="18"/>
  <c r="H34" i="18"/>
  <c r="AR34" i="18" s="1"/>
  <c r="H42" i="18"/>
  <c r="AR42" i="18" s="1"/>
  <c r="AR20" i="18"/>
  <c r="AR15" i="18"/>
  <c r="AR17" i="18"/>
  <c r="AR19" i="18"/>
  <c r="AR14" i="18"/>
  <c r="AR18" i="18"/>
  <c r="AP12" i="18"/>
  <c r="AP65" i="18"/>
  <c r="AP152" i="18"/>
  <c r="AR131" i="18"/>
  <c r="AR111" i="18"/>
  <c r="AR93" i="18"/>
  <c r="AR72" i="18"/>
  <c r="AR120" i="18"/>
  <c r="AR84" i="18"/>
  <c r="AR157" i="18"/>
  <c r="AR125" i="18"/>
  <c r="AR119" i="18"/>
  <c r="AR113" i="18"/>
  <c r="AR95" i="18"/>
  <c r="AR106" i="18"/>
  <c r="AR100" i="18"/>
  <c r="AR94" i="18"/>
  <c r="AR88" i="18"/>
  <c r="AR91" i="18"/>
  <c r="AR41" i="18"/>
  <c r="AR21" i="18"/>
  <c r="AR97" i="18"/>
  <c r="AR115" i="18"/>
  <c r="AR45" i="18"/>
  <c r="AR13" i="18"/>
  <c r="AR92" i="18"/>
  <c r="AR104" i="18"/>
  <c r="AR50" i="18"/>
  <c r="AR110" i="18"/>
  <c r="AR116" i="18"/>
  <c r="AR122" i="18"/>
  <c r="AR36" i="18"/>
  <c r="AR22" i="18"/>
  <c r="AR16" i="18"/>
  <c r="AQ132" i="18"/>
  <c r="AQ124" i="18"/>
  <c r="AQ118" i="18"/>
  <c r="AQ112" i="18"/>
  <c r="AQ106" i="18"/>
  <c r="AQ100" i="18"/>
  <c r="AQ94" i="18"/>
  <c r="AQ88" i="18"/>
  <c r="AQ52" i="18"/>
  <c r="AQ122" i="18"/>
  <c r="AQ116" i="18"/>
  <c r="AQ110" i="18"/>
  <c r="AQ104" i="18"/>
  <c r="AQ98" i="18"/>
  <c r="AQ92" i="18"/>
  <c r="AQ86" i="18"/>
  <c r="AQ56" i="18"/>
  <c r="AQ50" i="18"/>
  <c r="AQ121" i="18"/>
  <c r="AQ115" i="18"/>
  <c r="AQ109" i="18"/>
  <c r="AQ103" i="18"/>
  <c r="AQ97" i="18"/>
  <c r="AQ91" i="18"/>
  <c r="AQ85" i="18"/>
  <c r="AQ55" i="18"/>
  <c r="AQ72" i="18"/>
  <c r="AQ120" i="18"/>
  <c r="AQ114" i="18"/>
  <c r="AQ108" i="18"/>
  <c r="AQ102" i="18"/>
  <c r="AQ96" i="18"/>
  <c r="AQ90" i="18"/>
  <c r="AQ84" i="18"/>
  <c r="AQ54" i="18"/>
  <c r="AQ157" i="18"/>
  <c r="AQ133" i="18"/>
  <c r="AQ125" i="18"/>
  <c r="AQ119" i="18"/>
  <c r="AQ113" i="18"/>
  <c r="AQ107" i="18"/>
  <c r="AQ101" i="18"/>
  <c r="AQ95" i="18"/>
  <c r="AQ89" i="18"/>
  <c r="AQ83" i="18"/>
  <c r="AQ53" i="18"/>
  <c r="AQ105" i="18"/>
  <c r="AQ111" i="18"/>
  <c r="AQ41" i="18"/>
  <c r="AQ35" i="18"/>
  <c r="AQ21" i="18"/>
  <c r="AQ15" i="18"/>
  <c r="AQ46" i="18"/>
  <c r="AQ40" i="18"/>
  <c r="AQ34" i="18"/>
  <c r="AQ117" i="18"/>
  <c r="AQ14" i="18"/>
  <c r="AQ20" i="18"/>
  <c r="AQ123" i="18"/>
  <c r="AQ51" i="18"/>
  <c r="AQ131" i="18"/>
  <c r="AQ45" i="18"/>
  <c r="AQ33" i="18"/>
  <c r="AQ42" i="18"/>
  <c r="AQ44" i="18"/>
  <c r="AQ38" i="18"/>
  <c r="AQ32" i="18"/>
  <c r="AQ18" i="18"/>
  <c r="AQ99" i="18"/>
  <c r="AQ36" i="18"/>
  <c r="AQ22" i="18"/>
  <c r="AQ16" i="18"/>
  <c r="AQ19" i="18"/>
  <c r="AQ39" i="18"/>
  <c r="AQ87" i="18"/>
  <c r="AQ43" i="18"/>
  <c r="AQ37" i="18"/>
  <c r="AQ31" i="18"/>
  <c r="AQ17" i="18"/>
  <c r="AQ93" i="18"/>
  <c r="AQ13" i="18"/>
  <c r="A130" i="18"/>
  <c r="A136" i="18" s="1"/>
  <c r="I7" i="18"/>
  <c r="C61" i="23"/>
  <c r="AP2" i="18" l="1"/>
  <c r="AS97" i="18"/>
  <c r="AS101" i="18"/>
  <c r="AS105" i="18"/>
  <c r="AS109" i="18"/>
  <c r="AS113" i="18"/>
  <c r="I133" i="18"/>
  <c r="AS133" i="18" s="1"/>
  <c r="AS96" i="18"/>
  <c r="AS100" i="18"/>
  <c r="AS104" i="18"/>
  <c r="AS108" i="18"/>
  <c r="AS112" i="18"/>
  <c r="I132" i="18"/>
  <c r="AS132" i="18" s="1"/>
  <c r="AS95" i="18"/>
  <c r="AS103" i="18"/>
  <c r="AS107" i="18"/>
  <c r="AS115" i="18"/>
  <c r="AS119" i="18"/>
  <c r="AS106" i="18"/>
  <c r="AS118" i="18"/>
  <c r="AS120" i="18"/>
  <c r="AS124" i="18"/>
  <c r="AS87" i="18"/>
  <c r="AS56" i="18"/>
  <c r="AS34" i="18"/>
  <c r="AS38" i="18"/>
  <c r="AS42" i="18"/>
  <c r="I131" i="18"/>
  <c r="AS131" i="18" s="1"/>
  <c r="AS102" i="18"/>
  <c r="AS116" i="18"/>
  <c r="AS92" i="18"/>
  <c r="AS91" i="18"/>
  <c r="AS86" i="18"/>
  <c r="AS83" i="18"/>
  <c r="AS51" i="18"/>
  <c r="AS55" i="18"/>
  <c r="AS33" i="18"/>
  <c r="AS37" i="18"/>
  <c r="AS41" i="18"/>
  <c r="AS45" i="18"/>
  <c r="AS94" i="18"/>
  <c r="AS110" i="18"/>
  <c r="AS121" i="18"/>
  <c r="AS90" i="18"/>
  <c r="AS89" i="18"/>
  <c r="AS84" i="18"/>
  <c r="AS39" i="18"/>
  <c r="AS98" i="18"/>
  <c r="AS114" i="18"/>
  <c r="AS122" i="18"/>
  <c r="AS93" i="18"/>
  <c r="AS85" i="18"/>
  <c r="AS72" i="18"/>
  <c r="AS54" i="18"/>
  <c r="AS50" i="18"/>
  <c r="AS32" i="18"/>
  <c r="AS36" i="18"/>
  <c r="AS40" i="18"/>
  <c r="AS44" i="18"/>
  <c r="AS88" i="18"/>
  <c r="AS53" i="18"/>
  <c r="AS35" i="18"/>
  <c r="AS43" i="18"/>
  <c r="AR90" i="18"/>
  <c r="AS18" i="18"/>
  <c r="AS13" i="18"/>
  <c r="AS20" i="18"/>
  <c r="AS15" i="18"/>
  <c r="AS17" i="18"/>
  <c r="AS19" i="18"/>
  <c r="AS14" i="18"/>
  <c r="AS16" i="18"/>
  <c r="AR71" i="18"/>
  <c r="H171" i="18"/>
  <c r="AQ156" i="18"/>
  <c r="AR12" i="18"/>
  <c r="AQ12" i="18"/>
  <c r="AQ71" i="18"/>
  <c r="AR156" i="18"/>
  <c r="H173" i="18"/>
  <c r="H174" i="18"/>
  <c r="AS123" i="18"/>
  <c r="AS117" i="18"/>
  <c r="AS111" i="18"/>
  <c r="AS99" i="18"/>
  <c r="AS157" i="18"/>
  <c r="AS125" i="18"/>
  <c r="AS52" i="18"/>
  <c r="AS46" i="18"/>
  <c r="AS21" i="18"/>
  <c r="AS31" i="18"/>
  <c r="AS22" i="18"/>
  <c r="H151" i="18"/>
  <c r="H49" i="18"/>
  <c r="H82" i="18"/>
  <c r="H136" i="18"/>
  <c r="H130" i="18"/>
  <c r="H64" i="18"/>
  <c r="A151" i="18"/>
  <c r="J7" i="18"/>
  <c r="I171" i="18" l="1"/>
  <c r="AR2" i="18"/>
  <c r="J94" i="18"/>
  <c r="AT94" i="18" s="1"/>
  <c r="J98" i="18"/>
  <c r="J102" i="18"/>
  <c r="AT102" i="18" s="1"/>
  <c r="J106" i="18"/>
  <c r="J110" i="18"/>
  <c r="AT110" i="18" s="1"/>
  <c r="J114" i="18"/>
  <c r="J118" i="18"/>
  <c r="AT118" i="18" s="1"/>
  <c r="J97" i="18"/>
  <c r="AT97" i="18" s="1"/>
  <c r="J101" i="18"/>
  <c r="J105" i="18"/>
  <c r="AT105" i="18" s="1"/>
  <c r="J109" i="18"/>
  <c r="AT109" i="18" s="1"/>
  <c r="J113" i="18"/>
  <c r="AT113" i="18" s="1"/>
  <c r="AT133" i="18"/>
  <c r="J96" i="18"/>
  <c r="AT96" i="18" s="1"/>
  <c r="J100" i="18"/>
  <c r="J104" i="18"/>
  <c r="AT104" i="18" s="1"/>
  <c r="J108" i="18"/>
  <c r="AT108" i="18" s="1"/>
  <c r="J112" i="18"/>
  <c r="AT112" i="18" s="1"/>
  <c r="J116" i="18"/>
  <c r="J99" i="18"/>
  <c r="J119" i="18"/>
  <c r="AT119" i="18" s="1"/>
  <c r="J121" i="18"/>
  <c r="J90" i="18"/>
  <c r="AT90" i="18" s="1"/>
  <c r="J89" i="18"/>
  <c r="J84" i="18"/>
  <c r="AT84" i="18" s="1"/>
  <c r="J88" i="18"/>
  <c r="AT88" i="18" s="1"/>
  <c r="AT35" i="18"/>
  <c r="AT43" i="18"/>
  <c r="J95" i="18"/>
  <c r="J111" i="18"/>
  <c r="AT111" i="18" s="1"/>
  <c r="J117" i="18"/>
  <c r="J120" i="18"/>
  <c r="AT120" i="18" s="1"/>
  <c r="J87" i="18"/>
  <c r="AT87" i="18" s="1"/>
  <c r="AT52" i="18"/>
  <c r="AT56" i="18"/>
  <c r="AT34" i="18"/>
  <c r="AT38" i="18"/>
  <c r="AT42" i="18"/>
  <c r="AT46" i="18"/>
  <c r="J103" i="18"/>
  <c r="AT103" i="18" s="1"/>
  <c r="J85" i="18"/>
  <c r="AT85" i="18" s="1"/>
  <c r="AT31" i="18"/>
  <c r="AT132" i="18"/>
  <c r="J107" i="18"/>
  <c r="AT107" i="18" s="1"/>
  <c r="J115" i="18"/>
  <c r="AT123" i="18"/>
  <c r="J92" i="18"/>
  <c r="J91" i="18"/>
  <c r="AT91" i="18" s="1"/>
  <c r="J86" i="18"/>
  <c r="J83" i="18"/>
  <c r="AT83" i="18" s="1"/>
  <c r="AT51" i="18"/>
  <c r="AT55" i="18"/>
  <c r="AT37" i="18"/>
  <c r="AT41" i="18"/>
  <c r="AT45" i="18"/>
  <c r="J93" i="18"/>
  <c r="AT72" i="18"/>
  <c r="AT54" i="18"/>
  <c r="AT50" i="18"/>
  <c r="AT36" i="18"/>
  <c r="AT18" i="18"/>
  <c r="AT13" i="18"/>
  <c r="AT20" i="18"/>
  <c r="AT15" i="18"/>
  <c r="AT17" i="18"/>
  <c r="AT19" i="18"/>
  <c r="AT16" i="18"/>
  <c r="AQ2" i="18"/>
  <c r="AS71" i="18"/>
  <c r="AS156" i="18"/>
  <c r="I173" i="18"/>
  <c r="I174" i="18"/>
  <c r="D170" i="23" s="1"/>
  <c r="AS12" i="18"/>
  <c r="I151" i="18"/>
  <c r="AT122" i="18"/>
  <c r="AT116" i="18"/>
  <c r="AT98" i="18"/>
  <c r="AT92" i="18"/>
  <c r="AT86" i="18"/>
  <c r="AT157" i="18"/>
  <c r="AT125" i="18"/>
  <c r="AT101" i="18"/>
  <c r="AT95" i="18"/>
  <c r="AT89" i="18"/>
  <c r="AT53" i="18"/>
  <c r="AT124" i="18"/>
  <c r="AT106" i="18"/>
  <c r="AT100" i="18"/>
  <c r="AT131" i="18"/>
  <c r="AT117" i="18"/>
  <c r="AT99" i="18"/>
  <c r="AT93" i="18"/>
  <c r="AT40" i="18"/>
  <c r="AT14" i="18"/>
  <c r="AT115" i="18"/>
  <c r="AT39" i="18"/>
  <c r="AT33" i="18"/>
  <c r="AT121" i="18"/>
  <c r="AT44" i="18"/>
  <c r="AT32" i="18"/>
  <c r="AT22" i="18"/>
  <c r="AT114" i="18"/>
  <c r="AT21" i="18"/>
  <c r="I82" i="18"/>
  <c r="I49" i="18"/>
  <c r="I64" i="18"/>
  <c r="H81" i="18"/>
  <c r="H170" i="18" s="1"/>
  <c r="I130" i="18"/>
  <c r="I136" i="18"/>
  <c r="A162" i="18"/>
  <c r="K7" i="18"/>
  <c r="K95" i="18" l="1"/>
  <c r="K99" i="18"/>
  <c r="AU99" i="18" s="1"/>
  <c r="K103" i="18"/>
  <c r="AU103" i="18" s="1"/>
  <c r="K107" i="18"/>
  <c r="K111" i="18"/>
  <c r="K115" i="18"/>
  <c r="AU115" i="18" s="1"/>
  <c r="K119" i="18"/>
  <c r="AU119" i="18" s="1"/>
  <c r="AU131" i="18"/>
  <c r="K94" i="18"/>
  <c r="AU94" i="18" s="1"/>
  <c r="K98" i="18"/>
  <c r="K102" i="18"/>
  <c r="K106" i="18"/>
  <c r="AU106" i="18" s="1"/>
  <c r="K110" i="18"/>
  <c r="AU110" i="18" s="1"/>
  <c r="K97" i="18"/>
  <c r="AU97" i="18" s="1"/>
  <c r="K101" i="18"/>
  <c r="K105" i="18"/>
  <c r="K109" i="18"/>
  <c r="K113" i="18"/>
  <c r="AU113" i="18" s="1"/>
  <c r="K117" i="18"/>
  <c r="K108" i="18"/>
  <c r="K122" i="18"/>
  <c r="AU122" i="18" s="1"/>
  <c r="K93" i="18"/>
  <c r="K85" i="18"/>
  <c r="K72" i="18"/>
  <c r="AU72" i="18" s="1"/>
  <c r="AU54" i="18"/>
  <c r="K32" i="18"/>
  <c r="K36" i="18"/>
  <c r="K40" i="18"/>
  <c r="AU40" i="18" s="1"/>
  <c r="K44" i="18"/>
  <c r="K31" i="18"/>
  <c r="K104" i="18"/>
  <c r="AU104" i="18" s="1"/>
  <c r="K118" i="18"/>
  <c r="AU118" i="18" s="1"/>
  <c r="K121" i="18"/>
  <c r="K90" i="18"/>
  <c r="AU90" i="18" s="1"/>
  <c r="K89" i="18"/>
  <c r="AU89" i="18" s="1"/>
  <c r="K84" i="18"/>
  <c r="AU84" i="18" s="1"/>
  <c r="K88" i="18"/>
  <c r="K71" i="18"/>
  <c r="AU53" i="18"/>
  <c r="K35" i="18"/>
  <c r="AU35" i="18" s="1"/>
  <c r="K39" i="18"/>
  <c r="K43" i="18"/>
  <c r="AU43" i="18" s="1"/>
  <c r="K112" i="18"/>
  <c r="AU112" i="18" s="1"/>
  <c r="AU123" i="18"/>
  <c r="K86" i="18"/>
  <c r="K41" i="18"/>
  <c r="K100" i="18"/>
  <c r="AU100" i="18" s="1"/>
  <c r="K116" i="18"/>
  <c r="K120" i="18"/>
  <c r="AU120" i="18" s="1"/>
  <c r="AU124" i="18"/>
  <c r="K87" i="18"/>
  <c r="AU87" i="18" s="1"/>
  <c r="AU56" i="18"/>
  <c r="K34" i="18"/>
  <c r="AU34" i="18" s="1"/>
  <c r="K38" i="18"/>
  <c r="AU38" i="18" s="1"/>
  <c r="K42" i="18"/>
  <c r="AU42" i="18" s="1"/>
  <c r="K46" i="18"/>
  <c r="AU46" i="18" s="1"/>
  <c r="K96" i="18"/>
  <c r="AU96" i="18" s="1"/>
  <c r="K114" i="18"/>
  <c r="AU114" i="18" s="1"/>
  <c r="K92" i="18"/>
  <c r="K91" i="18"/>
  <c r="AU91" i="18" s="1"/>
  <c r="K83" i="18"/>
  <c r="AU83" i="18" s="1"/>
  <c r="AU51" i="18"/>
  <c r="AU55" i="18"/>
  <c r="K33" i="18"/>
  <c r="AU33" i="18" s="1"/>
  <c r="K37" i="18"/>
  <c r="AU37" i="18" s="1"/>
  <c r="K45" i="18"/>
  <c r="H168" i="18"/>
  <c r="H175" i="18" s="1"/>
  <c r="AS2" i="18"/>
  <c r="E16" i="24" s="1"/>
  <c r="E17" i="24" s="1"/>
  <c r="AU16" i="18"/>
  <c r="AU18" i="18"/>
  <c r="AU13" i="18"/>
  <c r="AU20" i="18"/>
  <c r="AU15" i="18"/>
  <c r="AU19" i="18"/>
  <c r="AU17" i="18"/>
  <c r="AU14" i="18"/>
  <c r="AT12" i="18"/>
  <c r="J171" i="18"/>
  <c r="AT71" i="18"/>
  <c r="J173" i="18"/>
  <c r="AT156" i="18"/>
  <c r="J174" i="18"/>
  <c r="E170" i="23" s="1"/>
  <c r="D136" i="23"/>
  <c r="D125" i="23"/>
  <c r="J151" i="18"/>
  <c r="AU116" i="18"/>
  <c r="AU98" i="18"/>
  <c r="AU92" i="18"/>
  <c r="AU86" i="18"/>
  <c r="AU108" i="18"/>
  <c r="AU102" i="18"/>
  <c r="AU157" i="18"/>
  <c r="AU133" i="18"/>
  <c r="AU125" i="18"/>
  <c r="AU107" i="18"/>
  <c r="AU101" i="18"/>
  <c r="AU95" i="18"/>
  <c r="AU132" i="18"/>
  <c r="AU88" i="18"/>
  <c r="AU52" i="18"/>
  <c r="AU117" i="18"/>
  <c r="AU111" i="18"/>
  <c r="AU105" i="18"/>
  <c r="AU93" i="18"/>
  <c r="AU44" i="18"/>
  <c r="AU32" i="18"/>
  <c r="AU31" i="18"/>
  <c r="AU109" i="18"/>
  <c r="AU45" i="18"/>
  <c r="AU39" i="18"/>
  <c r="AU121" i="18"/>
  <c r="AU36" i="18"/>
  <c r="AU22" i="18"/>
  <c r="AU85" i="18"/>
  <c r="AU41" i="18"/>
  <c r="AU21" i="18"/>
  <c r="J130" i="18"/>
  <c r="J82" i="18"/>
  <c r="J136" i="18"/>
  <c r="I81" i="18"/>
  <c r="I168" i="18" s="1"/>
  <c r="J49" i="18"/>
  <c r="J64" i="18"/>
  <c r="L7" i="18"/>
  <c r="AT2" i="18" l="1"/>
  <c r="F16" i="24" s="1"/>
  <c r="F17" i="24" s="1"/>
  <c r="AV133" i="18"/>
  <c r="L96" i="18"/>
  <c r="AV96" i="18" s="1"/>
  <c r="L100" i="18"/>
  <c r="L104" i="18"/>
  <c r="AV104" i="18" s="1"/>
  <c r="L108" i="18"/>
  <c r="AV108" i="18" s="1"/>
  <c r="L112" i="18"/>
  <c r="L116" i="18"/>
  <c r="AV132" i="18"/>
  <c r="L95" i="18"/>
  <c r="AV95" i="18" s="1"/>
  <c r="L99" i="18"/>
  <c r="AV99" i="18" s="1"/>
  <c r="L103" i="18"/>
  <c r="AV103" i="18" s="1"/>
  <c r="L107" i="18"/>
  <c r="AV107" i="18" s="1"/>
  <c r="L111" i="18"/>
  <c r="AV111" i="18" s="1"/>
  <c r="AV131" i="18"/>
  <c r="L94" i="18"/>
  <c r="AV94" i="18" s="1"/>
  <c r="L98" i="18"/>
  <c r="AV98" i="18" s="1"/>
  <c r="L102" i="18"/>
  <c r="L106" i="18"/>
  <c r="AV106" i="18" s="1"/>
  <c r="L110" i="18"/>
  <c r="AV110" i="18" s="1"/>
  <c r="L114" i="18"/>
  <c r="AV114" i="18" s="1"/>
  <c r="L118" i="18"/>
  <c r="L101" i="18"/>
  <c r="AV101" i="18" s="1"/>
  <c r="AV123" i="18"/>
  <c r="L92" i="18"/>
  <c r="L91" i="18"/>
  <c r="AV91" i="18" s="1"/>
  <c r="L86" i="18"/>
  <c r="AV86" i="18" s="1"/>
  <c r="L83" i="18"/>
  <c r="AV51" i="18"/>
  <c r="L33" i="18"/>
  <c r="AV33" i="18" s="1"/>
  <c r="L37" i="18"/>
  <c r="AV37" i="18" s="1"/>
  <c r="L41" i="18"/>
  <c r="AV41" i="18" s="1"/>
  <c r="L45" i="18"/>
  <c r="AV45" i="18" s="1"/>
  <c r="L97" i="18"/>
  <c r="AV97" i="18" s="1"/>
  <c r="L113" i="18"/>
  <c r="AV113" i="18" s="1"/>
  <c r="L119" i="18"/>
  <c r="L122" i="18"/>
  <c r="AV122" i="18" s="1"/>
  <c r="L93" i="18"/>
  <c r="AV93" i="18" s="1"/>
  <c r="L85" i="18"/>
  <c r="AV85" i="18" s="1"/>
  <c r="L72" i="18"/>
  <c r="AV72" i="18" s="1"/>
  <c r="AV54" i="18"/>
  <c r="AV50" i="18"/>
  <c r="L32" i="18"/>
  <c r="L36" i="18"/>
  <c r="L40" i="18"/>
  <c r="AV40" i="18" s="1"/>
  <c r="L44" i="18"/>
  <c r="AV44" i="18" s="1"/>
  <c r="L31" i="18"/>
  <c r="AV31" i="18" s="1"/>
  <c r="L115" i="18"/>
  <c r="L87" i="18"/>
  <c r="AV87" i="18" s="1"/>
  <c r="AV52" i="18"/>
  <c r="L34" i="18"/>
  <c r="AV34" i="18" s="1"/>
  <c r="L42" i="18"/>
  <c r="AV42" i="18" s="1"/>
  <c r="AV157" i="18"/>
  <c r="L109" i="18"/>
  <c r="L117" i="18"/>
  <c r="AV117" i="18" s="1"/>
  <c r="L121" i="18"/>
  <c r="AV121" i="18" s="1"/>
  <c r="L90" i="18"/>
  <c r="AV90" i="18" s="1"/>
  <c r="L89" i="18"/>
  <c r="L84" i="18"/>
  <c r="AV84" i="18" s="1"/>
  <c r="L88" i="18"/>
  <c r="AV88" i="18" s="1"/>
  <c r="L71" i="18"/>
  <c r="AV53" i="18"/>
  <c r="L35" i="18"/>
  <c r="AV35" i="18" s="1"/>
  <c r="L39" i="18"/>
  <c r="AV39" i="18" s="1"/>
  <c r="L43" i="18"/>
  <c r="AV43" i="18" s="1"/>
  <c r="L105" i="18"/>
  <c r="L120" i="18"/>
  <c r="AV120" i="18" s="1"/>
  <c r="L38" i="18"/>
  <c r="AV38" i="18" s="1"/>
  <c r="L46" i="18"/>
  <c r="L16" i="18"/>
  <c r="AV16" i="18" s="1"/>
  <c r="L12" i="18"/>
  <c r="L18" i="18"/>
  <c r="AV18" i="18" s="1"/>
  <c r="L13" i="18"/>
  <c r="AV13" i="18" s="1"/>
  <c r="L20" i="18"/>
  <c r="L15" i="18"/>
  <c r="AV15" i="18" s="1"/>
  <c r="L17" i="18"/>
  <c r="AV17" i="18" s="1"/>
  <c r="L19" i="18"/>
  <c r="AV19" i="18" s="1"/>
  <c r="L14" i="18"/>
  <c r="K174" i="18"/>
  <c r="F170" i="23" s="1"/>
  <c r="D207" i="23"/>
  <c r="D220" i="23"/>
  <c r="K49" i="18"/>
  <c r="AU50" i="18"/>
  <c r="D208" i="23"/>
  <c r="D223" i="23"/>
  <c r="AU71" i="18"/>
  <c r="K171" i="18"/>
  <c r="AU156" i="18"/>
  <c r="K173" i="18"/>
  <c r="E125" i="23"/>
  <c r="E136" i="23"/>
  <c r="E208" i="23" s="1"/>
  <c r="AU12" i="18"/>
  <c r="I170" i="18"/>
  <c r="AV115" i="18"/>
  <c r="AV109" i="18"/>
  <c r="AV55" i="18"/>
  <c r="AV125" i="18"/>
  <c r="AV124" i="18"/>
  <c r="AV118" i="18"/>
  <c r="AV112" i="18"/>
  <c r="AV100" i="18"/>
  <c r="AV105" i="18"/>
  <c r="AV116" i="18"/>
  <c r="AV92" i="18"/>
  <c r="AV56" i="18"/>
  <c r="AV32" i="18"/>
  <c r="AV119" i="18"/>
  <c r="AV36" i="18"/>
  <c r="AV22" i="18"/>
  <c r="AV102" i="18"/>
  <c r="AV89" i="18"/>
  <c r="AV21" i="18"/>
  <c r="AV83" i="18"/>
  <c r="AV46" i="18"/>
  <c r="AV20" i="18"/>
  <c r="AV14" i="18"/>
  <c r="K151" i="18"/>
  <c r="K64" i="18"/>
  <c r="K130" i="18"/>
  <c r="J81" i="18"/>
  <c r="J168" i="18" s="1"/>
  <c r="K82" i="18"/>
  <c r="K136" i="18"/>
  <c r="M7" i="18"/>
  <c r="M97" i="18" l="1"/>
  <c r="AW97" i="18" s="1"/>
  <c r="M101" i="18"/>
  <c r="M105" i="18"/>
  <c r="M109" i="18"/>
  <c r="M113" i="18"/>
  <c r="AW113" i="18" s="1"/>
  <c r="M117" i="18"/>
  <c r="AW133" i="18"/>
  <c r="M96" i="18"/>
  <c r="M100" i="18"/>
  <c r="M104" i="18"/>
  <c r="M108" i="18"/>
  <c r="AW108" i="18" s="1"/>
  <c r="M112" i="18"/>
  <c r="M95" i="18"/>
  <c r="M99" i="18"/>
  <c r="AW99" i="18" s="1"/>
  <c r="M103" i="18"/>
  <c r="M107" i="18"/>
  <c r="M111" i="18"/>
  <c r="M115" i="18"/>
  <c r="AW115" i="18" s="1"/>
  <c r="M119" i="18"/>
  <c r="M94" i="18"/>
  <c r="M110" i="18"/>
  <c r="M114" i="18"/>
  <c r="AW114" i="18" s="1"/>
  <c r="M120" i="18"/>
  <c r="M87" i="18"/>
  <c r="AW52" i="18"/>
  <c r="M34" i="18"/>
  <c r="M38" i="18"/>
  <c r="M42" i="18"/>
  <c r="AW42" i="18" s="1"/>
  <c r="M46" i="18"/>
  <c r="M106" i="18"/>
  <c r="M92" i="18"/>
  <c r="AW92" i="18" s="1"/>
  <c r="M91" i="18"/>
  <c r="M86" i="18"/>
  <c r="M83" i="18"/>
  <c r="AW51" i="18"/>
  <c r="M33" i="18"/>
  <c r="M37" i="18"/>
  <c r="M41" i="18"/>
  <c r="AW41" i="18" s="1"/>
  <c r="M45" i="18"/>
  <c r="M98" i="18"/>
  <c r="M116" i="18"/>
  <c r="AW116" i="18" s="1"/>
  <c r="M88" i="18"/>
  <c r="M71" i="18"/>
  <c r="M35" i="18"/>
  <c r="AW35" i="18" s="1"/>
  <c r="M43" i="18"/>
  <c r="AW43" i="18" s="1"/>
  <c r="M102" i="18"/>
  <c r="AW102" i="18" s="1"/>
  <c r="M118" i="18"/>
  <c r="M122" i="18"/>
  <c r="M93" i="18"/>
  <c r="M85" i="18"/>
  <c r="AW85" i="18" s="1"/>
  <c r="M72" i="18"/>
  <c r="M32" i="18"/>
  <c r="AW32" i="18" s="1"/>
  <c r="M36" i="18"/>
  <c r="M40" i="18"/>
  <c r="M44" i="18"/>
  <c r="M31" i="18"/>
  <c r="AW31" i="18" s="1"/>
  <c r="M121" i="18"/>
  <c r="AW121" i="18" s="1"/>
  <c r="M90" i="18"/>
  <c r="M89" i="18"/>
  <c r="M84" i="18"/>
  <c r="AW84" i="18" s="1"/>
  <c r="M39" i="18"/>
  <c r="M14" i="18"/>
  <c r="M12" i="18"/>
  <c r="M19" i="18"/>
  <c r="AW19" i="18" s="1"/>
  <c r="M16" i="18"/>
  <c r="M18" i="18"/>
  <c r="AW18" i="18" s="1"/>
  <c r="M17" i="18"/>
  <c r="AW17" i="18" s="1"/>
  <c r="M13" i="18"/>
  <c r="AW13" i="18" s="1"/>
  <c r="M20" i="18"/>
  <c r="M15" i="18"/>
  <c r="AW15" i="18" s="1"/>
  <c r="AU2" i="18"/>
  <c r="G16" i="24" s="1"/>
  <c r="G17" i="24" s="1"/>
  <c r="L130" i="18"/>
  <c r="AV156" i="18"/>
  <c r="L173" i="18"/>
  <c r="AV12" i="18"/>
  <c r="F136" i="23"/>
  <c r="F208" i="23" s="1"/>
  <c r="F125" i="23"/>
  <c r="L174" i="18"/>
  <c r="G170" i="23" s="1"/>
  <c r="D102" i="23"/>
  <c r="D114" i="23"/>
  <c r="L171" i="18"/>
  <c r="AV71" i="18"/>
  <c r="E207" i="23"/>
  <c r="E220" i="23"/>
  <c r="J170" i="18"/>
  <c r="AW109" i="18"/>
  <c r="AW103" i="18"/>
  <c r="AW91" i="18"/>
  <c r="AW55" i="18"/>
  <c r="AW72" i="18"/>
  <c r="AW157" i="18"/>
  <c r="AW125" i="18"/>
  <c r="AW119" i="18"/>
  <c r="AW107" i="18"/>
  <c r="AW101" i="18"/>
  <c r="AW95" i="18"/>
  <c r="AW89" i="18"/>
  <c r="AW83" i="18"/>
  <c r="AW53" i="18"/>
  <c r="AW132" i="18"/>
  <c r="AW124" i="18"/>
  <c r="AW118" i="18"/>
  <c r="AW112" i="18"/>
  <c r="AW106" i="18"/>
  <c r="AW100" i="18"/>
  <c r="AW94" i="18"/>
  <c r="AW88" i="18"/>
  <c r="AW131" i="18"/>
  <c r="AW123" i="18"/>
  <c r="AW117" i="18"/>
  <c r="AW111" i="18"/>
  <c r="AW105" i="18"/>
  <c r="AW93" i="18"/>
  <c r="AW87" i="18"/>
  <c r="AW122" i="18"/>
  <c r="AW110" i="18"/>
  <c r="AW104" i="18"/>
  <c r="AW98" i="18"/>
  <c r="AW86" i="18"/>
  <c r="AW56" i="18"/>
  <c r="AW50" i="18"/>
  <c r="AW37" i="18"/>
  <c r="AW44" i="18"/>
  <c r="AW38" i="18"/>
  <c r="AW16" i="18"/>
  <c r="AW90" i="18"/>
  <c r="AW22" i="18"/>
  <c r="AW96" i="18"/>
  <c r="AW54" i="18"/>
  <c r="AW21" i="18"/>
  <c r="AW36" i="18"/>
  <c r="AW120" i="18"/>
  <c r="AW46" i="18"/>
  <c r="AW40" i="18"/>
  <c r="AW34" i="18"/>
  <c r="AW20" i="18"/>
  <c r="AW14" i="18"/>
  <c r="AW39" i="18"/>
  <c r="AW33" i="18"/>
  <c r="AW45" i="18"/>
  <c r="L151" i="18"/>
  <c r="L49" i="18"/>
  <c r="G89" i="23" s="1"/>
  <c r="L64" i="18"/>
  <c r="G75" i="23" s="1"/>
  <c r="L82" i="18"/>
  <c r="L136" i="18"/>
  <c r="G169" i="23" s="1"/>
  <c r="K81" i="18"/>
  <c r="K168" i="18" s="1"/>
  <c r="F96" i="23"/>
  <c r="F169" i="23"/>
  <c r="G76" i="23"/>
  <c r="D76" i="23"/>
  <c r="H76" i="23"/>
  <c r="F75" i="23"/>
  <c r="E76" i="23"/>
  <c r="D75" i="23"/>
  <c r="F76" i="23"/>
  <c r="E75" i="23"/>
  <c r="G96" i="23"/>
  <c r="D95" i="23"/>
  <c r="D94" i="23"/>
  <c r="G95" i="23"/>
  <c r="H95" i="23"/>
  <c r="F95" i="23"/>
  <c r="D96" i="23"/>
  <c r="E94" i="23"/>
  <c r="E96" i="23"/>
  <c r="E95" i="23"/>
  <c r="F94" i="23"/>
  <c r="E89" i="23"/>
  <c r="D89" i="23"/>
  <c r="F89" i="23"/>
  <c r="D90" i="23"/>
  <c r="E90" i="23"/>
  <c r="N7" i="18"/>
  <c r="D169" i="23"/>
  <c r="E169" i="23"/>
  <c r="O141" i="18" l="1"/>
  <c r="N131" i="18"/>
  <c r="N94" i="18"/>
  <c r="AX94" i="18" s="1"/>
  <c r="N98" i="18"/>
  <c r="N102" i="18"/>
  <c r="N106" i="18"/>
  <c r="N110" i="18"/>
  <c r="AX110" i="18" s="1"/>
  <c r="N114" i="18"/>
  <c r="N118" i="18"/>
  <c r="O140" i="18"/>
  <c r="N97" i="18"/>
  <c r="N101" i="18"/>
  <c r="N105" i="18"/>
  <c r="O105" i="18" s="1"/>
  <c r="N109" i="18"/>
  <c r="N113" i="18"/>
  <c r="O143" i="18"/>
  <c r="N133" i="18"/>
  <c r="N96" i="18"/>
  <c r="AX96" i="18" s="1"/>
  <c r="N100" i="18"/>
  <c r="N104" i="18"/>
  <c r="AX104" i="18" s="1"/>
  <c r="N108" i="18"/>
  <c r="N112" i="18"/>
  <c r="AX112" i="18" s="1"/>
  <c r="N116" i="18"/>
  <c r="O142" i="18"/>
  <c r="N103" i="18"/>
  <c r="N115" i="18"/>
  <c r="AX115" i="18" s="1"/>
  <c r="N121" i="18"/>
  <c r="N90" i="18"/>
  <c r="O90" i="18" s="1"/>
  <c r="N89" i="18"/>
  <c r="N84" i="18"/>
  <c r="AX84" i="18" s="1"/>
  <c r="N88" i="18"/>
  <c r="N71" i="18"/>
  <c r="O71" i="18" s="1"/>
  <c r="N53" i="18"/>
  <c r="N35" i="18"/>
  <c r="N39" i="18"/>
  <c r="N43" i="18"/>
  <c r="AX43" i="18" s="1"/>
  <c r="O138" i="18"/>
  <c r="N99" i="18"/>
  <c r="AX99" i="18" s="1"/>
  <c r="N120" i="18"/>
  <c r="AX124" i="18"/>
  <c r="N87" i="18"/>
  <c r="N52" i="18"/>
  <c r="O52" i="18" s="1"/>
  <c r="N56" i="18"/>
  <c r="N34" i="18"/>
  <c r="N38" i="18"/>
  <c r="N42" i="18"/>
  <c r="AX42" i="18" s="1"/>
  <c r="N46" i="18"/>
  <c r="N132" i="18"/>
  <c r="N107" i="18"/>
  <c r="N93" i="18"/>
  <c r="AX93" i="18" s="1"/>
  <c r="N72" i="18"/>
  <c r="N54" i="18"/>
  <c r="N50" i="18"/>
  <c r="N32" i="18"/>
  <c r="AX32" i="18" s="1"/>
  <c r="N36" i="18"/>
  <c r="N44" i="18"/>
  <c r="N95" i="18"/>
  <c r="N111" i="18"/>
  <c r="AX111" i="18" s="1"/>
  <c r="N119" i="18"/>
  <c r="N92" i="18"/>
  <c r="N91" i="18"/>
  <c r="AX91" i="18" s="1"/>
  <c r="N86" i="18"/>
  <c r="N83" i="18"/>
  <c r="N51" i="18"/>
  <c r="N55" i="18"/>
  <c r="AX55" i="18" s="1"/>
  <c r="N33" i="18"/>
  <c r="N37" i="18"/>
  <c r="N41" i="18"/>
  <c r="N45" i="18"/>
  <c r="AX45" i="18" s="1"/>
  <c r="N117" i="18"/>
  <c r="N122" i="18"/>
  <c r="AX122" i="18" s="1"/>
  <c r="N85" i="18"/>
  <c r="N40" i="18"/>
  <c r="N31" i="18"/>
  <c r="N19" i="18"/>
  <c r="N14" i="18"/>
  <c r="N12" i="18"/>
  <c r="O12" i="18" s="1"/>
  <c r="N16" i="18"/>
  <c r="N18" i="18"/>
  <c r="N13" i="18"/>
  <c r="N20" i="18"/>
  <c r="AX20" i="18" s="1"/>
  <c r="N15" i="18"/>
  <c r="N17" i="18"/>
  <c r="G94" i="23"/>
  <c r="G97" i="23" s="1"/>
  <c r="G124" i="23" s="1"/>
  <c r="M174" i="18"/>
  <c r="H170" i="23" s="1"/>
  <c r="F90" i="23"/>
  <c r="G136" i="23"/>
  <c r="G208" i="23" s="1"/>
  <c r="G125" i="23"/>
  <c r="D154" i="23"/>
  <c r="E29" i="24" s="1"/>
  <c r="D206" i="23"/>
  <c r="E40" i="24" s="1"/>
  <c r="D217" i="23"/>
  <c r="D205" i="23"/>
  <c r="E39" i="24" s="1"/>
  <c r="D214" i="23"/>
  <c r="D149" i="23"/>
  <c r="E28" i="24" s="1"/>
  <c r="M171" i="18"/>
  <c r="AW71" i="18"/>
  <c r="F207" i="23"/>
  <c r="F220" i="23"/>
  <c r="AW12" i="18"/>
  <c r="M173" i="18"/>
  <c r="AW156" i="18"/>
  <c r="AV2" i="18"/>
  <c r="H16" i="24" s="1"/>
  <c r="H17" i="24" s="1"/>
  <c r="E102" i="23"/>
  <c r="E114" i="23"/>
  <c r="K170" i="18"/>
  <c r="M151" i="18"/>
  <c r="H96" i="23" s="1"/>
  <c r="O160" i="18"/>
  <c r="AX72" i="18"/>
  <c r="O159" i="18"/>
  <c r="AX108" i="18"/>
  <c r="AX102" i="18"/>
  <c r="AX54" i="18"/>
  <c r="O158" i="18"/>
  <c r="AX125" i="18"/>
  <c r="O155" i="18"/>
  <c r="AX132" i="18"/>
  <c r="O154" i="18"/>
  <c r="O66" i="18"/>
  <c r="O153" i="18"/>
  <c r="AX131" i="18"/>
  <c r="AX123" i="18"/>
  <c r="AX117" i="18"/>
  <c r="AX87" i="18"/>
  <c r="AX51" i="18"/>
  <c r="O145" i="18"/>
  <c r="O139" i="18"/>
  <c r="AX116" i="18"/>
  <c r="AX98" i="18"/>
  <c r="AX92" i="18"/>
  <c r="AX86" i="18"/>
  <c r="AX56" i="18"/>
  <c r="AX50" i="18"/>
  <c r="O144" i="18"/>
  <c r="AX121" i="18"/>
  <c r="AX109" i="18"/>
  <c r="AX103" i="18"/>
  <c r="O69" i="18"/>
  <c r="AX44" i="18"/>
  <c r="AX38" i="18"/>
  <c r="AX18" i="18"/>
  <c r="AX119" i="18"/>
  <c r="AX107" i="18"/>
  <c r="AX88" i="18"/>
  <c r="AX17" i="18"/>
  <c r="AX36" i="18"/>
  <c r="AX22" i="18"/>
  <c r="AX16" i="18"/>
  <c r="AX21" i="18"/>
  <c r="AX15" i="18"/>
  <c r="AX95" i="18"/>
  <c r="O67" i="18"/>
  <c r="AX14" i="18"/>
  <c r="AX83" i="18"/>
  <c r="AX89" i="18"/>
  <c r="AX39" i="18"/>
  <c r="M49" i="18"/>
  <c r="H89" i="23" s="1"/>
  <c r="M82" i="18"/>
  <c r="O68" i="18"/>
  <c r="O70" i="18"/>
  <c r="O92" i="18"/>
  <c r="O96" i="18"/>
  <c r="O98" i="18"/>
  <c r="O102" i="18"/>
  <c r="O107" i="18"/>
  <c r="O109" i="18"/>
  <c r="O116" i="18"/>
  <c r="O126" i="18"/>
  <c r="O127" i="18"/>
  <c r="O128" i="18"/>
  <c r="O38" i="18"/>
  <c r="M136" i="18"/>
  <c r="H169" i="23" s="1"/>
  <c r="M130" i="18"/>
  <c r="L81" i="18"/>
  <c r="L170" i="18" s="1"/>
  <c r="M64" i="18"/>
  <c r="O15" i="18"/>
  <c r="O17" i="18"/>
  <c r="F97" i="23"/>
  <c r="F124" i="23" s="1"/>
  <c r="D175" i="23"/>
  <c r="D97" i="23"/>
  <c r="D124" i="23" s="1"/>
  <c r="D130" i="23" s="1"/>
  <c r="E196" i="23"/>
  <c r="F98" i="23"/>
  <c r="F135" i="23" s="1"/>
  <c r="F223" i="23" s="1"/>
  <c r="G222" i="23" s="1"/>
  <c r="E98" i="23"/>
  <c r="E135" i="23" s="1"/>
  <c r="E223" i="23" s="1"/>
  <c r="F222" i="23" s="1"/>
  <c r="F196" i="23"/>
  <c r="D195" i="23"/>
  <c r="D201" i="23" s="1"/>
  <c r="E97" i="23"/>
  <c r="E124" i="23" s="1"/>
  <c r="F219" i="23" s="1"/>
  <c r="E195" i="23"/>
  <c r="D98" i="23"/>
  <c r="D135" i="23" s="1"/>
  <c r="E222" i="23" s="1"/>
  <c r="F195" i="23"/>
  <c r="D196" i="23"/>
  <c r="D202" i="23" s="1"/>
  <c r="AX52" i="18" l="1"/>
  <c r="AX105" i="18"/>
  <c r="AX90" i="18"/>
  <c r="O45" i="18"/>
  <c r="O122" i="18"/>
  <c r="O94" i="18"/>
  <c r="G195" i="23"/>
  <c r="G196" i="23"/>
  <c r="G98" i="23"/>
  <c r="G135" i="23" s="1"/>
  <c r="G223" i="23" s="1"/>
  <c r="H222" i="23" s="1"/>
  <c r="G219" i="23"/>
  <c r="O95" i="18"/>
  <c r="O121" i="18"/>
  <c r="O91" i="18"/>
  <c r="O44" i="18"/>
  <c r="O111" i="18"/>
  <c r="O32" i="18"/>
  <c r="O42" i="18"/>
  <c r="O36" i="18"/>
  <c r="O125" i="18"/>
  <c r="O124" i="18"/>
  <c r="O88" i="18"/>
  <c r="O87" i="18"/>
  <c r="O72" i="18"/>
  <c r="O132" i="18"/>
  <c r="O51" i="18"/>
  <c r="O108" i="18"/>
  <c r="O56" i="18"/>
  <c r="O84" i="18"/>
  <c r="O93" i="18"/>
  <c r="O54" i="18"/>
  <c r="O103" i="18"/>
  <c r="O117" i="18"/>
  <c r="O55" i="18"/>
  <c r="O39" i="18"/>
  <c r="O112" i="18"/>
  <c r="O110" i="18"/>
  <c r="O123" i="18"/>
  <c r="AW2" i="18"/>
  <c r="O119" i="18"/>
  <c r="G102" i="23"/>
  <c r="G114" i="23"/>
  <c r="O35" i="18"/>
  <c r="AX35" i="18"/>
  <c r="O31" i="18"/>
  <c r="AX31" i="18"/>
  <c r="O41" i="18"/>
  <c r="AX41" i="18"/>
  <c r="O37" i="18"/>
  <c r="AX37" i="18"/>
  <c r="O101" i="18"/>
  <c r="AX101" i="18"/>
  <c r="AX71" i="18"/>
  <c r="N171" i="18"/>
  <c r="O171" i="18" s="1"/>
  <c r="O106" i="18"/>
  <c r="AX106" i="18"/>
  <c r="H136" i="23"/>
  <c r="H208" i="23" s="1"/>
  <c r="H125" i="23"/>
  <c r="O34" i="18"/>
  <c r="AX34" i="18"/>
  <c r="O113" i="18"/>
  <c r="AX113" i="18"/>
  <c r="F102" i="23"/>
  <c r="F114" i="23"/>
  <c r="F52" i="24"/>
  <c r="F50" i="24"/>
  <c r="O100" i="18"/>
  <c r="AX100" i="18"/>
  <c r="O104" i="18"/>
  <c r="O89" i="18"/>
  <c r="O13" i="18"/>
  <c r="AX13" i="18"/>
  <c r="O40" i="18"/>
  <c r="AX40" i="18"/>
  <c r="O53" i="18"/>
  <c r="AX53" i="18"/>
  <c r="O85" i="18"/>
  <c r="AX85" i="18"/>
  <c r="E217" i="23"/>
  <c r="E154" i="23"/>
  <c r="F29" i="24" s="1"/>
  <c r="E206" i="23"/>
  <c r="F40" i="24" s="1"/>
  <c r="O19" i="18"/>
  <c r="AX19" i="18"/>
  <c r="O46" i="18"/>
  <c r="AX46" i="18"/>
  <c r="O156" i="18"/>
  <c r="AX156" i="18"/>
  <c r="N173" i="18"/>
  <c r="O173" i="18" s="1"/>
  <c r="E205" i="23"/>
  <c r="F39" i="24" s="1"/>
  <c r="E214" i="23"/>
  <c r="E149" i="23"/>
  <c r="F28" i="24" s="1"/>
  <c r="F48" i="24"/>
  <c r="F46" i="24"/>
  <c r="O33" i="18"/>
  <c r="AX33" i="18"/>
  <c r="O97" i="18"/>
  <c r="AX97" i="18"/>
  <c r="O99" i="18"/>
  <c r="O86" i="18"/>
  <c r="O118" i="18"/>
  <c r="AX118" i="18"/>
  <c r="AX12" i="18"/>
  <c r="O133" i="18"/>
  <c r="AX133" i="18"/>
  <c r="O114" i="18"/>
  <c r="AX114" i="18"/>
  <c r="F59" i="24"/>
  <c r="F61" i="24"/>
  <c r="O43" i="18"/>
  <c r="O115" i="18"/>
  <c r="O120" i="18"/>
  <c r="AX120" i="18"/>
  <c r="F63" i="24"/>
  <c r="F65" i="24"/>
  <c r="N174" i="18"/>
  <c r="O174" i="18" s="1"/>
  <c r="G207" i="23"/>
  <c r="G220" i="23"/>
  <c r="H219" i="23" s="1"/>
  <c r="O157" i="18"/>
  <c r="AX157" i="18"/>
  <c r="N151" i="18"/>
  <c r="O151" i="18" s="1"/>
  <c r="O152" i="18"/>
  <c r="L168" i="18"/>
  <c r="G90" i="23"/>
  <c r="H94" i="23"/>
  <c r="H75" i="23"/>
  <c r="N49" i="18"/>
  <c r="O50" i="18"/>
  <c r="N64" i="18"/>
  <c r="O64" i="18" s="1"/>
  <c r="O65" i="18"/>
  <c r="N130" i="18"/>
  <c r="O131" i="18"/>
  <c r="N82" i="18"/>
  <c r="O83" i="18"/>
  <c r="M81" i="18"/>
  <c r="M170" i="18" s="1"/>
  <c r="N136" i="18"/>
  <c r="O136" i="18" s="1"/>
  <c r="O137" i="18"/>
  <c r="O18" i="18"/>
  <c r="E202" i="23"/>
  <c r="F202" i="23" s="1"/>
  <c r="D141" i="23"/>
  <c r="E141" i="23" s="1"/>
  <c r="E201" i="23"/>
  <c r="F201" i="23" s="1"/>
  <c r="E219" i="23"/>
  <c r="E175" i="23"/>
  <c r="E130" i="23"/>
  <c r="D12" i="20"/>
  <c r="D11" i="20"/>
  <c r="C13" i="20"/>
  <c r="D13" i="20"/>
  <c r="C11" i="20"/>
  <c r="C12" i="20"/>
  <c r="G202" i="23" l="1"/>
  <c r="AX2" i="18"/>
  <c r="H102" i="23"/>
  <c r="H114" i="23"/>
  <c r="H207" i="23"/>
  <c r="H220" i="23"/>
  <c r="G59" i="24"/>
  <c r="G61" i="24"/>
  <c r="G63" i="24"/>
  <c r="G65" i="24"/>
  <c r="G52" i="24"/>
  <c r="G50" i="24"/>
  <c r="G46" i="24"/>
  <c r="G48" i="24"/>
  <c r="F206" i="23"/>
  <c r="G40" i="24" s="1"/>
  <c r="F154" i="23"/>
  <c r="G29" i="24" s="1"/>
  <c r="F217" i="23"/>
  <c r="G217" i="23"/>
  <c r="G154" i="23"/>
  <c r="H29" i="24" s="1"/>
  <c r="G206" i="23"/>
  <c r="H40" i="24" s="1"/>
  <c r="F205" i="23"/>
  <c r="G39" i="24" s="1"/>
  <c r="F214" i="23"/>
  <c r="F149" i="23"/>
  <c r="G28" i="24" s="1"/>
  <c r="G205" i="23"/>
  <c r="H39" i="24" s="1"/>
  <c r="G149" i="23"/>
  <c r="H28" i="24" s="1"/>
  <c r="H195" i="23"/>
  <c r="H97" i="23"/>
  <c r="H124" i="23" s="1"/>
  <c r="H98" i="23"/>
  <c r="H135" i="23" s="1"/>
  <c r="H223" i="23" s="1"/>
  <c r="H196" i="23"/>
  <c r="H202" i="23" s="1"/>
  <c r="M168" i="18"/>
  <c r="H90" i="23"/>
  <c r="O130" i="18"/>
  <c r="O49" i="18"/>
  <c r="N81" i="18"/>
  <c r="O81" i="18" s="1"/>
  <c r="O82" i="18"/>
  <c r="F141" i="23"/>
  <c r="F130" i="23"/>
  <c r="G201" i="23"/>
  <c r="F175" i="23"/>
  <c r="I50" i="24" l="1"/>
  <c r="I52" i="24"/>
  <c r="H46" i="24"/>
  <c r="H48" i="24"/>
  <c r="I46" i="24"/>
  <c r="I48" i="24"/>
  <c r="I61" i="24"/>
  <c r="I59" i="24"/>
  <c r="I65" i="24"/>
  <c r="I63" i="24"/>
  <c r="H65" i="24"/>
  <c r="H63" i="24"/>
  <c r="H206" i="23"/>
  <c r="I40" i="24" s="1"/>
  <c r="H154" i="23"/>
  <c r="I29" i="24" s="1"/>
  <c r="H217" i="23"/>
  <c r="H50" i="24"/>
  <c r="H52" i="24"/>
  <c r="H61" i="24"/>
  <c r="H59" i="24"/>
  <c r="H205" i="23"/>
  <c r="I39" i="24" s="1"/>
  <c r="H214" i="23"/>
  <c r="H149" i="23"/>
  <c r="I28" i="24" s="1"/>
  <c r="N170" i="18"/>
  <c r="O170" i="18" s="1"/>
  <c r="N168" i="18"/>
  <c r="G141" i="23"/>
  <c r="G175" i="23"/>
  <c r="H201" i="23"/>
  <c r="G130" i="23"/>
  <c r="F160" i="13"/>
  <c r="F155" i="13"/>
  <c r="F154" i="13" s="1"/>
  <c r="E154" i="13"/>
  <c r="D154" i="13"/>
  <c r="F152" i="13"/>
  <c r="F151" i="13"/>
  <c r="F150" i="13"/>
  <c r="F149" i="13"/>
  <c r="F148" i="13"/>
  <c r="F147" i="13"/>
  <c r="F146" i="13"/>
  <c r="E145" i="13"/>
  <c r="E23" i="13" s="1"/>
  <c r="D145" i="13"/>
  <c r="D23" i="13" s="1"/>
  <c r="F143" i="13"/>
  <c r="F142" i="13"/>
  <c r="F141" i="13"/>
  <c r="F140" i="13"/>
  <c r="F139" i="13"/>
  <c r="F138" i="13"/>
  <c r="F137" i="13"/>
  <c r="F136" i="13"/>
  <c r="E135" i="13"/>
  <c r="E22" i="13" s="1"/>
  <c r="D135" i="13"/>
  <c r="D22" i="13" s="1"/>
  <c r="F133" i="13"/>
  <c r="F132" i="13"/>
  <c r="F131" i="13"/>
  <c r="F130" i="13"/>
  <c r="F129" i="13"/>
  <c r="F128" i="13"/>
  <c r="F127" i="13"/>
  <c r="F126" i="13"/>
  <c r="F125" i="13"/>
  <c r="F124" i="13"/>
  <c r="E123" i="13"/>
  <c r="E21" i="13" s="1"/>
  <c r="D123" i="13"/>
  <c r="D21" i="13" s="1"/>
  <c r="F121" i="13"/>
  <c r="F120" i="13"/>
  <c r="F117" i="13"/>
  <c r="F116" i="13"/>
  <c r="F107" i="13"/>
  <c r="F106" i="13"/>
  <c r="F105" i="13"/>
  <c r="F104" i="13"/>
  <c r="F103" i="13"/>
  <c r="F72" i="13"/>
  <c r="F71" i="13"/>
  <c r="F70" i="13"/>
  <c r="F69" i="13"/>
  <c r="F68" i="13"/>
  <c r="F67" i="13"/>
  <c r="F52" i="13"/>
  <c r="F51" i="13"/>
  <c r="E48" i="13"/>
  <c r="E17" i="13" s="1"/>
  <c r="F49" i="13"/>
  <c r="D48" i="13"/>
  <c r="D17" i="13" s="1"/>
  <c r="F46" i="13"/>
  <c r="F45" i="13"/>
  <c r="F44" i="13"/>
  <c r="F42" i="13"/>
  <c r="E40" i="13"/>
  <c r="F39" i="13"/>
  <c r="E36" i="13"/>
  <c r="D36" i="13"/>
  <c r="F37" i="13"/>
  <c r="F35" i="13"/>
  <c r="D34" i="13"/>
  <c r="F34" i="13" s="1"/>
  <c r="D33" i="13"/>
  <c r="F33" i="13" s="1"/>
  <c r="E32" i="13"/>
  <c r="E24" i="13"/>
  <c r="D24" i="13"/>
  <c r="E95" i="13" l="1"/>
  <c r="F56" i="13"/>
  <c r="F101" i="13"/>
  <c r="H141" i="23"/>
  <c r="H175" i="23"/>
  <c r="H130" i="23"/>
  <c r="F38" i="13"/>
  <c r="F36" i="13" s="1"/>
  <c r="F123" i="13"/>
  <c r="F21" i="13" s="1"/>
  <c r="F135" i="13"/>
  <c r="F22" i="13" s="1"/>
  <c r="D40" i="13"/>
  <c r="E115" i="13"/>
  <c r="F119" i="13"/>
  <c r="F24" i="13"/>
  <c r="F50" i="13"/>
  <c r="F48" i="13" s="1"/>
  <c r="F17" i="13" s="1"/>
  <c r="D115" i="13"/>
  <c r="F145" i="13"/>
  <c r="F23" i="13" s="1"/>
  <c r="F32" i="13"/>
  <c r="F102" i="13"/>
  <c r="F118" i="13"/>
  <c r="E31" i="13"/>
  <c r="E16" i="13" s="1"/>
  <c r="E15" i="13" s="1"/>
  <c r="E30" i="13"/>
  <c r="D32" i="13"/>
  <c r="F41" i="13"/>
  <c r="F40" i="13" s="1"/>
  <c r="E94" i="13" l="1"/>
  <c r="E19" i="13" s="1"/>
  <c r="F115" i="13"/>
  <c r="F95" i="13"/>
  <c r="D94" i="13"/>
  <c r="D19" i="13" s="1"/>
  <c r="E55" i="13"/>
  <c r="D30" i="13"/>
  <c r="F30" i="13"/>
  <c r="F55" i="13"/>
  <c r="F20" i="13" s="1"/>
  <c r="F31" i="13"/>
  <c r="F16" i="13" s="1"/>
  <c r="F15" i="13" s="1"/>
  <c r="D31" i="13"/>
  <c r="D16" i="13" s="1"/>
  <c r="D15" i="13" s="1"/>
  <c r="E54" i="13" l="1"/>
  <c r="E156" i="13" s="1"/>
  <c r="E161" i="13" s="1"/>
  <c r="F94" i="13"/>
  <c r="F19" i="13" s="1"/>
  <c r="F18" i="13" s="1"/>
  <c r="F14" i="13" s="1"/>
  <c r="E20" i="13"/>
  <c r="E18" i="13" s="1"/>
  <c r="E14" i="13" s="1"/>
  <c r="F54" i="13" l="1"/>
  <c r="F156" i="13" s="1"/>
  <c r="F161" i="13" s="1"/>
  <c r="E25" i="13"/>
  <c r="F25" i="13"/>
  <c r="C3" i="20"/>
  <c r="D3" i="20"/>
  <c r="D10" i="20" l="1"/>
  <c r="C10" i="20"/>
  <c r="C4" i="20"/>
  <c r="C16" i="20"/>
  <c r="D4" i="20" l="1"/>
  <c r="D16" i="20"/>
  <c r="D5" i="20" l="1"/>
  <c r="D17" i="20"/>
  <c r="D29" i="16" l="1"/>
  <c r="C17" i="20"/>
  <c r="C5" i="20"/>
  <c r="D162" i="23" l="1"/>
  <c r="D6" i="20"/>
  <c r="E29" i="16"/>
  <c r="D18" i="20"/>
  <c r="C18" i="20" l="1"/>
  <c r="C6" i="20"/>
  <c r="D250" i="23" l="1"/>
  <c r="D246" i="23"/>
  <c r="D7" i="20"/>
  <c r="D19" i="20"/>
  <c r="C29" i="16"/>
  <c r="C245" i="23" l="1"/>
  <c r="F5" i="23"/>
  <c r="C244" i="23"/>
  <c r="C5" i="23"/>
  <c r="C68" i="23"/>
  <c r="E5" i="23"/>
  <c r="G5" i="23"/>
  <c r="H5" i="23"/>
  <c r="D5" i="23"/>
  <c r="D8" i="23" s="1"/>
  <c r="F29" i="16"/>
  <c r="D37" i="23"/>
  <c r="D36" i="23"/>
  <c r="D40" i="23" s="1"/>
  <c r="D273" i="23" s="1"/>
  <c r="D247" i="23"/>
  <c r="E250" i="23"/>
  <c r="E246" i="23"/>
  <c r="D160" i="23"/>
  <c r="D164" i="23" s="1"/>
  <c r="C7" i="20"/>
  <c r="H245" i="23" l="1"/>
  <c r="H244" i="23"/>
  <c r="D245" i="23"/>
  <c r="G245" i="23"/>
  <c r="G244" i="23"/>
  <c r="D244" i="23"/>
  <c r="D248" i="23" s="1"/>
  <c r="D252" i="23" s="1"/>
  <c r="D253" i="23" s="1"/>
  <c r="E247" i="23" s="1"/>
  <c r="F245" i="23"/>
  <c r="F244" i="23"/>
  <c r="F248" i="23" s="1"/>
  <c r="E245" i="23"/>
  <c r="E244" i="23"/>
  <c r="E248" i="23" s="1"/>
  <c r="D115" i="23"/>
  <c r="D117" i="23" s="1"/>
  <c r="D120" i="23" s="1"/>
  <c r="D103" i="23"/>
  <c r="D105" i="23" s="1"/>
  <c r="G171" i="23"/>
  <c r="G173" i="23" s="1"/>
  <c r="E115" i="23"/>
  <c r="F103" i="23"/>
  <c r="E77" i="23"/>
  <c r="H115" i="23"/>
  <c r="E103" i="23"/>
  <c r="H77" i="23"/>
  <c r="E171" i="23"/>
  <c r="E173" i="23" s="1"/>
  <c r="H103" i="23"/>
  <c r="G77" i="23"/>
  <c r="H171" i="23"/>
  <c r="H173" i="23" s="1"/>
  <c r="F115" i="23"/>
  <c r="F77" i="23"/>
  <c r="F171" i="23"/>
  <c r="F173" i="23" s="1"/>
  <c r="D77" i="23"/>
  <c r="D79" i="23" s="1"/>
  <c r="D82" i="23" s="1"/>
  <c r="G115" i="23"/>
  <c r="D171" i="23"/>
  <c r="D173" i="23" s="1"/>
  <c r="G103" i="23"/>
  <c r="F250" i="23"/>
  <c r="F246" i="23"/>
  <c r="E36" i="23"/>
  <c r="E40" i="23" s="1"/>
  <c r="E273" i="23" s="1"/>
  <c r="D165" i="23"/>
  <c r="D166" i="23" s="1"/>
  <c r="D177" i="23"/>
  <c r="E160" i="23"/>
  <c r="E164" i="23" s="1"/>
  <c r="E162" i="23"/>
  <c r="D161" i="23"/>
  <c r="C178" i="23"/>
  <c r="D27" i="23"/>
  <c r="D29" i="23" s="1"/>
  <c r="C57" i="23"/>
  <c r="C19" i="20"/>
  <c r="H27" i="23"/>
  <c r="H15" i="23"/>
  <c r="H126" i="23"/>
  <c r="H137" i="23"/>
  <c r="H139" i="23" s="1"/>
  <c r="D126" i="23"/>
  <c r="D128" i="23" s="1"/>
  <c r="D15" i="23"/>
  <c r="D41" i="23"/>
  <c r="D42" i="23" s="1"/>
  <c r="E38" i="23" s="1"/>
  <c r="D137" i="23"/>
  <c r="D139" i="23" s="1"/>
  <c r="C15" i="23"/>
  <c r="C45" i="23" s="1"/>
  <c r="G126" i="23"/>
  <c r="G15" i="23"/>
  <c r="G137" i="23"/>
  <c r="G139" i="23" s="1"/>
  <c r="G27" i="23"/>
  <c r="E137" i="23"/>
  <c r="E139" i="23" s="1"/>
  <c r="E126" i="23"/>
  <c r="E128" i="23" s="1"/>
  <c r="E15" i="23"/>
  <c r="E27" i="23"/>
  <c r="F15" i="23"/>
  <c r="F27" i="23"/>
  <c r="F137" i="23"/>
  <c r="F139" i="23" s="1"/>
  <c r="F126" i="23"/>
  <c r="E37" i="23" l="1"/>
  <c r="E41" i="23"/>
  <c r="E42" i="23" s="1"/>
  <c r="F38" i="23" s="1"/>
  <c r="B32" i="38"/>
  <c r="E252" i="23"/>
  <c r="E253" i="23" s="1"/>
  <c r="F247" i="23" s="1"/>
  <c r="F251" i="23" s="1"/>
  <c r="E251" i="23"/>
  <c r="D147" i="23"/>
  <c r="E179" i="23"/>
  <c r="E69" i="27"/>
  <c r="D176" i="23"/>
  <c r="E176" i="23" s="1"/>
  <c r="F176" i="23" s="1"/>
  <c r="G176" i="23" s="1"/>
  <c r="H176" i="23" s="1"/>
  <c r="D174" i="23"/>
  <c r="E172" i="23" s="1"/>
  <c r="E174" i="23" s="1"/>
  <c r="F172" i="23" s="1"/>
  <c r="F174" i="23" s="1"/>
  <c r="G172" i="23" s="1"/>
  <c r="G174" i="23" s="1"/>
  <c r="H172" i="23" s="1"/>
  <c r="H174" i="23" s="1"/>
  <c r="D179" i="23"/>
  <c r="D108" i="23"/>
  <c r="D251" i="23"/>
  <c r="F36" i="23"/>
  <c r="F40" i="23" s="1"/>
  <c r="F273" i="23" s="1"/>
  <c r="G250" i="23"/>
  <c r="G248" i="23"/>
  <c r="G246" i="23"/>
  <c r="E161" i="23"/>
  <c r="F160" i="23"/>
  <c r="F164" i="23" s="1"/>
  <c r="E177" i="23"/>
  <c r="F162" i="23"/>
  <c r="F179" i="23" s="1"/>
  <c r="E165" i="23"/>
  <c r="H128" i="23"/>
  <c r="G128" i="23"/>
  <c r="F128" i="23"/>
  <c r="F45" i="23"/>
  <c r="F49" i="23" s="1"/>
  <c r="E45" i="23"/>
  <c r="E49" i="23" s="1"/>
  <c r="D131" i="23"/>
  <c r="E131" i="23" s="1"/>
  <c r="E132" i="23" s="1"/>
  <c r="D129" i="23"/>
  <c r="D142" i="23"/>
  <c r="D143" i="23" s="1"/>
  <c r="D152" i="23"/>
  <c r="D140" i="23"/>
  <c r="E140" i="23" s="1"/>
  <c r="F140" i="23" s="1"/>
  <c r="G140" i="23" s="1"/>
  <c r="H140" i="23" s="1"/>
  <c r="H45" i="23"/>
  <c r="H49" i="23" s="1"/>
  <c r="G45" i="23"/>
  <c r="G49" i="23" s="1"/>
  <c r="D45" i="23"/>
  <c r="D49" i="23" s="1"/>
  <c r="D52" i="23" s="1"/>
  <c r="F37" i="23" l="1"/>
  <c r="F69" i="27"/>
  <c r="F252" i="23"/>
  <c r="F253" i="23" s="1"/>
  <c r="G69" i="27" s="1"/>
  <c r="D178" i="23"/>
  <c r="H250" i="23"/>
  <c r="H246" i="23"/>
  <c r="H248" i="23"/>
  <c r="G36" i="23"/>
  <c r="G40" i="23" s="1"/>
  <c r="G273" i="23" s="1"/>
  <c r="F165" i="23"/>
  <c r="F166" i="23" s="1"/>
  <c r="E166" i="23"/>
  <c r="G160" i="23"/>
  <c r="G164" i="23" s="1"/>
  <c r="F177" i="23"/>
  <c r="G162" i="23"/>
  <c r="G179" i="23" s="1"/>
  <c r="E129" i="23"/>
  <c r="F129" i="23" s="1"/>
  <c r="G129" i="23" s="1"/>
  <c r="H129" i="23" s="1"/>
  <c r="F41" i="23"/>
  <c r="F42" i="23" s="1"/>
  <c r="G38" i="23" s="1"/>
  <c r="E142" i="23"/>
  <c r="E143" i="23" s="1"/>
  <c r="D53" i="23"/>
  <c r="E52" i="23"/>
  <c r="D132" i="23"/>
  <c r="G37" i="23" l="1"/>
  <c r="G41" i="23"/>
  <c r="G42" i="23" s="1"/>
  <c r="H38" i="23" s="1"/>
  <c r="G247" i="23"/>
  <c r="G251" i="23" s="1"/>
  <c r="G252" i="23"/>
  <c r="G253" i="23" s="1"/>
  <c r="H247" i="23" s="1"/>
  <c r="H251" i="23" s="1"/>
  <c r="H36" i="23"/>
  <c r="H40" i="23" s="1"/>
  <c r="H273" i="23" s="1"/>
  <c r="G161" i="23"/>
  <c r="F178" i="23"/>
  <c r="G177" i="23"/>
  <c r="H160" i="23"/>
  <c r="H164" i="23" s="1"/>
  <c r="H177" i="23" s="1"/>
  <c r="H162" i="23"/>
  <c r="H179" i="23" s="1"/>
  <c r="E178" i="23"/>
  <c r="F161" i="23"/>
  <c r="G165" i="23"/>
  <c r="G166" i="23" s="1"/>
  <c r="E48" i="23"/>
  <c r="F142" i="23"/>
  <c r="F143" i="23" s="1"/>
  <c r="F131" i="23"/>
  <c r="E53" i="23"/>
  <c r="F48" i="23" s="1"/>
  <c r="F52" i="23"/>
  <c r="H37" i="23" l="1"/>
  <c r="H69" i="27"/>
  <c r="H252" i="23"/>
  <c r="H253" i="23" s="1"/>
  <c r="I69" i="27" s="1"/>
  <c r="H161" i="23"/>
  <c r="G178" i="23"/>
  <c r="H165" i="23"/>
  <c r="H166" i="23" s="1"/>
  <c r="H178" i="23" s="1"/>
  <c r="H41" i="23"/>
  <c r="H42" i="23" s="1"/>
  <c r="G142" i="23"/>
  <c r="G143" i="23" s="1"/>
  <c r="G52" i="23"/>
  <c r="F53" i="23"/>
  <c r="G48" i="23" s="1"/>
  <c r="G131" i="23"/>
  <c r="F132" i="23"/>
  <c r="H142" i="23" l="1"/>
  <c r="H143" i="23" s="1"/>
  <c r="H52" i="23"/>
  <c r="H53" i="23" s="1"/>
  <c r="G53" i="23"/>
  <c r="H48" i="23" s="1"/>
  <c r="G132" i="23"/>
  <c r="H131" i="23"/>
  <c r="H132" i="23" s="1"/>
  <c r="K18" i="29" l="1"/>
  <c r="Q25" i="29" s="1"/>
  <c r="I22" i="29"/>
  <c r="I25" i="29" l="1"/>
  <c r="K22" i="29"/>
  <c r="L25" i="29" s="1"/>
  <c r="S25" i="29"/>
  <c r="S26" i="29" s="1"/>
  <c r="Q26" i="29"/>
  <c r="K25" i="29" l="1"/>
  <c r="D31" i="23" s="1"/>
  <c r="E29" i="23" s="1"/>
  <c r="D64" i="23" l="1"/>
  <c r="E31" i="23"/>
  <c r="C21" i="23" l="1"/>
  <c r="D16" i="23"/>
  <c r="D19" i="23" s="1"/>
  <c r="D18" i="23"/>
  <c r="D62" i="23" s="1"/>
  <c r="F31" i="23"/>
  <c r="G29" i="23" s="1"/>
  <c r="D30" i="23"/>
  <c r="F29" i="23"/>
  <c r="D58" i="23" l="1"/>
  <c r="B31" i="38" s="1"/>
  <c r="C272" i="23"/>
  <c r="D6" i="23"/>
  <c r="D9" i="23" s="1"/>
  <c r="E16" i="23"/>
  <c r="E19" i="23" s="1"/>
  <c r="E18" i="23"/>
  <c r="E62" i="23" s="1"/>
  <c r="D63" i="23"/>
  <c r="D21" i="23"/>
  <c r="D22" i="23" s="1"/>
  <c r="D20" i="23"/>
  <c r="D61" i="23" s="1"/>
  <c r="G31" i="23"/>
  <c r="H29" i="23" s="1"/>
  <c r="E28" i="23"/>
  <c r="E30" i="23" s="1"/>
  <c r="C275" i="23" l="1"/>
  <c r="C276" i="23" s="1"/>
  <c r="C274" i="23"/>
  <c r="D10" i="23"/>
  <c r="D57" i="23" s="1"/>
  <c r="D11" i="23"/>
  <c r="E8" i="23"/>
  <c r="E58" i="23" s="1"/>
  <c r="D59" i="23"/>
  <c r="E6" i="23"/>
  <c r="E9" i="23" s="1"/>
  <c r="D272" i="23"/>
  <c r="F16" i="23"/>
  <c r="F19" i="23" s="1"/>
  <c r="F18" i="23"/>
  <c r="F62" i="23" s="1"/>
  <c r="E63" i="23"/>
  <c r="C12" i="23"/>
  <c r="E20" i="23"/>
  <c r="E61" i="23" s="1"/>
  <c r="E21" i="23"/>
  <c r="E22" i="23" s="1"/>
  <c r="H31" i="23"/>
  <c r="F28" i="23"/>
  <c r="F30" i="23" s="1"/>
  <c r="G28" i="23" s="1"/>
  <c r="G30" i="23" s="1"/>
  <c r="H28" i="23" s="1"/>
  <c r="H30" i="23" s="1"/>
  <c r="D12" i="23" l="1"/>
  <c r="E11" i="23"/>
  <c r="D274" i="23"/>
  <c r="D277" i="23" s="1"/>
  <c r="D275" i="23"/>
  <c r="D276" i="23" s="1"/>
  <c r="F8" i="23"/>
  <c r="F58" i="23" s="1"/>
  <c r="E59" i="23"/>
  <c r="F6" i="23"/>
  <c r="F9" i="23" s="1"/>
  <c r="E272" i="23"/>
  <c r="F20" i="23"/>
  <c r="F61" i="23" s="1"/>
  <c r="F21" i="23"/>
  <c r="G16" i="23"/>
  <c r="G19" i="23" s="1"/>
  <c r="G18" i="23"/>
  <c r="G62" i="23" s="1"/>
  <c r="F63" i="23"/>
  <c r="E10" i="23"/>
  <c r="E57" i="23" s="1"/>
  <c r="C277" i="23"/>
  <c r="G20" i="23" l="1"/>
  <c r="G61" i="23" s="1"/>
  <c r="G21" i="23"/>
  <c r="G22" i="23" s="1"/>
  <c r="F11" i="23"/>
  <c r="F12" i="23" s="1"/>
  <c r="F10" i="23"/>
  <c r="F57" i="23" s="1"/>
  <c r="E274" i="23"/>
  <c r="E277" i="23" s="1"/>
  <c r="E275" i="23"/>
  <c r="E276" i="23" s="1"/>
  <c r="E12" i="23"/>
  <c r="H16" i="23"/>
  <c r="H19" i="23" s="1"/>
  <c r="H63" i="23" s="1"/>
  <c r="H18" i="23"/>
  <c r="H62" i="23" s="1"/>
  <c r="G63" i="23"/>
  <c r="G8" i="23"/>
  <c r="G58" i="23" s="1"/>
  <c r="G6" i="23"/>
  <c r="G9" i="23" s="1"/>
  <c r="F59" i="23"/>
  <c r="F272" i="23"/>
  <c r="F22" i="23"/>
  <c r="F275" i="23" l="1"/>
  <c r="F276" i="23" s="1"/>
  <c r="F274" i="23"/>
  <c r="F277" i="23" s="1"/>
  <c r="H6" i="23"/>
  <c r="H9" i="23" s="1"/>
  <c r="G59" i="23"/>
  <c r="H8" i="23"/>
  <c r="H58" i="23" s="1"/>
  <c r="G272" i="23"/>
  <c r="G10" i="23"/>
  <c r="G57" i="23" s="1"/>
  <c r="G11" i="23"/>
  <c r="G12" i="23" s="1"/>
  <c r="H21" i="23"/>
  <c r="H22" i="23" s="1"/>
  <c r="H20" i="23"/>
  <c r="H61" i="23" s="1"/>
  <c r="G275" i="23" l="1"/>
  <c r="G276" i="23" s="1"/>
  <c r="G274" i="23"/>
  <c r="G277" i="23" s="1"/>
  <c r="H10" i="23"/>
  <c r="H57" i="23" s="1"/>
  <c r="H11" i="23"/>
  <c r="H12" i="23" s="1"/>
  <c r="H59" i="23"/>
  <c r="H272" i="23"/>
  <c r="H275" i="23" l="1"/>
  <c r="H276" i="23" s="1"/>
  <c r="H274" i="23"/>
  <c r="H277" i="23" s="1"/>
  <c r="D55" i="13" l="1"/>
  <c r="D54" i="13" s="1"/>
  <c r="D156" i="13" s="1"/>
  <c r="D161" i="13" s="1"/>
  <c r="D20" i="13" l="1"/>
  <c r="D18" i="13" s="1"/>
  <c r="D14" i="13" s="1"/>
  <c r="D25" i="13" l="1"/>
  <c r="E20" i="27" l="1"/>
  <c r="F20" i="27"/>
  <c r="I19" i="27"/>
  <c r="E19" i="27"/>
  <c r="D22" i="27"/>
  <c r="G36" i="27"/>
  <c r="H36" i="27"/>
  <c r="E21" i="27"/>
  <c r="D21" i="27"/>
  <c r="E37" i="27" s="1"/>
  <c r="H21" i="27"/>
  <c r="G20" i="27"/>
  <c r="D20" i="27"/>
  <c r="I20" i="27"/>
  <c r="G19" i="27"/>
  <c r="H22" i="27"/>
  <c r="F21" i="27"/>
  <c r="F61" i="27"/>
  <c r="H61" i="27"/>
  <c r="I61" i="27"/>
  <c r="G61" i="27"/>
  <c r="E61" i="27"/>
  <c r="F19" i="27"/>
  <c r="H20" i="27"/>
  <c r="I21" i="27"/>
  <c r="G22" i="27"/>
  <c r="F22" i="27"/>
  <c r="I36" i="27"/>
  <c r="E22" i="27"/>
  <c r="H19" i="27"/>
  <c r="I22" i="27"/>
  <c r="G21" i="27"/>
  <c r="F36" i="27"/>
  <c r="E36" i="27"/>
  <c r="F62" i="27" l="1"/>
  <c r="I62" i="27"/>
  <c r="G62" i="27"/>
  <c r="H62" i="27"/>
  <c r="E62" i="27"/>
  <c r="G37" i="27"/>
  <c r="F37" i="27"/>
  <c r="H37" i="27"/>
  <c r="I37" i="27"/>
  <c r="G44" i="27"/>
  <c r="G52" i="27"/>
  <c r="E44" i="27"/>
  <c r="E52" i="27"/>
  <c r="E53" i="27"/>
  <c r="E45" i="27"/>
  <c r="F52" i="27"/>
  <c r="F44" i="27"/>
  <c r="I44" i="27"/>
  <c r="I52" i="27"/>
  <c r="H52" i="27"/>
  <c r="H44" i="27"/>
  <c r="O22" i="18"/>
  <c r="G10" i="18"/>
  <c r="N10" i="18"/>
  <c r="N8" i="18" s="1"/>
  <c r="O20" i="18"/>
  <c r="D10" i="18"/>
  <c r="D8" i="18" s="1"/>
  <c r="M10" i="18"/>
  <c r="M8" i="18" s="1"/>
  <c r="I10" i="18"/>
  <c r="H74" i="23" s="1"/>
  <c r="O16" i="18"/>
  <c r="C10" i="18"/>
  <c r="C8" i="18" s="1"/>
  <c r="O14" i="18"/>
  <c r="L10" i="18"/>
  <c r="L8" i="18" s="1"/>
  <c r="J10" i="18"/>
  <c r="J8" i="18" s="1"/>
  <c r="H10" i="18"/>
  <c r="K10" i="18"/>
  <c r="K8" i="18" s="1"/>
  <c r="E10" i="18"/>
  <c r="E8" i="18" s="1"/>
  <c r="F10" i="18"/>
  <c r="F8" i="18" s="1"/>
  <c r="H45" i="27" l="1"/>
  <c r="H53" i="27"/>
  <c r="F53" i="27"/>
  <c r="F45" i="27"/>
  <c r="G45" i="27"/>
  <c r="I45" i="27"/>
  <c r="G53" i="27"/>
  <c r="I53" i="27"/>
  <c r="F74" i="23"/>
  <c r="G74" i="23"/>
  <c r="D74" i="23"/>
  <c r="D81" i="23" s="1"/>
  <c r="E79" i="23" s="1"/>
  <c r="E82" i="23" s="1"/>
  <c r="F175" i="18"/>
  <c r="N175" i="18"/>
  <c r="M175" i="18"/>
  <c r="K175" i="18"/>
  <c r="J175" i="18"/>
  <c r="O169" i="18"/>
  <c r="I8" i="18"/>
  <c r="G175" i="18"/>
  <c r="H260" i="23"/>
  <c r="E175" i="18"/>
  <c r="L175" i="18"/>
  <c r="I175" i="18"/>
  <c r="F88" i="23"/>
  <c r="F91" i="23" s="1"/>
  <c r="G8" i="18"/>
  <c r="H8" i="18"/>
  <c r="H88" i="23"/>
  <c r="H91" i="23" s="1"/>
  <c r="G88" i="23"/>
  <c r="G91" i="23" s="1"/>
  <c r="E88" i="23"/>
  <c r="E91" i="23" s="1"/>
  <c r="D88" i="23"/>
  <c r="D91" i="23" s="1"/>
  <c r="D92" i="23" s="1"/>
  <c r="D101" i="23" s="1"/>
  <c r="O10" i="18"/>
  <c r="E74" i="23"/>
  <c r="H93" i="23" l="1"/>
  <c r="H113" i="23" s="1"/>
  <c r="H92" i="23"/>
  <c r="E93" i="23"/>
  <c r="E92" i="23"/>
  <c r="E193" i="23" s="1"/>
  <c r="D93" i="23"/>
  <c r="D194" i="23" s="1"/>
  <c r="D200" i="23" s="1"/>
  <c r="G93" i="23"/>
  <c r="G194" i="23" s="1"/>
  <c r="G92" i="23"/>
  <c r="F93" i="23"/>
  <c r="F113" i="23" s="1"/>
  <c r="G216" i="23" s="1"/>
  <c r="G239" i="23" s="1"/>
  <c r="F92" i="23"/>
  <c r="D80" i="23"/>
  <c r="E78" i="23" s="1"/>
  <c r="E80" i="23" s="1"/>
  <c r="F78" i="23" s="1"/>
  <c r="D83" i="23"/>
  <c r="E81" i="23"/>
  <c r="F81" i="23" s="1"/>
  <c r="O8" i="18"/>
  <c r="H194" i="23" l="1"/>
  <c r="E113" i="23"/>
  <c r="F216" i="23" s="1"/>
  <c r="F239" i="23" s="1"/>
  <c r="E194" i="23"/>
  <c r="E200" i="23" s="1"/>
  <c r="D113" i="23"/>
  <c r="D119" i="23" s="1"/>
  <c r="G113" i="23"/>
  <c r="H216" i="23" s="1"/>
  <c r="H239" i="23" s="1"/>
  <c r="F194" i="23"/>
  <c r="G101" i="23"/>
  <c r="G193" i="23"/>
  <c r="E101" i="23"/>
  <c r="F213" i="23" s="1"/>
  <c r="F238" i="23" s="1"/>
  <c r="F101" i="23"/>
  <c r="G213" i="23" s="1"/>
  <c r="F193" i="23"/>
  <c r="D193" i="23"/>
  <c r="D199" i="23" s="1"/>
  <c r="H193" i="23"/>
  <c r="H101" i="23"/>
  <c r="E83" i="23"/>
  <c r="F79" i="23"/>
  <c r="F82" i="23" s="1"/>
  <c r="F83" i="23" s="1"/>
  <c r="E35" i="24"/>
  <c r="F58" i="24" s="1"/>
  <c r="G81" i="23"/>
  <c r="G79" i="23"/>
  <c r="D118" i="23" l="1"/>
  <c r="E216" i="23"/>
  <c r="E239" i="23" s="1"/>
  <c r="D107" i="23"/>
  <c r="E213" i="23"/>
  <c r="E238" i="23" s="1"/>
  <c r="D106" i="23"/>
  <c r="F60" i="24"/>
  <c r="E34" i="24"/>
  <c r="E199" i="23"/>
  <c r="G214" i="23"/>
  <c r="G238" i="23" s="1"/>
  <c r="F80" i="23"/>
  <c r="G78" i="23" s="1"/>
  <c r="G80" i="23" s="1"/>
  <c r="H78" i="23" s="1"/>
  <c r="H81" i="23"/>
  <c r="H79" i="23"/>
  <c r="D153" i="23"/>
  <c r="E25" i="24" s="1"/>
  <c r="F62" i="24" s="1"/>
  <c r="E119" i="23"/>
  <c r="E117" i="23"/>
  <c r="E118" i="23" s="1"/>
  <c r="D121" i="23"/>
  <c r="D151" i="23" s="1"/>
  <c r="E23" i="24" s="1"/>
  <c r="F64" i="24" s="1"/>
  <c r="F200" i="23"/>
  <c r="F35" i="24"/>
  <c r="G82" i="23"/>
  <c r="G83" i="23" s="1"/>
  <c r="H213" i="23" l="1"/>
  <c r="H238" i="23" s="1"/>
  <c r="G58" i="24"/>
  <c r="G60" i="24"/>
  <c r="F199" i="23"/>
  <c r="F34" i="24"/>
  <c r="F45" i="24"/>
  <c r="F47" i="24"/>
  <c r="E107" i="23"/>
  <c r="D148" i="23"/>
  <c r="E24" i="24" s="1"/>
  <c r="F49" i="24" s="1"/>
  <c r="E105" i="23"/>
  <c r="E106" i="23" s="1"/>
  <c r="D109" i="23"/>
  <c r="D146" i="23" s="1"/>
  <c r="E22" i="24" s="1"/>
  <c r="H80" i="23"/>
  <c r="E152" i="23"/>
  <c r="E120" i="23"/>
  <c r="E121" i="23" s="1"/>
  <c r="E151" i="23" s="1"/>
  <c r="F23" i="24" s="1"/>
  <c r="G64" i="24" s="1"/>
  <c r="E153" i="23"/>
  <c r="F25" i="24" s="1"/>
  <c r="G62" i="24" s="1"/>
  <c r="F119" i="23"/>
  <c r="F117" i="23"/>
  <c r="F152" i="23" s="1"/>
  <c r="G35" i="24"/>
  <c r="G200" i="23"/>
  <c r="H82" i="23"/>
  <c r="H83" i="23" s="1"/>
  <c r="F68" i="24"/>
  <c r="F75" i="24" s="1"/>
  <c r="F51" i="24" l="1"/>
  <c r="F55" i="24" s="1"/>
  <c r="F72" i="24" s="1"/>
  <c r="F107" i="23"/>
  <c r="E148" i="23"/>
  <c r="F24" i="24" s="1"/>
  <c r="G49" i="24" s="1"/>
  <c r="F105" i="23"/>
  <c r="F147" i="23" s="1"/>
  <c r="G45" i="24"/>
  <c r="G47" i="24"/>
  <c r="E147" i="23"/>
  <c r="E108" i="23"/>
  <c r="G199" i="23"/>
  <c r="G34" i="24"/>
  <c r="H58" i="24"/>
  <c r="H60" i="24"/>
  <c r="G68" i="24"/>
  <c r="G75" i="24" s="1"/>
  <c r="G76" i="24" s="1"/>
  <c r="H35" i="24"/>
  <c r="H200" i="23"/>
  <c r="I35" i="24" s="1"/>
  <c r="G119" i="23"/>
  <c r="G117" i="23"/>
  <c r="G152" i="23" s="1"/>
  <c r="F153" i="23"/>
  <c r="G25" i="24" s="1"/>
  <c r="H62" i="24" s="1"/>
  <c r="F120" i="23"/>
  <c r="F76" i="24"/>
  <c r="F85" i="24"/>
  <c r="F118" i="23"/>
  <c r="F84" i="24" l="1"/>
  <c r="F86" i="24" s="1"/>
  <c r="F73" i="24"/>
  <c r="F77" i="24" s="1"/>
  <c r="H199" i="23"/>
  <c r="I34" i="24" s="1"/>
  <c r="H34" i="24"/>
  <c r="G107" i="23"/>
  <c r="F148" i="23"/>
  <c r="G24" i="24" s="1"/>
  <c r="H49" i="24" s="1"/>
  <c r="G105" i="23"/>
  <c r="G147" i="23" s="1"/>
  <c r="H45" i="24"/>
  <c r="H47" i="24"/>
  <c r="F108" i="23"/>
  <c r="E109" i="23"/>
  <c r="E146" i="23" s="1"/>
  <c r="F22" i="24" s="1"/>
  <c r="G51" i="24" s="1"/>
  <c r="G55" i="24" s="1"/>
  <c r="G72" i="24" s="1"/>
  <c r="F106" i="23"/>
  <c r="G85" i="24"/>
  <c r="G120" i="23"/>
  <c r="G121" i="23" s="1"/>
  <c r="G151" i="23" s="1"/>
  <c r="H23" i="24" s="1"/>
  <c r="F121" i="23"/>
  <c r="F151" i="23" s="1"/>
  <c r="G23" i="24" s="1"/>
  <c r="G153" i="23"/>
  <c r="H25" i="24" s="1"/>
  <c r="H119" i="23"/>
  <c r="H117" i="23"/>
  <c r="H152" i="23" s="1"/>
  <c r="G118" i="23"/>
  <c r="G106" i="23" l="1"/>
  <c r="G108" i="23"/>
  <c r="G84" i="24"/>
  <c r="G86" i="24" s="1"/>
  <c r="G73" i="24"/>
  <c r="G77" i="24" s="1"/>
  <c r="H107" i="23"/>
  <c r="H148" i="23" s="1"/>
  <c r="I24" i="24" s="1"/>
  <c r="G148" i="23"/>
  <c r="H24" i="24" s="1"/>
  <c r="H105" i="23"/>
  <c r="H147" i="23" s="1"/>
  <c r="G109" i="23"/>
  <c r="G146" i="23" s="1"/>
  <c r="H22" i="24" s="1"/>
  <c r="I55" i="24" s="1"/>
  <c r="I72" i="24" s="1"/>
  <c r="I73" i="24" s="1"/>
  <c r="F109" i="23"/>
  <c r="F146" i="23" s="1"/>
  <c r="G22" i="24" s="1"/>
  <c r="H51" i="24" s="1"/>
  <c r="H55" i="24" s="1"/>
  <c r="H72" i="24" s="1"/>
  <c r="H64" i="24"/>
  <c r="H68" i="24" s="1"/>
  <c r="H75" i="24" s="1"/>
  <c r="H118" i="23"/>
  <c r="H120" i="23"/>
  <c r="H121" i="23" s="1"/>
  <c r="H151" i="23" s="1"/>
  <c r="I23" i="24" s="1"/>
  <c r="I68" i="24"/>
  <c r="I75" i="24" s="1"/>
  <c r="I76" i="24" s="1"/>
  <c r="H153" i="23"/>
  <c r="I25" i="24" s="1"/>
  <c r="I77" i="24" l="1"/>
  <c r="H85" i="24"/>
  <c r="H76" i="24"/>
  <c r="H84" i="24"/>
  <c r="D84" i="24" s="1"/>
  <c r="H73" i="24"/>
  <c r="H106" i="23"/>
  <c r="H108" i="23"/>
  <c r="H109" i="23" s="1"/>
  <c r="H146" i="23" s="1"/>
  <c r="I22" i="24" s="1"/>
  <c r="H77" i="24" l="1"/>
  <c r="H86" i="24"/>
  <c r="D85" i="24"/>
  <c r="D86" i="24" s="1"/>
  <c r="R88" i="48" l="1"/>
  <c r="D5" i="48" s="1"/>
  <c r="E5" i="48" s="1"/>
  <c r="Q58" i="48" l="1"/>
  <c r="Q68" i="48"/>
  <c r="R68" i="48" s="1"/>
  <c r="Q67" i="48"/>
  <c r="Q64" i="48"/>
  <c r="R64" i="48" s="1"/>
  <c r="Q63" i="48"/>
  <c r="N23" i="50"/>
  <c r="Q62" i="48"/>
  <c r="Q59" i="48"/>
  <c r="R59" i="48" s="1"/>
  <c r="R60" i="48" l="1"/>
  <c r="S60" i="48" s="1"/>
  <c r="Q69" i="48"/>
  <c r="R67" i="48"/>
  <c r="S59" i="48"/>
  <c r="T59" i="48"/>
  <c r="T64" i="48"/>
  <c r="S64" i="48"/>
  <c r="Q23" i="50"/>
  <c r="P23" i="50"/>
  <c r="T68" i="48"/>
  <c r="S68" i="48"/>
  <c r="R58" i="48"/>
  <c r="Q65" i="48"/>
  <c r="T60" i="48" l="1"/>
  <c r="T67" i="48"/>
  <c r="S67" i="48"/>
  <c r="R69" i="48"/>
  <c r="R65" i="48"/>
  <c r="S58" i="48"/>
  <c r="T58" i="48"/>
  <c r="T65" i="48" l="1"/>
  <c r="S65" i="48"/>
  <c r="S69" i="48"/>
  <c r="T69" i="48"/>
  <c r="Q82" i="48" l="1"/>
  <c r="R82" i="48" s="1"/>
  <c r="N57" i="50"/>
  <c r="Q80" i="48"/>
  <c r="R80" i="48" s="1"/>
  <c r="N13" i="50"/>
  <c r="N17" i="50"/>
  <c r="N21" i="50"/>
  <c r="Q79" i="48"/>
  <c r="N56" i="50"/>
  <c r="N18" i="50"/>
  <c r="N55" i="50"/>
  <c r="N40" i="50"/>
  <c r="N25" i="50"/>
  <c r="N24" i="50"/>
  <c r="N41" i="50"/>
  <c r="Q81" i="48"/>
  <c r="R81" i="48" s="1"/>
  <c r="Q29" i="48"/>
  <c r="R29" i="48" s="1"/>
  <c r="Q39" i="48"/>
  <c r="R39" i="48" s="1"/>
  <c r="Q28" i="48"/>
  <c r="R28" i="48" s="1"/>
  <c r="Q55" i="48"/>
  <c r="R55" i="48" s="1"/>
  <c r="Q46" i="48"/>
  <c r="Q21" i="48"/>
  <c r="R21" i="48" s="1"/>
  <c r="Q30" i="48"/>
  <c r="R30" i="48" s="1"/>
  <c r="Q20" i="48"/>
  <c r="R20" i="48" s="1"/>
  <c r="Q53" i="48"/>
  <c r="R53" i="48" s="1"/>
  <c r="Q54" i="48"/>
  <c r="R54" i="48" s="1"/>
  <c r="Q23" i="48"/>
  <c r="R23" i="48" s="1"/>
  <c r="Q33" i="48"/>
  <c r="R33" i="48" s="1"/>
  <c r="Q44" i="48"/>
  <c r="Q27" i="48"/>
  <c r="R27" i="48" s="1"/>
  <c r="Q34" i="48"/>
  <c r="R34" i="48" s="1"/>
  <c r="Q35" i="48"/>
  <c r="R35" i="48" s="1"/>
  <c r="Q32" i="48"/>
  <c r="R32" i="48" s="1"/>
  <c r="Q16" i="48"/>
  <c r="R16" i="48" s="1"/>
  <c r="S16" i="48" s="1"/>
  <c r="Q49" i="48"/>
  <c r="Q22" i="48"/>
  <c r="R22" i="48" s="1"/>
  <c r="Q31" i="48"/>
  <c r="R31" i="48" s="1"/>
  <c r="Q24" i="48"/>
  <c r="R24" i="48" s="1"/>
  <c r="Q52" i="48"/>
  <c r="T16" i="48" l="1"/>
  <c r="Q83" i="48"/>
  <c r="Q50" i="48"/>
  <c r="S30" i="48"/>
  <c r="T30" i="48"/>
  <c r="P41" i="50"/>
  <c r="Q41" i="50"/>
  <c r="Q25" i="50"/>
  <c r="P25" i="50"/>
  <c r="N54" i="50"/>
  <c r="N22" i="50"/>
  <c r="P21" i="50"/>
  <c r="Q21" i="50"/>
  <c r="N19" i="50"/>
  <c r="N52" i="50"/>
  <c r="N14" i="50"/>
  <c r="P13" i="50"/>
  <c r="Q13" i="50"/>
  <c r="S82" i="48"/>
  <c r="T82" i="48"/>
  <c r="R52" i="48"/>
  <c r="Q56" i="48"/>
  <c r="S54" i="48"/>
  <c r="T54" i="48"/>
  <c r="S29" i="48"/>
  <c r="T29" i="48"/>
  <c r="S32" i="48"/>
  <c r="T32" i="48"/>
  <c r="S21" i="48"/>
  <c r="T21" i="48"/>
  <c r="S22" i="48"/>
  <c r="T22" i="48"/>
  <c r="S35" i="48"/>
  <c r="T35" i="48"/>
  <c r="T27" i="48"/>
  <c r="S27" i="48"/>
  <c r="T23" i="48"/>
  <c r="S23" i="48"/>
  <c r="T53" i="48"/>
  <c r="S53" i="48"/>
  <c r="S46" i="48"/>
  <c r="T46" i="48"/>
  <c r="N26" i="50"/>
  <c r="N15" i="50"/>
  <c r="N50" i="50"/>
  <c r="P50" i="50" s="1"/>
  <c r="P56" i="50"/>
  <c r="Q56" i="50"/>
  <c r="P17" i="50"/>
  <c r="Q17" i="50"/>
  <c r="S80" i="48"/>
  <c r="T80" i="48"/>
  <c r="T24" i="48"/>
  <c r="S24" i="48"/>
  <c r="T44" i="48"/>
  <c r="S44" i="48"/>
  <c r="T39" i="48"/>
  <c r="S39" i="48"/>
  <c r="S31" i="48"/>
  <c r="T31" i="48"/>
  <c r="S49" i="48"/>
  <c r="T49" i="48"/>
  <c r="T33" i="48"/>
  <c r="S33" i="48"/>
  <c r="T20" i="48"/>
  <c r="S20" i="48"/>
  <c r="T55" i="48"/>
  <c r="S55" i="48"/>
  <c r="P55" i="50"/>
  <c r="Q55" i="50"/>
  <c r="P18" i="50"/>
  <c r="Q18" i="50"/>
  <c r="N51" i="50"/>
  <c r="N16" i="50"/>
  <c r="S34" i="48"/>
  <c r="T34" i="48"/>
  <c r="T28" i="48"/>
  <c r="S28" i="48"/>
  <c r="S81" i="48"/>
  <c r="T81" i="48"/>
  <c r="Q24" i="50"/>
  <c r="P24" i="50"/>
  <c r="Q40" i="50"/>
  <c r="P40" i="50"/>
  <c r="R79" i="48"/>
  <c r="R83" i="48" s="1"/>
  <c r="N53" i="50"/>
  <c r="N20" i="50"/>
  <c r="P57" i="50"/>
  <c r="Q57" i="50"/>
  <c r="G81" i="50" l="1"/>
  <c r="H66" i="50"/>
  <c r="M58" i="50"/>
  <c r="Q20" i="50"/>
  <c r="P20" i="50"/>
  <c r="Q53" i="50"/>
  <c r="P53" i="50"/>
  <c r="P26" i="50"/>
  <c r="Q26" i="50"/>
  <c r="P14" i="50"/>
  <c r="Q14" i="50"/>
  <c r="T79" i="48"/>
  <c r="S79" i="48"/>
  <c r="N12" i="50"/>
  <c r="M42" i="50"/>
  <c r="N39" i="50"/>
  <c r="N49" i="50"/>
  <c r="N58" i="50" s="1"/>
  <c r="P16" i="50"/>
  <c r="Q16" i="50"/>
  <c r="P52" i="50"/>
  <c r="Q52" i="50"/>
  <c r="Q22" i="50"/>
  <c r="P22" i="50"/>
  <c r="R50" i="48"/>
  <c r="Q51" i="50"/>
  <c r="P51" i="50"/>
  <c r="Q15" i="50"/>
  <c r="P15" i="50"/>
  <c r="R56" i="48"/>
  <c r="S52" i="48"/>
  <c r="T52" i="48"/>
  <c r="Q19" i="50"/>
  <c r="P19" i="50"/>
  <c r="P54" i="50"/>
  <c r="Q54" i="50"/>
  <c r="Q70" i="48"/>
  <c r="Q85" i="48" s="1"/>
  <c r="N29" i="50" l="1"/>
  <c r="P12" i="50"/>
  <c r="Q12" i="50"/>
  <c r="S56" i="48"/>
  <c r="T56" i="48"/>
  <c r="N42" i="50"/>
  <c r="Q39" i="50"/>
  <c r="P39" i="50"/>
  <c r="T50" i="48"/>
  <c r="R70" i="48"/>
  <c r="S50" i="48"/>
  <c r="S83" i="48"/>
  <c r="E6" i="48"/>
  <c r="T83" i="48"/>
  <c r="Q49" i="50"/>
  <c r="P49" i="50"/>
  <c r="N33" i="50"/>
  <c r="N61" i="50"/>
  <c r="G74" i="50" l="1"/>
  <c r="H65" i="50"/>
  <c r="P33" i="50"/>
  <c r="D4" i="50"/>
  <c r="E4" i="50" s="1"/>
  <c r="C187" i="23" s="1"/>
  <c r="Q33" i="50"/>
  <c r="D267" i="23"/>
  <c r="D268" i="23" s="1"/>
  <c r="E256" i="23"/>
  <c r="C256" i="23"/>
  <c r="F256" i="23"/>
  <c r="D256" i="23"/>
  <c r="G256" i="23"/>
  <c r="G257" i="23" s="1"/>
  <c r="S70" i="48"/>
  <c r="R85" i="48"/>
  <c r="T70" i="48"/>
  <c r="H256" i="23"/>
  <c r="R87" i="48"/>
  <c r="E4" i="48" s="1"/>
  <c r="E258" i="23"/>
  <c r="D258" i="23"/>
  <c r="G258" i="23"/>
  <c r="P42" i="50"/>
  <c r="Q42" i="50"/>
  <c r="E6" i="50"/>
  <c r="F258" i="23"/>
  <c r="H258" i="23"/>
  <c r="C258" i="23"/>
  <c r="Q29" i="50"/>
  <c r="N32" i="50"/>
  <c r="P29" i="50"/>
  <c r="C261" i="23"/>
  <c r="D261" i="23" s="1"/>
  <c r="E261" i="23" s="1"/>
  <c r="F261" i="23" s="1"/>
  <c r="G261" i="23" s="1"/>
  <c r="H261" i="23" s="1"/>
  <c r="P58" i="50"/>
  <c r="E5" i="50"/>
  <c r="C190" i="23" s="1"/>
  <c r="D28" i="27" s="1"/>
  <c r="Q58" i="50"/>
  <c r="H69" i="50" l="1"/>
  <c r="G76" i="50"/>
  <c r="D190" i="23"/>
  <c r="G75" i="50"/>
  <c r="G70" i="50"/>
  <c r="G71" i="50" s="1"/>
  <c r="H67" i="50"/>
  <c r="D257" i="23"/>
  <c r="D259" i="23" s="1"/>
  <c r="H68" i="50"/>
  <c r="G82" i="50"/>
  <c r="G83" i="50" s="1"/>
  <c r="G84" i="50" s="1"/>
  <c r="S85" i="48"/>
  <c r="T85" i="48"/>
  <c r="F257" i="23"/>
  <c r="F259" i="23" s="1"/>
  <c r="F262" i="23" s="1"/>
  <c r="D187" i="23"/>
  <c r="E3" i="50"/>
  <c r="C186" i="23" s="1"/>
  <c r="Q32" i="50"/>
  <c r="P32" i="50"/>
  <c r="C257" i="23"/>
  <c r="C188" i="23" s="1"/>
  <c r="H257" i="23"/>
  <c r="H259" i="23" s="1"/>
  <c r="H262" i="23" s="1"/>
  <c r="G259" i="23"/>
  <c r="G262" i="23" s="1"/>
  <c r="E257" i="23"/>
  <c r="E259" i="23" s="1"/>
  <c r="E262" i="23" s="1"/>
  <c r="C259" i="23" l="1"/>
  <c r="C262" i="23" s="1"/>
  <c r="G77" i="50"/>
  <c r="G78" i="50" s="1"/>
  <c r="E190" i="23"/>
  <c r="E28" i="27"/>
  <c r="E187" i="23"/>
  <c r="E59" i="27"/>
  <c r="E60" i="27"/>
  <c r="F186" i="23"/>
  <c r="E186" i="23"/>
  <c r="H186" i="23"/>
  <c r="D186" i="23"/>
  <c r="D27" i="27"/>
  <c r="G186" i="23"/>
  <c r="G188" i="23"/>
  <c r="F188" i="23"/>
  <c r="H188" i="23"/>
  <c r="E188" i="23"/>
  <c r="D188" i="23"/>
  <c r="D262" i="23"/>
  <c r="H27" i="27" l="1"/>
  <c r="F27" i="27"/>
  <c r="G27" i="27"/>
  <c r="E65" i="27"/>
  <c r="E35" i="27"/>
  <c r="E34" i="27"/>
  <c r="B30" i="38" s="1"/>
  <c r="B34" i="38" s="1"/>
  <c r="F187" i="23"/>
  <c r="E27" i="27"/>
  <c r="F60" i="27"/>
  <c r="F59" i="27"/>
  <c r="I27" i="27"/>
  <c r="F190" i="23"/>
  <c r="F28" i="27"/>
  <c r="E42" i="27" l="1"/>
  <c r="E50" i="27"/>
  <c r="E51" i="27"/>
  <c r="E43" i="27"/>
  <c r="H35" i="27"/>
  <c r="G34" i="27"/>
  <c r="I34" i="27"/>
  <c r="I35" i="27"/>
  <c r="F65" i="27"/>
  <c r="E80" i="27" s="1"/>
  <c r="G35" i="27"/>
  <c r="H34" i="27"/>
  <c r="G190" i="23"/>
  <c r="G28" i="27"/>
  <c r="G187" i="23"/>
  <c r="F35" i="27"/>
  <c r="F34" i="27"/>
  <c r="E39" i="27"/>
  <c r="G60" i="27"/>
  <c r="G59" i="27"/>
  <c r="E91" i="27" l="1"/>
  <c r="E56" i="27"/>
  <c r="H50" i="27"/>
  <c r="H42" i="27"/>
  <c r="I39" i="27"/>
  <c r="I42" i="27"/>
  <c r="I50" i="27"/>
  <c r="G51" i="27"/>
  <c r="G43" i="27"/>
  <c r="G42" i="27"/>
  <c r="G50" i="27"/>
  <c r="F50" i="27"/>
  <c r="F42" i="27"/>
  <c r="F43" i="27"/>
  <c r="F51" i="27"/>
  <c r="I51" i="27"/>
  <c r="I43" i="27"/>
  <c r="H43" i="27"/>
  <c r="H51" i="27"/>
  <c r="E47" i="27"/>
  <c r="H39" i="27"/>
  <c r="G39" i="27"/>
  <c r="G65" i="27"/>
  <c r="F80" i="27" s="1"/>
  <c r="F91" i="27" s="1"/>
  <c r="F39" i="27"/>
  <c r="H187" i="23"/>
  <c r="H59" i="27"/>
  <c r="H60" i="27"/>
  <c r="H28" i="27"/>
  <c r="H190" i="23"/>
  <c r="I28" i="27" s="1"/>
  <c r="I56" i="27" l="1"/>
  <c r="G56" i="27"/>
  <c r="F56" i="27"/>
  <c r="F73" i="27" s="1"/>
  <c r="H56" i="27"/>
  <c r="F47" i="27"/>
  <c r="G47" i="27"/>
  <c r="I47" i="27"/>
  <c r="H47" i="27"/>
  <c r="H65" i="27"/>
  <c r="G80" i="27" s="1"/>
  <c r="G91" i="27" s="1"/>
  <c r="I59" i="27"/>
  <c r="I60" i="27"/>
  <c r="H73" i="27" l="1"/>
  <c r="H72" i="27"/>
  <c r="G72" i="27"/>
  <c r="G78" i="27" s="1"/>
  <c r="F72" i="27"/>
  <c r="F78" i="27" s="1"/>
  <c r="E73" i="27"/>
  <c r="E72" i="27"/>
  <c r="E78" i="27" s="1"/>
  <c r="F79" i="27"/>
  <c r="E79" i="27"/>
  <c r="G73" i="27"/>
  <c r="H78" i="27"/>
  <c r="I65" i="27"/>
  <c r="H80" i="27" s="1"/>
  <c r="H91" i="27" s="1"/>
  <c r="D91" i="27" s="1"/>
  <c r="D78" i="27" l="1"/>
  <c r="D80" i="27"/>
  <c r="H89" i="27"/>
  <c r="F90" i="27"/>
  <c r="E90" i="27"/>
  <c r="F82" i="27"/>
  <c r="F89" i="27"/>
  <c r="D72" i="27"/>
  <c r="F74" i="27" s="1"/>
  <c r="E82" i="27"/>
  <c r="B26" i="36" s="1"/>
  <c r="E89" i="27"/>
  <c r="G89" i="27"/>
  <c r="H79" i="27"/>
  <c r="E94" i="27" l="1"/>
  <c r="F94" i="27"/>
  <c r="D89" i="27"/>
  <c r="H74" i="27"/>
  <c r="G74" i="27"/>
  <c r="E74" i="27"/>
  <c r="B29" i="36"/>
  <c r="H90" i="27"/>
  <c r="H94" i="27" s="1"/>
  <c r="H82" i="27"/>
  <c r="G79" i="27"/>
  <c r="D79" i="27" s="1"/>
  <c r="D82" i="27" s="1"/>
  <c r="D73" i="27"/>
  <c r="D74" i="27" l="1"/>
  <c r="G90" i="27"/>
  <c r="G82" i="27"/>
  <c r="G75" i="27"/>
  <c r="F75" i="27"/>
  <c r="H75" i="27"/>
  <c r="E75" i="27"/>
  <c r="D75" i="27" l="1"/>
  <c r="G94" i="27"/>
  <c r="D94" i="27" s="1"/>
  <c r="B31" i="36" s="1"/>
  <c r="D90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</author>
    <author>CarlosV</author>
  </authors>
  <commentList>
    <comment ref="P2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esta en resolucion y si detalle 2</t>
        </r>
      </text>
    </comment>
    <comment ref="Z2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encontrado en Det2</t>
        </r>
      </text>
    </comment>
    <comment ref="AJ46" authorId="1" shapeId="0" xr:uid="{00000000-0006-0000-0600-000003000000}">
      <text>
        <r>
          <rPr>
            <sz val="9"/>
            <color indexed="81"/>
            <rFont val="Tahoma"/>
            <family val="2"/>
          </rPr>
          <t xml:space="preserve">
incluido en Revisión 2024</t>
        </r>
      </text>
    </comment>
    <comment ref="K63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ajuste depreciación</t>
        </r>
      </text>
    </comment>
    <comment ref="U63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ajuste depreciacion</t>
        </r>
      </text>
    </comment>
    <comment ref="AE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ajuste depreciacion</t>
        </r>
      </text>
    </comment>
    <comment ref="AO63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Ajuste de depreciacion</t>
        </r>
      </text>
    </comment>
    <comment ref="H69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1,323,437 proviene de BS -01 reclasificado de la cuenta otros
</t>
        </r>
      </text>
    </comment>
    <comment ref="Z73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subt estrategicas
</t>
        </r>
      </text>
    </comment>
    <comment ref="AK73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este retiro figura como otros equipos del sistema principal</t>
        </r>
      </text>
    </comment>
    <comment ref="F9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valor ajustado para llegar al valor reconocido 3 linea</t>
        </r>
      </text>
    </comment>
    <comment ref="Q127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retiro estimado en funcion de lo presentado en las variasciones de la base de ETESA</t>
        </r>
      </text>
    </comment>
    <comment ref="V127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se le resta el moto retirado suponiendo que esta totalmente amortizado</t>
        </r>
      </text>
    </comment>
    <comment ref="B160" authorId="1" shapeId="0" xr:uid="{00000000-0006-0000-0600-00000E000000}">
      <text>
        <r>
          <rPr>
            <sz val="9"/>
            <color indexed="81"/>
            <rFont val="Tahoma"/>
            <family val="2"/>
          </rPr>
          <t>ya incluida en base contable</t>
        </r>
      </text>
    </comment>
    <comment ref="B161" authorId="1" shapeId="0" xr:uid="{00000000-0006-0000-0600-00000F000000}">
      <text>
        <r>
          <rPr>
            <sz val="9"/>
            <color indexed="81"/>
            <rFont val="Tahoma"/>
            <family val="2"/>
          </rPr>
          <t>ya incluida en base contable</t>
        </r>
      </text>
    </comment>
    <comment ref="B162" authorId="1" shapeId="0" xr:uid="{00000000-0006-0000-0600-000010000000}">
      <text>
        <r>
          <rPr>
            <sz val="9"/>
            <color indexed="81"/>
            <rFont val="Tahoma"/>
            <family val="2"/>
          </rPr>
          <t>ya incluida en base contable</t>
        </r>
      </text>
    </comment>
    <comment ref="B163" authorId="1" shapeId="0" xr:uid="{00000000-0006-0000-0600-000011000000}">
      <text>
        <r>
          <rPr>
            <sz val="9"/>
            <color indexed="81"/>
            <rFont val="Tahoma"/>
            <family val="2"/>
          </rPr>
          <t>ya incluida en base contable</t>
        </r>
      </text>
    </comment>
    <comment ref="B168" authorId="1" shapeId="0" xr:uid="{00000000-0006-0000-0600-000012000000}">
      <text>
        <r>
          <rPr>
            <sz val="9"/>
            <color indexed="81"/>
            <rFont val="Tahoma"/>
            <family val="2"/>
          </rPr>
          <t>ya incluida en base contable</t>
        </r>
      </text>
    </comment>
    <comment ref="BX168" authorId="1" shapeId="0" xr:uid="{00000000-0006-0000-0600-000013000000}">
      <text>
        <r>
          <rPr>
            <sz val="9"/>
            <color indexed="81"/>
            <rFont val="Tahoma"/>
            <family val="2"/>
          </rPr>
          <t>ContratoGG-132-2023 de Subestación El Coco  230kV. Eliminar una vez que se incluya en hoja "Base Etesa"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Jeremías</author>
  </authors>
  <commentList>
    <comment ref="B13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Jeremías:</t>
        </r>
        <r>
          <rPr>
            <sz val="9"/>
            <color indexed="81"/>
            <rFont val="Tahoma"/>
            <family val="2"/>
          </rPr>
          <t xml:space="preserve">
ANÁLISIS DEL RESULTADO</t>
        </r>
      </text>
    </comment>
    <comment ref="B14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Jeremías:</t>
        </r>
        <r>
          <rPr>
            <sz val="9"/>
            <color indexed="81"/>
            <rFont val="Tahoma"/>
            <family val="2"/>
          </rPr>
          <t xml:space="preserve">
ANÁLISIS DEL RESULTADO</t>
        </r>
      </text>
    </comment>
    <comment ref="B15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Jeremías:</t>
        </r>
        <r>
          <rPr>
            <sz val="9"/>
            <color indexed="81"/>
            <rFont val="Tahoma"/>
            <family val="2"/>
          </rPr>
          <t xml:space="preserve">
ANÁLISIS DEL RESULTADO</t>
        </r>
      </text>
    </comment>
    <comment ref="B16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Jeremías: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Jeremías:</t>
        </r>
        <r>
          <rPr>
            <sz val="9"/>
            <color indexed="81"/>
            <rFont val="Tahoma"/>
            <family val="2"/>
          </rPr>
          <t xml:space="preserve">
COMPOSICION DE RESULTADOS RELEVANTES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Jeremías</author>
  </authors>
  <commentList>
    <comment ref="D16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Jeremías:</t>
        </r>
        <r>
          <rPr>
            <sz val="9"/>
            <color indexed="81"/>
            <rFont val="Tahoma"/>
            <family val="2"/>
          </rPr>
          <t xml:space="preserve">
Informe n 183-2019-gtr pag: 47, cuadro 4.12</t>
        </r>
      </text>
    </comment>
    <comment ref="G16" authorId="0" shapeId="0" xr:uid="{00000000-0006-0000-1A00-000002000000}">
      <text>
        <r>
          <rPr>
            <b/>
            <sz val="9"/>
            <color indexed="81"/>
            <rFont val="Tahoma"/>
            <family val="2"/>
          </rPr>
          <t>Jeremías:</t>
        </r>
        <r>
          <rPr>
            <sz val="9"/>
            <color indexed="81"/>
            <rFont val="Tahoma"/>
            <family val="2"/>
          </rPr>
          <t xml:space="preserve">
Informe n 188-2022-gtr pag: 52, cuadro 4.13</t>
        </r>
      </text>
    </comment>
    <comment ref="H16" authorId="0" shapeId="0" xr:uid="{00000000-0006-0000-1A00-000003000000}">
      <text>
        <r>
          <rPr>
            <b/>
            <sz val="9"/>
            <color indexed="81"/>
            <rFont val="Tahoma"/>
            <family val="2"/>
          </rPr>
          <t>Jeremías:</t>
        </r>
        <r>
          <rPr>
            <sz val="9"/>
            <color indexed="81"/>
            <rFont val="Tahoma"/>
            <family val="2"/>
          </rPr>
          <t xml:space="preserve">
Informe n 248-2023-GTR pag: 51, cuadro 4.13</t>
        </r>
      </text>
    </comment>
    <comment ref="F19" authorId="0" shapeId="0" xr:uid="{00000000-0006-0000-1A00-000004000000}">
      <text>
        <r>
          <rPr>
            <b/>
            <sz val="9"/>
            <color indexed="81"/>
            <rFont val="Tahoma"/>
            <family val="2"/>
          </rPr>
          <t>Jeremías: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" authorId="0" shapeId="0" xr:uid="{00000000-0006-0000-1A00-000005000000}">
      <text>
        <r>
          <rPr>
            <b/>
            <sz val="9"/>
            <color indexed="81"/>
            <rFont val="Tahoma"/>
            <family val="2"/>
          </rPr>
          <t>Jeremías:</t>
        </r>
        <r>
          <rPr>
            <sz val="9"/>
            <color indexed="81"/>
            <rFont val="Tahoma"/>
            <family val="2"/>
          </rPr>
          <t xml:space="preserve">
Informe n 188-2022-gtr pag: 52, cuadro 4.13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CarlosV</author>
  </authors>
  <commentList>
    <comment ref="G20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
Son valores preliminares de la contabilidad regulatoria</t>
        </r>
      </text>
    </comment>
    <comment ref="G63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
Son valores preliminares de la contabilidad regulatoria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</author>
  </authors>
  <commentList>
    <comment ref="D1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revisar fecha de entrada
</t>
        </r>
      </text>
    </comment>
    <comment ref="F12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revisar fecha de entrada</t>
        </r>
      </text>
    </comment>
    <comment ref="B13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faltaria la fecha de activacion de esta obra</t>
        </r>
      </text>
    </comment>
    <comment ref="D1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revisar fecha de entrada</t>
        </r>
      </text>
    </comment>
    <comment ref="G15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según nota DGC-4-2022 _ Lo cambié a 11,571,000.00 según nota.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CarlosV</author>
  </authors>
  <commentList>
    <comment ref="E39" authorId="0" shapeId="0" xr:uid="{00000000-0006-0000-0A00-000001000000}">
      <text>
        <r>
          <rPr>
            <sz val="9"/>
            <color indexed="81"/>
            <rFont val="Tahoma"/>
            <family val="2"/>
          </rPr>
          <t>Antes T2-Panamá II</t>
        </r>
      </text>
    </comment>
    <comment ref="D74" authorId="0" shapeId="0" xr:uid="{00000000-0006-0000-0A00-000002000000}">
      <text>
        <r>
          <rPr>
            <sz val="9"/>
            <color indexed="81"/>
            <rFont val="Tahoma"/>
            <family val="2"/>
          </rPr>
          <t>CRISTOBAL-TORRE 4A (GANA II)</t>
        </r>
      </text>
    </comment>
    <comment ref="D75" authorId="0" shapeId="0" xr:uid="{00000000-0006-0000-0A00-000003000000}">
      <text>
        <r>
          <rPr>
            <sz val="9"/>
            <color indexed="81"/>
            <rFont val="Tahoma"/>
            <family val="2"/>
          </rPr>
          <t>CRISTOBAL-TORRE 4A (GANA II)</t>
        </r>
      </text>
    </comment>
    <comment ref="D76" authorId="0" shapeId="0" xr:uid="{00000000-0006-0000-0A00-000004000000}">
      <text>
        <r>
          <rPr>
            <sz val="9"/>
            <color indexed="81"/>
            <rFont val="Tahoma"/>
            <family val="2"/>
          </rPr>
          <t>CRISTOBAL-TORRE 4A (GANA II)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Visuette</author>
    <author>jvisuette</author>
  </authors>
  <commentList>
    <comment ref="A48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Es la sta Rita Pma 2</t>
        </r>
      </text>
    </comment>
    <comment ref="A65" authorId="1" shapeId="0" xr:uid="{00000000-0006-0000-0C00-000002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incluye valor extra libro</t>
        </r>
      </text>
    </comment>
    <comment ref="A85" authorId="1" shapeId="0" xr:uid="{00000000-0006-0000-0C00-000003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incluye valor extra libro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Jeremías</author>
  </authors>
  <commentList>
    <comment ref="I157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Jeremías:</t>
        </r>
        <r>
          <rPr>
            <sz val="9"/>
            <color indexed="81"/>
            <rFont val="Tahoma"/>
            <family val="2"/>
          </rPr>
          <t xml:space="preserve">
Tiene valor aca pero la fecha es de 2023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</author>
    <author>CarlosV</author>
  </authors>
  <commentList>
    <comment ref="B5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incluye la tercera linea</t>
        </r>
      </text>
    </comment>
    <comment ref="V7" authorId="1" shapeId="0" xr:uid="{00000000-0006-0000-1000-000002000000}">
      <text>
        <r>
          <rPr>
            <sz val="9"/>
            <color indexed="81"/>
            <rFont val="Tahoma"/>
            <family val="2"/>
          </rPr>
          <t xml:space="preserve">
no incluye inversión estratégica</t>
        </r>
      </text>
    </comment>
    <comment ref="H80" authorId="1" shapeId="0" xr:uid="{00000000-0006-0000-1000-000003000000}">
      <text>
        <r>
          <rPr>
            <sz val="9"/>
            <color indexed="81"/>
            <rFont val="Tahoma"/>
            <family val="2"/>
          </rPr>
          <t xml:space="preserve">
hay parte que es conexión</t>
        </r>
      </text>
    </comment>
    <comment ref="I80" authorId="1" shapeId="0" xr:uid="{00000000-0006-0000-1000-000004000000}">
      <text>
        <r>
          <rPr>
            <sz val="9"/>
            <color indexed="81"/>
            <rFont val="Tahoma"/>
            <family val="2"/>
          </rPr>
          <t xml:space="preserve">
hay parte que es conexión</t>
        </r>
      </text>
    </comment>
    <comment ref="J80" authorId="1" shapeId="0" xr:uid="{00000000-0006-0000-1000-000005000000}">
      <text>
        <r>
          <rPr>
            <sz val="9"/>
            <color indexed="81"/>
            <rFont val="Tahoma"/>
            <family val="2"/>
          </rPr>
          <t xml:space="preserve">
hay parte que es conexión</t>
        </r>
      </text>
    </comment>
    <comment ref="K80" authorId="1" shapeId="0" xr:uid="{00000000-0006-0000-1000-000006000000}">
      <text>
        <r>
          <rPr>
            <sz val="9"/>
            <color indexed="81"/>
            <rFont val="Tahoma"/>
            <family val="2"/>
          </rPr>
          <t xml:space="preserve">
hay parte que es conexión</t>
        </r>
      </text>
    </comment>
    <comment ref="H82" authorId="1" shapeId="0" xr:uid="{00000000-0006-0000-1000-000007000000}">
      <text>
        <r>
          <rPr>
            <sz val="9"/>
            <color indexed="81"/>
            <rFont val="Tahoma"/>
            <family val="2"/>
          </rPr>
          <t xml:space="preserve">
hay parte que es conexión</t>
        </r>
      </text>
    </comment>
    <comment ref="I82" authorId="1" shapeId="0" xr:uid="{00000000-0006-0000-1000-000008000000}">
      <text>
        <r>
          <rPr>
            <sz val="9"/>
            <color indexed="81"/>
            <rFont val="Tahoma"/>
            <family val="2"/>
          </rPr>
          <t xml:space="preserve">
hay parte que es conexión</t>
        </r>
      </text>
    </comment>
    <comment ref="J82" authorId="1" shapeId="0" xr:uid="{00000000-0006-0000-1000-000009000000}">
      <text>
        <r>
          <rPr>
            <sz val="9"/>
            <color indexed="81"/>
            <rFont val="Tahoma"/>
            <family val="2"/>
          </rPr>
          <t xml:space="preserve">
hay parte que es conexión</t>
        </r>
      </text>
    </comment>
    <comment ref="K82" authorId="1" shapeId="0" xr:uid="{00000000-0006-0000-1000-00000A000000}">
      <text>
        <r>
          <rPr>
            <sz val="9"/>
            <color indexed="81"/>
            <rFont val="Tahoma"/>
            <family val="2"/>
          </rPr>
          <t xml:space="preserve">
hay parte que es conexión</t>
        </r>
      </text>
    </comment>
    <comment ref="G222" authorId="1" shapeId="0" xr:uid="{00000000-0006-0000-1000-00000B000000}">
      <text>
        <r>
          <rPr>
            <sz val="9"/>
            <color indexed="81"/>
            <rFont val="Tahoma"/>
            <family val="2"/>
          </rPr>
          <t xml:space="preserve">
netas de retiros, ajustes y transferencias</t>
        </r>
      </text>
    </comment>
    <comment ref="H222" authorId="1" shapeId="0" xr:uid="{00000000-0006-0000-1000-00000C000000}">
      <text>
        <r>
          <rPr>
            <sz val="9"/>
            <color indexed="81"/>
            <rFont val="Tahoma"/>
            <family val="2"/>
          </rPr>
          <t xml:space="preserve">
netas de retiros, ajustes y transferencias</t>
        </r>
      </text>
    </comment>
    <comment ref="I222" authorId="1" shapeId="0" xr:uid="{00000000-0006-0000-1000-00000D000000}">
      <text>
        <r>
          <rPr>
            <sz val="9"/>
            <color indexed="81"/>
            <rFont val="Tahoma"/>
            <family val="2"/>
          </rPr>
          <t xml:space="preserve">
netas de retiros, ajustes y transferencias</t>
        </r>
      </text>
    </comment>
    <comment ref="J222" authorId="1" shapeId="0" xr:uid="{00000000-0006-0000-1000-00000E000000}">
      <text>
        <r>
          <rPr>
            <sz val="9"/>
            <color indexed="81"/>
            <rFont val="Tahoma"/>
            <family val="2"/>
          </rPr>
          <t xml:space="preserve">
netas de retiros, ajustes y transferencias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Visuette</author>
    <author>jvisuette</author>
  </authors>
  <commentList>
    <comment ref="AM27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L/T 3ERA</t>
        </r>
      </text>
    </comment>
    <comment ref="AM30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L/T 3ERA</t>
        </r>
      </text>
    </comment>
    <comment ref="AM31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L/T 3ERA</t>
        </r>
      </text>
    </comment>
    <comment ref="AM39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TORRES DEL CANAL</t>
        </r>
      </text>
    </comment>
    <comment ref="AT39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TORRES DEL CANAL</t>
        </r>
      </text>
    </comment>
    <comment ref="BA39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TORRES DEL CANAL</t>
        </r>
      </text>
    </comment>
    <comment ref="BH39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TORRES DEL CANAL</t>
        </r>
      </text>
    </comment>
    <comment ref="BV39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TORRES DEL CANAL</t>
        </r>
      </text>
    </comment>
    <comment ref="AL43" authorId="0" shapeId="0" xr:uid="{00000000-0006-0000-1200-000009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Es la sta Rita Pma 2</t>
        </r>
      </text>
    </comment>
    <comment ref="AS43" authorId="0" shapeId="0" xr:uid="{00000000-0006-0000-1200-00000A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Es la sta Rita Pma 2</t>
        </r>
      </text>
    </comment>
    <comment ref="AZ43" authorId="0" shapeId="0" xr:uid="{00000000-0006-0000-1200-00000B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Es la sta Rita Pma 2</t>
        </r>
      </text>
    </comment>
    <comment ref="BG43" authorId="0" shapeId="0" xr:uid="{00000000-0006-0000-1200-00000C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Es la sta Rita Pma 2</t>
        </r>
      </text>
    </comment>
    <comment ref="BU43" authorId="0" shapeId="0" xr:uid="{00000000-0006-0000-1200-00000D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Es la sta Rita Pma 2</t>
        </r>
      </text>
    </comment>
    <comment ref="AL61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incluye valor extra libro</t>
        </r>
      </text>
    </comment>
    <comment ref="AS61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incluye valor extra libro</t>
        </r>
      </text>
    </comment>
    <comment ref="AZ61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incluye valor extra libro</t>
        </r>
      </text>
    </comment>
    <comment ref="BG61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incluye valor extra libro</t>
        </r>
      </text>
    </comment>
    <comment ref="BU61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incluye valor extra libro</t>
        </r>
      </text>
    </comment>
    <comment ref="AL84" authorId="1" shapeId="0" xr:uid="{00000000-0006-0000-1200-000013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incluye valor extra libro</t>
        </r>
      </text>
    </comment>
    <comment ref="AS84" authorId="1" shapeId="0" xr:uid="{00000000-0006-0000-1200-000014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incluye valor extra libro</t>
        </r>
      </text>
    </comment>
    <comment ref="AZ84" authorId="1" shapeId="0" xr:uid="{00000000-0006-0000-1200-000015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incluye valor extra libro</t>
        </r>
      </text>
    </comment>
    <comment ref="BG84" authorId="1" shapeId="0" xr:uid="{00000000-0006-0000-1200-000016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incluye valor extra libro</t>
        </r>
      </text>
    </comment>
    <comment ref="AN121" authorId="0" shapeId="0" xr:uid="{00000000-0006-0000-1200-000017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121" authorId="0" shapeId="0" xr:uid="{00000000-0006-0000-1200-000018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121" authorId="0" shapeId="0" xr:uid="{00000000-0006-0000-1200-000019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I121" authorId="0" shapeId="0" xr:uid="{00000000-0006-0000-1200-00001A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W121" authorId="0" shapeId="0" xr:uid="{00000000-0006-0000-1200-00001B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</author>
    <author>CUMBRE 2</author>
    <author>jvisuette</author>
    <author>Julio Visuette</author>
  </authors>
  <commentList>
    <comment ref="D38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 me coincide con el de 2016</t>
        </r>
      </text>
    </comment>
    <comment ref="D43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D45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D46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D52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D59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D60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D61" authorId="1" shapeId="0" xr:uid="{00000000-0006-0000-1600-000008000000}">
      <text>
        <r>
          <rPr>
            <b/>
            <sz val="9"/>
            <color indexed="81"/>
            <rFont val="Tahoma"/>
            <family val="2"/>
          </rPr>
          <t>CUMBRE 2:</t>
        </r>
        <r>
          <rPr>
            <sz val="9"/>
            <color indexed="81"/>
            <rFont val="Tahoma"/>
            <family val="2"/>
          </rPr>
          <t xml:space="preserve">
no estaba en 2016</t>
        </r>
      </text>
    </comment>
    <comment ref="D62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D65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D72" authorId="1" shapeId="0" xr:uid="{00000000-0006-0000-1600-00000B000000}">
      <text>
        <r>
          <rPr>
            <b/>
            <sz val="9"/>
            <color indexed="81"/>
            <rFont val="Tahoma"/>
            <family val="2"/>
          </rPr>
          <t>CUMBRE 2:</t>
        </r>
        <r>
          <rPr>
            <sz val="9"/>
            <color indexed="81"/>
            <rFont val="Tahoma"/>
            <family val="2"/>
          </rPr>
          <t xml:space="preserve">
no coincide con 2016 es mas chico</t>
        </r>
      </text>
    </comment>
    <comment ref="H72" authorId="1" shapeId="0" xr:uid="{00000000-0006-0000-1600-00000C000000}">
      <text>
        <r>
          <rPr>
            <b/>
            <sz val="9"/>
            <color indexed="81"/>
            <rFont val="Tahoma"/>
            <family val="2"/>
          </rPr>
          <t>CUMBRE 2:</t>
        </r>
        <r>
          <rPr>
            <sz val="9"/>
            <color indexed="81"/>
            <rFont val="Tahoma"/>
            <family val="2"/>
          </rPr>
          <t xml:space="preserve">
incluye dos torres de emergencia</t>
        </r>
      </text>
    </comment>
    <comment ref="D73" authorId="1" shapeId="0" xr:uid="{00000000-0006-0000-1600-00000D000000}">
      <text>
        <r>
          <rPr>
            <b/>
            <sz val="9"/>
            <color indexed="81"/>
            <rFont val="Tahoma"/>
            <family val="2"/>
          </rPr>
          <t>CUMBRE 2:</t>
        </r>
        <r>
          <rPr>
            <sz val="9"/>
            <color indexed="81"/>
            <rFont val="Tahoma"/>
            <family val="2"/>
          </rPr>
          <t xml:space="preserve">
no coincide con 2016 es mas chico</t>
        </r>
      </text>
    </comment>
    <comment ref="D76" authorId="0" shapeId="0" xr:uid="{00000000-0006-0000-1600-00000E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D77" authorId="0" shapeId="0" xr:uid="{00000000-0006-0000-1600-00000F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D78" authorId="1" shapeId="0" xr:uid="{00000000-0006-0000-1600-000010000000}">
      <text>
        <r>
          <rPr>
            <b/>
            <sz val="9"/>
            <color indexed="81"/>
            <rFont val="Tahoma"/>
            <family val="2"/>
          </rPr>
          <t>CUMBRE 2: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D79" authorId="1" shapeId="0" xr:uid="{00000000-0006-0000-1600-000011000000}">
      <text>
        <r>
          <rPr>
            <b/>
            <sz val="9"/>
            <color indexed="81"/>
            <rFont val="Tahoma"/>
            <family val="2"/>
          </rPr>
          <t>CUMBRE 2:</t>
        </r>
        <r>
          <rPr>
            <sz val="9"/>
            <color indexed="81"/>
            <rFont val="Tahoma"/>
            <family val="2"/>
          </rPr>
          <t xml:space="preserve">
mas chico que 2016</t>
        </r>
      </text>
    </comment>
    <comment ref="D80" authorId="1" shapeId="0" xr:uid="{00000000-0006-0000-1600-000012000000}">
      <text>
        <r>
          <rPr>
            <b/>
            <sz val="9"/>
            <color indexed="81"/>
            <rFont val="Tahoma"/>
            <family val="2"/>
          </rPr>
          <t>CUMBRE 2:</t>
        </r>
        <r>
          <rPr>
            <sz val="9"/>
            <color indexed="81"/>
            <rFont val="Tahoma"/>
            <family val="2"/>
          </rPr>
          <t xml:space="preserve">
mas chico que 2016</t>
        </r>
      </text>
    </comment>
    <comment ref="D81" authorId="0" shapeId="0" xr:uid="{00000000-0006-0000-1600-000013000000}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no coincide con 2016</t>
        </r>
      </text>
    </comment>
    <comment ref="I96" authorId="2" shapeId="0" xr:uid="{00000000-0006-0000-1600-000014000000}">
      <text>
        <r>
          <rPr>
            <b/>
            <sz val="9"/>
            <color indexed="81"/>
            <rFont val="Tahoma"/>
            <family val="2"/>
          </rPr>
          <t>jvisuette:</t>
        </r>
        <r>
          <rPr>
            <sz val="9"/>
            <color indexed="81"/>
            <rFont val="Tahoma"/>
            <family val="2"/>
          </rPr>
          <t xml:space="preserve">
se incluye valor extra libro por $1,035,234.07 de S/E 230kv Llano Sanchez cuentas en tramites 7, 8 y 9. Bancos de capacitores.</t>
        </r>
      </text>
    </comment>
    <comment ref="I98" authorId="3" shapeId="0" xr:uid="{00000000-0006-0000-1600-000015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SE ADICIONA $105,983.50 EQUIPO DE PROTECCION</t>
        </r>
      </text>
    </comment>
    <comment ref="D137" authorId="3" shapeId="0" xr:uid="{00000000-0006-0000-1600-000016000000}">
      <text>
        <r>
          <rPr>
            <b/>
            <sz val="9"/>
            <color indexed="81"/>
            <rFont val="Tahoma"/>
            <family val="2"/>
          </rPr>
          <t>Julio Visuette:</t>
        </r>
        <r>
          <rPr>
            <sz val="9"/>
            <color indexed="81"/>
            <rFont val="Tahoma"/>
            <family val="2"/>
          </rPr>
          <t xml:space="preserve">
EQUIPO DONADO
</t>
        </r>
      </text>
    </comment>
  </commentList>
</comments>
</file>

<file path=xl/sharedStrings.xml><?xml version="1.0" encoding="utf-8"?>
<sst xmlns="http://schemas.openxmlformats.org/spreadsheetml/2006/main" count="5837" uniqueCount="1823">
  <si>
    <t>EMPRESA DE TRANSMISIÓN ELÉCTRICA S.A.</t>
  </si>
  <si>
    <t xml:space="preserve">PARÁMETROS Y VALORES UTILIZADOS EN EL CÁLCULO DEL INGRESO MÁXIMO PERMITIDO </t>
  </si>
  <si>
    <t>PARÁMETROS IMP</t>
  </si>
  <si>
    <t>UNIDAD</t>
  </si>
  <si>
    <t>OMT</t>
  </si>
  <si>
    <t>%</t>
  </si>
  <si>
    <t>ADMT</t>
  </si>
  <si>
    <t>Tasa depreciación nuevas inversiones</t>
  </si>
  <si>
    <t>RRT</t>
  </si>
  <si>
    <t>ACTIVOS RECONOCIDOS</t>
  </si>
  <si>
    <t>Valores Expresados en Miles de Balboas</t>
  </si>
  <si>
    <t>Factor Ajuste</t>
  </si>
  <si>
    <t>ACTIVOS EXISTENTES (al final del año calendario)</t>
  </si>
  <si>
    <t>ACTSPT (Activo bruto Sistema Principal) + PG. Asignado a G y D</t>
  </si>
  <si>
    <t>B/.MILES</t>
  </si>
  <si>
    <t>ACTCT (Activo bruto Conexión)</t>
  </si>
  <si>
    <t>ACTNSPT (Activo Neto Sistema Principal) + PG. Asignado a G y D</t>
  </si>
  <si>
    <t>ACTNTC (Activo Neto Conexión)</t>
  </si>
  <si>
    <t>ACTIVOS EFICIENTES (VNR)</t>
  </si>
  <si>
    <t>ACTIVOS EXISTENTES (al final del año)</t>
  </si>
  <si>
    <t>ACTEGyDef (Sistema Principal + PG). Asignado a G y D</t>
  </si>
  <si>
    <t>ACTCTef (Conexión)</t>
  </si>
  <si>
    <t xml:space="preserve">INGRESOS MÁXIMOS PERMITIDOS </t>
  </si>
  <si>
    <t>Operación y Mantenimiento</t>
  </si>
  <si>
    <t>Administración</t>
  </si>
  <si>
    <t>Depreciación</t>
  </si>
  <si>
    <t>Rentabilidad sobre Activos</t>
  </si>
  <si>
    <t>Estudio PEST y por gestión de compra de potencia y energía</t>
  </si>
  <si>
    <t>Total</t>
  </si>
  <si>
    <t>Crédito por Restricción Tercera Línea</t>
  </si>
  <si>
    <t>resta cuota fija por año calendario</t>
  </si>
  <si>
    <t>CONEXIÓN</t>
  </si>
  <si>
    <t>Centro Nacional de Despacho</t>
  </si>
  <si>
    <t>INGRESO ANUAL PERMITIDO EXISTENTE (Año Tarifario)</t>
  </si>
  <si>
    <t>VNA</t>
  </si>
  <si>
    <t>IPSPED. EXISTENTE</t>
  </si>
  <si>
    <t>IPSPED. EXISTENTE. CONSTANTE</t>
  </si>
  <si>
    <t>INGRESO ANUAL PERMITIDO (Año Tarifario)</t>
  </si>
  <si>
    <t>SISTEMA PRINCIPAL Asignado a D - IPSPED. EXISTENTE</t>
  </si>
  <si>
    <t>SERVICIO DE OPERACIÓN INTEGRADA - Centro Nacional de Despacho</t>
  </si>
  <si>
    <t>IMP EXISTENTE TOTAL</t>
  </si>
  <si>
    <t xml:space="preserve">FACTOR DE ACTUALIZACIÓN </t>
  </si>
  <si>
    <t>VPN del IMP (Año Tarifario) (A comienzos del período tarifario)</t>
  </si>
  <si>
    <t>VPN</t>
  </si>
  <si>
    <t>SERVICIO DE OPERACIÓN INTEGRADA- Centro Nacional de Despacho</t>
  </si>
  <si>
    <t>FAACTST = (IPT/ (IPT + 0.8INR))</t>
  </si>
  <si>
    <t>Factor de ajuste Ingresos no regulados</t>
  </si>
  <si>
    <t>ACTST = ACT*FAACTST</t>
  </si>
  <si>
    <t>IPT = IPSP + IPC</t>
  </si>
  <si>
    <t>Datos estados financieros</t>
  </si>
  <si>
    <t>Ingresos</t>
  </si>
  <si>
    <t>Transmision</t>
  </si>
  <si>
    <t>Conexión</t>
  </si>
  <si>
    <t>SOI</t>
  </si>
  <si>
    <t>Otros ingresos</t>
  </si>
  <si>
    <t>Servicios de comunicac¡ón</t>
  </si>
  <si>
    <t>Otros</t>
  </si>
  <si>
    <t>Manejo de documentos</t>
  </si>
  <si>
    <t>ingresos no regulados</t>
  </si>
  <si>
    <t>ingresos totales</t>
  </si>
  <si>
    <t xml:space="preserve">PARÁMETROS Y VALORES UTILIZADOS EN EL CÁLCULO DE LOS INGRESOS MÁXIMOS PERMITIDOS </t>
  </si>
  <si>
    <t>PARAMETROS IMP</t>
  </si>
  <si>
    <t>ADICIONES (al final del año calendario)</t>
  </si>
  <si>
    <t>OBSERVACIONES</t>
  </si>
  <si>
    <t>ACTNAD (Adic Activo Neto) + PG. Asignado a D</t>
  </si>
  <si>
    <t>ADICIONES Parciales (durante el año calendario)</t>
  </si>
  <si>
    <t>∆ACTBAD (Adic Activo Bruto) + PG. Asignado a D</t>
  </si>
  <si>
    <t>ACTIVOS EFICIENTES ADICIONALES (Al final del año calendario)</t>
  </si>
  <si>
    <t>ACTADef (Sistema Principal + PG). Asignado a D</t>
  </si>
  <si>
    <t>ACTCAef (Conexión)</t>
  </si>
  <si>
    <t>ACTIVOS INCORPORADOS PARCIALMENTE</t>
  </si>
  <si>
    <t>INGRESOS MÁXIMOS PERMITIDOS INDICATIVO</t>
  </si>
  <si>
    <t>Diferido Proximo Período</t>
  </si>
  <si>
    <t>Generación Obligada</t>
  </si>
  <si>
    <t>ACTIVOS ADICIONALES. Asignados a D</t>
  </si>
  <si>
    <t>Operación y Mantenimiento. OMSPAD</t>
  </si>
  <si>
    <t>Adicional O&amp;M. ∆OMSPAD</t>
  </si>
  <si>
    <t>Administración. ADMSPAD</t>
  </si>
  <si>
    <t>Adicional Administración. ∆ADMSPAD</t>
  </si>
  <si>
    <t>Adicional Depreciación.  ∆DepSPAD</t>
  </si>
  <si>
    <t>Adicional Rentabilidad.  ∆RentSPAD</t>
  </si>
  <si>
    <t>IPSPGyD. TOTAL</t>
  </si>
  <si>
    <t>SISTEMA PRINCIPAL Asignado a D - IPSPAD. ADICIONAL</t>
  </si>
  <si>
    <t>IPSPD. TOTAL</t>
  </si>
  <si>
    <t>IPSPA INDICATIVO TOTAL</t>
  </si>
  <si>
    <t>los datos se varian en la columna B</t>
  </si>
  <si>
    <t>caso con retoques menos profundo en el vnr</t>
  </si>
  <si>
    <t>caso con retoques en la base reduccion a lo aprobado diferencia 56782</t>
  </si>
  <si>
    <t>Variables importantes</t>
  </si>
  <si>
    <t>Caso actual</t>
  </si>
  <si>
    <t>Elasticidad</t>
  </si>
  <si>
    <t>Caso Base</t>
  </si>
  <si>
    <t>valor 2017</t>
  </si>
  <si>
    <t>Caso 1</t>
  </si>
  <si>
    <t>Caso 2</t>
  </si>
  <si>
    <t>Caso 3</t>
  </si>
  <si>
    <t>Caso 4</t>
  </si>
  <si>
    <t>Caso 5</t>
  </si>
  <si>
    <t>ADMT%M* (ADM/VNR)</t>
  </si>
  <si>
    <t>Descripcion casos (variaciones respecto caso Base)</t>
  </si>
  <si>
    <t>OMT%M* (OyM/VNR)</t>
  </si>
  <si>
    <t>Caso 1: Se varían los indices de eficiencia sacando la empresa con datos 2014</t>
  </si>
  <si>
    <t>Caso 2: se reduce un poco la tasa de depreciación</t>
  </si>
  <si>
    <t>tasa depreciación</t>
  </si>
  <si>
    <t>Caso 3: Se coloca el VNR declarado por ETESA en lugar del ajustado</t>
  </si>
  <si>
    <t>Ajuste A no reg</t>
  </si>
  <si>
    <t xml:space="preserve">Caso 4: Se incrementa el VNR de lineas reduccion de precios hasta el 20 % </t>
  </si>
  <si>
    <t>VNR Lineas SPT GyD</t>
  </si>
  <si>
    <t>Caso 5: adoptando la base de la planilla bs-01</t>
  </si>
  <si>
    <t>VNR lineas SPT D</t>
  </si>
  <si>
    <t>VNR lineas Conex</t>
  </si>
  <si>
    <t>VNR Sub SPT GyD</t>
  </si>
  <si>
    <t>VNR Sub SPT D</t>
  </si>
  <si>
    <t>VNR Sub Conex</t>
  </si>
  <si>
    <t>VNR Sub Estrategica</t>
  </si>
  <si>
    <t>Base Bruta SPT Asignado a GyD</t>
  </si>
  <si>
    <t>Base Neta SPT Asignado a GyD</t>
  </si>
  <si>
    <t>Base Bruta SPT Asignado a D</t>
  </si>
  <si>
    <t>Base Neta SPT Asignado a D</t>
  </si>
  <si>
    <t>Base Bruta Conexión</t>
  </si>
  <si>
    <t>Base Neta Conexión</t>
  </si>
  <si>
    <t>Base Bruta Planta General</t>
  </si>
  <si>
    <t>Base Neta Planta General</t>
  </si>
  <si>
    <t>CND</t>
  </si>
  <si>
    <t>IMP 1 AÑO</t>
  </si>
  <si>
    <t>Variación respecto a caso base</t>
  </si>
  <si>
    <t>Variacion respecto a valor anterior</t>
  </si>
  <si>
    <t>Porcentaje asignado a demanda</t>
  </si>
  <si>
    <t>VPN año base</t>
  </si>
  <si>
    <t>valor ultimo año</t>
  </si>
  <si>
    <t>ACTIVOS EXISTENTES</t>
  </si>
  <si>
    <t>Valores expresados en Balboas</t>
  </si>
  <si>
    <t>SPT. Asignado a Generación y Demanda</t>
  </si>
  <si>
    <t>Tasa de depreciación activos</t>
  </si>
  <si>
    <t>Activos brutos al comienzo del año</t>
  </si>
  <si>
    <t>Activos netos al comienzo del año</t>
  </si>
  <si>
    <t>Depreciación Anual</t>
  </si>
  <si>
    <t>Activos brutos al final del año</t>
  </si>
  <si>
    <t>Activos netos al final del año</t>
  </si>
  <si>
    <t>Depreciación Acumulada</t>
  </si>
  <si>
    <t>Activos netos al final del año (verificación)</t>
  </si>
  <si>
    <t>SPT. Asignado a Demanda</t>
  </si>
  <si>
    <t>Inversiones. Asignado a Demanda</t>
  </si>
  <si>
    <t>Inversión anual</t>
  </si>
  <si>
    <t>Inversión (proporcional)</t>
  </si>
  <si>
    <t>Tasa de depreciación</t>
  </si>
  <si>
    <r>
      <t xml:space="preserve">Planta General </t>
    </r>
    <r>
      <rPr>
        <b/>
        <vertAlign val="superscript"/>
        <sz val="8.5"/>
        <color theme="1"/>
        <rFont val="Calibri"/>
        <family val="2"/>
      </rPr>
      <t>(#)</t>
    </r>
    <r>
      <rPr>
        <b/>
        <sz val="10"/>
        <color theme="1"/>
        <rFont val="Calibri"/>
        <family val="2"/>
        <scheme val="minor"/>
      </rPr>
      <t>. Asignado a G y D</t>
    </r>
  </si>
  <si>
    <t>Tasa de depreciación retiros</t>
  </si>
  <si>
    <t>Retiros</t>
  </si>
  <si>
    <r>
      <t xml:space="preserve">Planta General </t>
    </r>
    <r>
      <rPr>
        <b/>
        <vertAlign val="superscript"/>
        <sz val="8.5"/>
        <color theme="0"/>
        <rFont val="Calibri"/>
        <family val="2"/>
      </rPr>
      <t>(#)</t>
    </r>
    <r>
      <rPr>
        <b/>
        <sz val="10"/>
        <color theme="0"/>
        <rFont val="Calibri"/>
        <family val="2"/>
        <scheme val="minor"/>
      </rPr>
      <t>. Asignado a Demanda</t>
    </r>
  </si>
  <si>
    <t>(#) No aplica Artículo 186 Reglamento de Transmisión</t>
  </si>
  <si>
    <t>SPT + Planta General Asignado a Generación y Demanda</t>
  </si>
  <si>
    <t>SPT + Planta General Asignado a Demanda</t>
  </si>
  <si>
    <t>INVERSIONES</t>
  </si>
  <si>
    <t>Tasa de depreciación de inversiones</t>
  </si>
  <si>
    <t>Inversión Planta General</t>
  </si>
  <si>
    <t>Asignada a Demanda</t>
  </si>
  <si>
    <t>Inversión anual Sistema Principal Transmisión</t>
  </si>
  <si>
    <t>Inversion anual Comunicaciones</t>
  </si>
  <si>
    <t>Inversión anual Estrategica (no suma en la base)</t>
  </si>
  <si>
    <t>ADICIONES</t>
  </si>
  <si>
    <t>Inversiones</t>
  </si>
  <si>
    <t>PLAN DEL SISTEMA DE TRANSMISIÓN DE CORTO PLAZO</t>
  </si>
  <si>
    <t>PLAN DEL SISTEMA DE TRANSMISIÓN DE LARGO PLAZO</t>
  </si>
  <si>
    <t xml:space="preserve">PLAN DE REPOSICIÓN </t>
  </si>
  <si>
    <t>Inversión corto, largo plazo y reposición</t>
  </si>
  <si>
    <t>Inversión anual SPT. Asignada a Demanda</t>
  </si>
  <si>
    <t>Inversión anual Planta General (PG)</t>
  </si>
  <si>
    <t>Inversión anual PG (incluye comunicaciones). Asignada a D</t>
  </si>
  <si>
    <t>Activos netos al final del año calendario</t>
  </si>
  <si>
    <t>Activos brutos al final del año calendario</t>
  </si>
  <si>
    <t>Activos netos al final del año calendario (verificación)</t>
  </si>
  <si>
    <t>Adiciones Planta General, Com y Rep</t>
  </si>
  <si>
    <t>Asignada a D</t>
  </si>
  <si>
    <t>Adiciones. Sistema Principal de Transmisión + Pta Gral.</t>
  </si>
  <si>
    <t>Asignado a G y D</t>
  </si>
  <si>
    <t>Depreciación Año calendario</t>
  </si>
  <si>
    <t>Asignado a D</t>
  </si>
  <si>
    <t>ACTIVOS BRUTOS CONEXIÓN</t>
  </si>
  <si>
    <t>ACTIVOS NETOS CONEXIÓN</t>
  </si>
  <si>
    <t>Sistema Principal de Transmisión. Asignado a G y D</t>
  </si>
  <si>
    <t>Sistema Principal de Transmisión. Asignado a D</t>
  </si>
  <si>
    <t>Planta General + Activos Estratégicos. Asignado a G y D</t>
  </si>
  <si>
    <t>se suman sub estrategicas en esta linea</t>
  </si>
  <si>
    <t>Planta General + Activos Estratégicos. Asignado a D</t>
  </si>
  <si>
    <t>Conexiones (incluye adiciones)</t>
  </si>
  <si>
    <t>Sistema Principal de Transmisión. Asignado a D (100%)</t>
  </si>
  <si>
    <t>ADICIONES ACUMULADAS (al final del año calendario)</t>
  </si>
  <si>
    <t>ADICIONES PROPORCIONALES (al final del año calendario)</t>
  </si>
  <si>
    <t>1er Semestre Año Tarifario</t>
  </si>
  <si>
    <t>2do Semestre Año Tarifario</t>
  </si>
  <si>
    <t>Adiciones Sistema Principal Transmisión. Asignada a D</t>
  </si>
  <si>
    <t>Adiciones Planta General. Asignada a D</t>
  </si>
  <si>
    <t>% del año tarifario activado. 1er Semestre Año Tarifario</t>
  </si>
  <si>
    <t>% del año tarifario activado. 2do Semestre Año Tarifario</t>
  </si>
  <si>
    <t>VNR</t>
  </si>
  <si>
    <t>115 KV</t>
  </si>
  <si>
    <t>Adiciones SP +  PG. Asignada a D. Activada durante el año</t>
  </si>
  <si>
    <t>HIDROMETEOROLOGÍA</t>
  </si>
  <si>
    <t>ACTIVOS EFICIENTES</t>
  </si>
  <si>
    <t>VNR Sistema Principal</t>
  </si>
  <si>
    <t>VNR Planta General</t>
  </si>
  <si>
    <t>VNR Estrategicos</t>
  </si>
  <si>
    <t>VNR EFICIENTE (SPT_ESTRATEGICAS_PLANTA GENERAL)</t>
  </si>
  <si>
    <t>VNR asignado a demanda</t>
  </si>
  <si>
    <t>VNR Conexiones</t>
  </si>
  <si>
    <t>VNR TOTAL</t>
  </si>
  <si>
    <t>Verificación Artículo 186 Reglamento de Transmisión (Tope 10%)</t>
  </si>
  <si>
    <t>Valor libro Equipo de Comunicación de Planta General</t>
  </si>
  <si>
    <t>Balboas</t>
  </si>
  <si>
    <t>Relacion entre VNR SPT y Valor libro SPT</t>
  </si>
  <si>
    <t>x</t>
  </si>
  <si>
    <t>VNR Equipo de comunicación</t>
  </si>
  <si>
    <t>Activos Contables Eficientes (Tope Artículo 186 RT)</t>
  </si>
  <si>
    <t>Verificación del Artículo 186 Reglamento de Transmisión</t>
  </si>
  <si>
    <t>Activos Eléctricos (AE) valor libros (SPT+EC)</t>
  </si>
  <si>
    <t>Activos No Eléctricos (ANE) - valor de libros sin EC</t>
  </si>
  <si>
    <t>ANE/AE</t>
  </si>
  <si>
    <t>Activos PG Tope 10%</t>
  </si>
  <si>
    <t>Mínimo</t>
  </si>
  <si>
    <t>Porcentaje Eficiente Resultante</t>
  </si>
  <si>
    <t>DEPRECIACIONES</t>
  </si>
  <si>
    <t>según BS-01</t>
  </si>
  <si>
    <t>Año</t>
  </si>
  <si>
    <t>Depreciaciones Acumuladas</t>
  </si>
  <si>
    <t>Depreciaciones Anuales</t>
  </si>
  <si>
    <t>Total Depreciaciones</t>
  </si>
  <si>
    <t>Sistema Principal</t>
  </si>
  <si>
    <t>Planta General</t>
  </si>
  <si>
    <t>SPT</t>
  </si>
  <si>
    <t>Costo Bruto Activos</t>
  </si>
  <si>
    <t>Tasa Anual Media Depreciación</t>
  </si>
  <si>
    <t>Promedios</t>
  </si>
  <si>
    <t>Tasa aplicadas</t>
  </si>
  <si>
    <t>EMPRESA DE TRANSMISION ELECTRICA S.A.</t>
  </si>
  <si>
    <t>BASE DE CAPITAL</t>
  </si>
  <si>
    <t>Evolucion bruta y neta BS-01</t>
  </si>
  <si>
    <t>Descripcion</t>
  </si>
  <si>
    <t>valor calculado</t>
  </si>
  <si>
    <t>Valor aplicado</t>
  </si>
  <si>
    <t>Valores BS - 01 año 2020</t>
  </si>
  <si>
    <t>dif 2017</t>
  </si>
  <si>
    <t>dif 2018</t>
  </si>
  <si>
    <t>dif calc</t>
  </si>
  <si>
    <t>dif 2019</t>
  </si>
  <si>
    <t>dif 2020</t>
  </si>
  <si>
    <t>prorrateado</t>
  </si>
  <si>
    <t>Bruta SPT</t>
  </si>
  <si>
    <t>Dep Acum SPT</t>
  </si>
  <si>
    <t>Bruta Conexión</t>
  </si>
  <si>
    <t>Dep Acum Conexión</t>
  </si>
  <si>
    <t>Bruta Planta</t>
  </si>
  <si>
    <t>Dep Acum Planta</t>
  </si>
  <si>
    <t>Adiciones consideradas por año</t>
  </si>
  <si>
    <t>tasa de depreciacion</t>
  </si>
  <si>
    <t>Según resoluciones con precios de detalle 2</t>
  </si>
  <si>
    <t>bs-01 pasarlo a calculado anterior</t>
  </si>
  <si>
    <t>Detalle Adicion</t>
  </si>
  <si>
    <t>SISTEMA PRINCIPAL GyD</t>
  </si>
  <si>
    <t>Reemplazo Reactores R1 y R2 s/e Mata del Nace 20 MVAR</t>
  </si>
  <si>
    <t>ADICIÓN DEL TRANSFORMADOR T4 S/E Panamá 350 MVA</t>
  </si>
  <si>
    <t>Adición Transformador T3 S/E Panamá II 175 MVA</t>
  </si>
  <si>
    <t>AUMENTO DE CAPACIDAD LT1 MATA DE NANCE - VELADERO 230 KV 714 ACCC</t>
  </si>
  <si>
    <t>REEMPLAZO DE INTERRUPTORES SUBESTACIÓN PANAMÁ 230 KV</t>
  </si>
  <si>
    <t>Aumento de Capacidad L T2 Guasquitas - Veladero 230 kV</t>
  </si>
  <si>
    <t>LT REPOTENCIACION  115-3 y 4</t>
  </si>
  <si>
    <t>AUTOMATIZACION SE CACERES</t>
  </si>
  <si>
    <t>Reemplazo Interruptores Bancos de Capacitores 230 kV Llano Sanche y Panamá II</t>
  </si>
  <si>
    <t>Reemplazo Maquina Extracción y Filtrado de SF6</t>
  </si>
  <si>
    <t>REPOSICION DE PROTECCIONES DIFERENCIALES 230/115 KV</t>
  </si>
  <si>
    <t>SISTEMA PRINCIPAL D</t>
  </si>
  <si>
    <t>Tercera linea</t>
  </si>
  <si>
    <t>LINEA SANTA RITA - PANAMA II (CHAG.-PMA II 230 y CHAG-CAC 115)</t>
  </si>
  <si>
    <t>LINEA GREEN CITY GREEN VALLEY</t>
  </si>
  <si>
    <t>AMPLIACION DE LAS NAVES 6 Y 7 DE LA SUB ESTACION DE PANAMA II</t>
  </si>
  <si>
    <t>REEMP. INT. 34.5KV - PROGRESO</t>
  </si>
  <si>
    <t>S/E BELLA VISTA</t>
  </si>
  <si>
    <t>CENTRO NACIONAL DE DESPACHO</t>
  </si>
  <si>
    <t>GERENCIAL APOYO</t>
  </si>
  <si>
    <t>Equipo de Informática 2017</t>
  </si>
  <si>
    <t>EQUIPO DE INFORMATICA 2018</t>
  </si>
  <si>
    <t>Equipo de Informática 2019</t>
  </si>
  <si>
    <t>Equipo de Informática 2020</t>
  </si>
  <si>
    <t>Reemplazo de FlotA VEHICULAR 2017</t>
  </si>
  <si>
    <t>REEMPLAZO DE FLOTA VEHICULAR 2018</t>
  </si>
  <si>
    <t>Reemplazo de Flota Vehicular 2019</t>
  </si>
  <si>
    <t>Reemplazo de Flota Vehicular 2020</t>
  </si>
  <si>
    <t>GERENCIAL APOYO NO PRODUCTIVO</t>
  </si>
  <si>
    <t>OTROS</t>
  </si>
  <si>
    <t>GRAN TOTAL</t>
  </si>
  <si>
    <t xml:space="preserve">Base de Capital según esquema BS-01 </t>
  </si>
  <si>
    <t>valores evolucion base etesa depreciación</t>
  </si>
  <si>
    <t>COSTO AL</t>
  </si>
  <si>
    <t>DEPRECIACION</t>
  </si>
  <si>
    <t>VALOR NETO</t>
  </si>
  <si>
    <t>Adicion</t>
  </si>
  <si>
    <t>Adición</t>
  </si>
  <si>
    <t>RETIROS</t>
  </si>
  <si>
    <t>RECLASIFICACIONES</t>
  </si>
  <si>
    <t xml:space="preserve">AJUSTES </t>
  </si>
  <si>
    <t>Depreciacion acum</t>
  </si>
  <si>
    <t>SPT GyD</t>
  </si>
  <si>
    <t>TERRENOS</t>
  </si>
  <si>
    <t>EDIFICIOS Y MEJORAS</t>
  </si>
  <si>
    <t>CAMINOS Y SENDEROS</t>
  </si>
  <si>
    <t>SERVIDUMBRE</t>
  </si>
  <si>
    <t>EQUIPO ELÉCTRICO AUXILIAR</t>
  </si>
  <si>
    <t>EQUIPO ELÉCTRICO MISCELÁNEO</t>
  </si>
  <si>
    <t>EQUIPO DE SUBESTACIONES</t>
  </si>
  <si>
    <t>TORRES Y ACCESORIOS</t>
  </si>
  <si>
    <t>CONDUCTORES AÉREOS Y ACCESORIOS</t>
  </si>
  <si>
    <t>EQUIPO MECANICO</t>
  </si>
  <si>
    <t>EQUIPO DE COMUNICACIÓN</t>
  </si>
  <si>
    <t>TRANSFORMADORES DE LÍNEAS</t>
  </si>
  <si>
    <t>EQUIPO DE PROTECCIÓN, CONTROL Y</t>
  </si>
  <si>
    <t>MOBILIARIO Y EQUIPO DE OFICINA</t>
  </si>
  <si>
    <t>HERRAMIENTAS ESPECIALIZADAS</t>
  </si>
  <si>
    <t>SUB TOTAL</t>
  </si>
  <si>
    <t>SPT D</t>
  </si>
  <si>
    <t>EQUIPO ELECTRICO AUXILIAR</t>
  </si>
  <si>
    <t>EQUIPO DE INFORMÁTICA</t>
  </si>
  <si>
    <t>EQUIPO Y MOBILIARIO DE OFICINA</t>
  </si>
  <si>
    <t>EQUIPO DE TRANSPORTE</t>
  </si>
  <si>
    <t>EQUIPO DE LABORATORIO</t>
  </si>
  <si>
    <t>EQUIPO DE INFORMATICA</t>
  </si>
  <si>
    <t>TOTAL</t>
  </si>
  <si>
    <t xml:space="preserve">Bienes Donados - Informática - Hidromet </t>
  </si>
  <si>
    <t>EQUIPO TORRES - ACP / STP</t>
  </si>
  <si>
    <t>EQUIPO CONDUCTORES Y OTROS - ACP / STP</t>
  </si>
  <si>
    <t>Gran Total</t>
  </si>
  <si>
    <t>Resumen</t>
  </si>
  <si>
    <t>Base Bruta</t>
  </si>
  <si>
    <t>Base Neta</t>
  </si>
  <si>
    <t>Adiciones</t>
  </si>
  <si>
    <t>Fecha</t>
  </si>
  <si>
    <t>Nombre del proyecto</t>
  </si>
  <si>
    <t xml:space="preserve">Monto </t>
  </si>
  <si>
    <t>Reemplazo Interruptores B. de Capacitores 230 kV Ll. Sanchez y Pan. II</t>
  </si>
  <si>
    <t>AUMENTO DE CAPACIDAD LT1 MATA DE NANCE - VELADERO 230 KV</t>
  </si>
  <si>
    <t>REEMPLAZO TT2 S/E CHORRERA (ATERRIZAJE)</t>
  </si>
  <si>
    <t>REEMPLAZO T2 S/E CHORRERA</t>
  </si>
  <si>
    <t xml:space="preserve">REMP. T1 S/E LL. SÁNCHEZ </t>
  </si>
  <si>
    <t>Reemplazo de interruptores de la sub estación Progreso</t>
  </si>
  <si>
    <t>CONDUCTORES AÉREOS Y ACCESOR</t>
  </si>
  <si>
    <t>Base Bruta al 31 diciembre</t>
  </si>
  <si>
    <t>Base Neta al 31 de diciembre</t>
  </si>
  <si>
    <t>COMPARADORES</t>
  </si>
  <si>
    <t>Fuentes:</t>
  </si>
  <si>
    <t>Concepto</t>
  </si>
  <si>
    <t>Transelec</t>
  </si>
  <si>
    <t>ISA</t>
  </si>
  <si>
    <t>REP</t>
  </si>
  <si>
    <t>Promedio total</t>
  </si>
  <si>
    <t>AOYM/VNR</t>
  </si>
  <si>
    <t>Incremento OyM Regulado</t>
  </si>
  <si>
    <t xml:space="preserve">Calculado </t>
  </si>
  <si>
    <t>Aplicado</t>
  </si>
  <si>
    <t>Ajustado vs ETESA</t>
  </si>
  <si>
    <t>BAYANO - PACORA *</t>
  </si>
  <si>
    <t>230-2A</t>
  </si>
  <si>
    <t>PACORA - PANAMA II *</t>
  </si>
  <si>
    <t>230-2B</t>
  </si>
  <si>
    <t>BAY - 24 DICIEMBRE *</t>
  </si>
  <si>
    <t>24 DICIEMBRE - PANAMA II *</t>
  </si>
  <si>
    <t>PANAMA II - PANAMA</t>
  </si>
  <si>
    <t>230-3A,4A</t>
  </si>
  <si>
    <t>PANAMA - CHORRERA</t>
  </si>
  <si>
    <t>230-3B,4B</t>
  </si>
  <si>
    <t>CHORRERA - EL HIGO</t>
  </si>
  <si>
    <t>230-3C,4C</t>
  </si>
  <si>
    <t>EL HIGO - LL.SANCHEZ</t>
  </si>
  <si>
    <t>LL.SANCHEZ - VELADERO</t>
  </si>
  <si>
    <t>230-6A</t>
  </si>
  <si>
    <t>LLANO SANCHEZ - BELLA VISTA</t>
  </si>
  <si>
    <t>230-6B</t>
  </si>
  <si>
    <t xml:space="preserve">BELLA VISTA - VELADERO </t>
  </si>
  <si>
    <t>230-5B,6B</t>
  </si>
  <si>
    <t>VELADERO - MATA NANCE</t>
  </si>
  <si>
    <t>230-7,8</t>
  </si>
  <si>
    <t>MATA NANCE - FORTUNA</t>
  </si>
  <si>
    <t>230-12A,13A</t>
  </si>
  <si>
    <t>230-12B,13B</t>
  </si>
  <si>
    <t>230-14A,15A</t>
  </si>
  <si>
    <t>LL. SANCHEZ - S. BARTOLO</t>
  </si>
  <si>
    <t>230-14B,15B</t>
  </si>
  <si>
    <t>S. BARTOLO - VELADERO</t>
  </si>
  <si>
    <t>230-16,17</t>
  </si>
  <si>
    <t>VELADERO - GUASQUTAS</t>
  </si>
  <si>
    <t>GUASQUITAS - FORTUNA</t>
  </si>
  <si>
    <t>FORTUNA - LA ESPERANZA</t>
  </si>
  <si>
    <t>LA ESPERANZA - CHANGUINOLA</t>
  </si>
  <si>
    <t>GUASQUITAS - CAÑAZAS</t>
  </si>
  <si>
    <t>CAÑAZAS - CHANGUINOLA</t>
  </si>
  <si>
    <t>230-54,55</t>
  </si>
  <si>
    <t>CHORRERA - PANAMA</t>
  </si>
  <si>
    <t>LLANO SANCHEZ - CHORRERA</t>
  </si>
  <si>
    <t>230-51,52</t>
  </si>
  <si>
    <t>VELADERO - LLANO SANCHEZ</t>
  </si>
  <si>
    <t>230-9A</t>
  </si>
  <si>
    <t>MATA NANCE - BOQUERON III</t>
  </si>
  <si>
    <t>230-9B</t>
  </si>
  <si>
    <t>BOQUERON III - PROGRESO</t>
  </si>
  <si>
    <t>230-10</t>
  </si>
  <si>
    <t>PROGRESO - FRONTERA</t>
  </si>
  <si>
    <t>230-21</t>
  </si>
  <si>
    <t>CHANGUINOLA - FRONTERA</t>
  </si>
  <si>
    <t>115-1A,2A</t>
  </si>
  <si>
    <t>115-1B,2B</t>
  </si>
  <si>
    <t>115-3A</t>
  </si>
  <si>
    <t>PANAMA - CHILIBRE ***</t>
  </si>
  <si>
    <t>115-3B</t>
  </si>
  <si>
    <t>CHILIBRE - LAS MINAS 2 ***</t>
  </si>
  <si>
    <t>115-4A</t>
  </si>
  <si>
    <t>PANAMA - CEMENTO PANAMA ***</t>
  </si>
  <si>
    <t>115-4B</t>
  </si>
  <si>
    <t>115-15,16</t>
  </si>
  <si>
    <t>MATA NANCE - CALDERA</t>
  </si>
  <si>
    <t>115-12</t>
  </si>
  <si>
    <t>PANAMA - CACERES</t>
  </si>
  <si>
    <t>115-37</t>
  </si>
  <si>
    <t>PANAMA - CACERES SUBT.</t>
  </si>
  <si>
    <t>115-17</t>
  </si>
  <si>
    <t>CALDERA - LA ESTRELLA</t>
  </si>
  <si>
    <t>115-18</t>
  </si>
  <si>
    <t>CALDERA - LOS VALLES</t>
  </si>
  <si>
    <t>115-19</t>
  </si>
  <si>
    <t>CALDERA - PAJA DE SOMBRERO</t>
  </si>
  <si>
    <t>115-25</t>
  </si>
  <si>
    <t>PROGRESO - CHARCO AZUL</t>
  </si>
  <si>
    <t>Calculado</t>
  </si>
  <si>
    <t>PANAMA II</t>
  </si>
  <si>
    <t>PANAMA</t>
  </si>
  <si>
    <t>CHORRERA</t>
  </si>
  <si>
    <t>EL HIGO</t>
  </si>
  <si>
    <t>LLANO SANCHEZ</t>
  </si>
  <si>
    <t>VELADERO</t>
  </si>
  <si>
    <t>GUASQUITAS</t>
  </si>
  <si>
    <t xml:space="preserve">MATA DE NANCE </t>
  </si>
  <si>
    <t>PROGRESO</t>
  </si>
  <si>
    <t>FORTUNA NAVE 3</t>
  </si>
  <si>
    <t>CAÑAZAS</t>
  </si>
  <si>
    <t>CHANGUINOLA</t>
  </si>
  <si>
    <t>CACERES</t>
  </si>
  <si>
    <t>SANTA RITA</t>
  </si>
  <si>
    <t>CALDERA</t>
  </si>
  <si>
    <t>Sub SPT GyD</t>
  </si>
  <si>
    <t>Sub SPT D</t>
  </si>
  <si>
    <t>BOQUERON III</t>
  </si>
  <si>
    <t>SAN BARTOLO</t>
  </si>
  <si>
    <t>VNR ETESA 2021</t>
  </si>
  <si>
    <t>CHARCO AZUL</t>
  </si>
  <si>
    <t>LA ESPERANZA NAVE 1</t>
  </si>
  <si>
    <t>BELLA VISTA NAVE 2</t>
  </si>
  <si>
    <t>Asignado a demanda</t>
  </si>
  <si>
    <t>opcion asignado a la demanda tomando porcentuales</t>
  </si>
  <si>
    <t>Líneas SPT</t>
  </si>
  <si>
    <t>Líneas Conexión</t>
  </si>
  <si>
    <t>Subestaciones SPT</t>
  </si>
  <si>
    <t>Subestaciones Conexión</t>
  </si>
  <si>
    <t>Subestaciones Estratégicas</t>
  </si>
  <si>
    <t>Variación</t>
  </si>
  <si>
    <t>EMPRESA DE TRANSMISIÓN ELÉCTRICA S. A.</t>
  </si>
  <si>
    <t xml:space="preserve">PLAN DE INVERSIÓN  </t>
  </si>
  <si>
    <t>PROYECTOS DE EXPANSIÓN DEL SISTEMA DE TRANSMISIÓN</t>
  </si>
  <si>
    <t>(MILES DE B/.)</t>
  </si>
  <si>
    <t>Fecha puesta en servicio</t>
  </si>
  <si>
    <t>Proporción del año en servicio</t>
  </si>
  <si>
    <t xml:space="preserve"> </t>
  </si>
  <si>
    <t>hasta</t>
  </si>
  <si>
    <t xml:space="preserve">Observación </t>
  </si>
  <si>
    <t>En Ejecucion o por Refrendo</t>
  </si>
  <si>
    <t>ADICIÓN S/E MATA DE NANCE 230 KV (LT MDN-BOQ-PRO.FRO)</t>
  </si>
  <si>
    <t>ADICIÓN S/E PROGRESO 230 KV y REEMP. INT. 230 KV (LT MDN-BOQ-PRO-FRO)</t>
  </si>
  <si>
    <t>STATCOM S/E LLANO SANCHEZ 230 KV +120/-120 MVAR</t>
  </si>
  <si>
    <t>STATCOM S/E PANAMA II 230 KV +120/-120 MVAR</t>
  </si>
  <si>
    <t>ADICION BANCO CAPACITORES 60 MVAR PANAMA II 230 KV</t>
  </si>
  <si>
    <t>ADICION BANCO CAPACITORES 90 MVAR CHORRERA 230 KV</t>
  </si>
  <si>
    <t>ADICION BANCO CAPACITORES 90 MVAR VELADERO 230 KV</t>
  </si>
  <si>
    <t>ADICION BANCO CAPACITORES 30 MVAR LLANO SÁNCHEZ 230 KV</t>
  </si>
  <si>
    <t>ADICION REACTORES 40 MVAR CHANGUINOLA 230 KV</t>
  </si>
  <si>
    <t>ADICION REACTORES 20 MVAR GUASQUITAS 230 KV</t>
  </si>
  <si>
    <t>Por Licitar</t>
  </si>
  <si>
    <t>PLAN DEL SISTEMA DE COMUNICACIONES</t>
  </si>
  <si>
    <t xml:space="preserve">REPOSICIÓN DE CORTO PLAZO </t>
  </si>
  <si>
    <t>REPOSICIÓN DE LARGO PLAZO</t>
  </si>
  <si>
    <t>SISTEMA DE CONEXIÓN</t>
  </si>
  <si>
    <t>S/E EL COCO 230 KV 2 NAVES</t>
  </si>
  <si>
    <t>S/E PACORA 230 KV 1 NAVE</t>
  </si>
  <si>
    <t>LT COSTA NORTE - TORRE 4 230 KV</t>
  </si>
  <si>
    <t>S/E LLANO SANCHEZ BARRA 34.5 KV</t>
  </si>
  <si>
    <t>NUEVA SUBESTACION BURUNGA 230 KV</t>
  </si>
  <si>
    <t>PLAN DE PLANTA GENERAL</t>
  </si>
  <si>
    <t>PLAN ESTRATEGICO</t>
  </si>
  <si>
    <t>ADICION BANCO CAPACITORES 60 MVAR SAN BARTOLO 230 KV</t>
  </si>
  <si>
    <t>Proporción de inversión</t>
  </si>
  <si>
    <t>Sistema Principal de Transmisión asignado a Demanda</t>
  </si>
  <si>
    <t>Sistema Principal de Transmisión GyD</t>
  </si>
  <si>
    <t>Comunicación</t>
  </si>
  <si>
    <t>Inversiones Estratégicas</t>
  </si>
  <si>
    <t>Chequeo</t>
  </si>
  <si>
    <t>Sistema de Conexión</t>
  </si>
  <si>
    <t>Comparativa Adiciones según diferentes fuentes</t>
  </si>
  <si>
    <t>Totales</t>
  </si>
  <si>
    <t>Adiciones Res</t>
  </si>
  <si>
    <t>Detalle 1</t>
  </si>
  <si>
    <t>BS-01</t>
  </si>
  <si>
    <t>Detalle 2</t>
  </si>
  <si>
    <t>SPT+planta</t>
  </si>
  <si>
    <t>otros</t>
  </si>
  <si>
    <t>Total sin reducciones</t>
  </si>
  <si>
    <t>Comparativa totales</t>
  </si>
  <si>
    <t>Aclaracion</t>
  </si>
  <si>
    <t>Resolución</t>
  </si>
  <si>
    <t>Detalle 3</t>
  </si>
  <si>
    <t>EF</t>
  </si>
  <si>
    <t>Planilla: "2 Detalle de Inv y retiros de Activos realizados 2017-2020"</t>
  </si>
  <si>
    <t>Planilla "19 Obras realizadas en operación periodo 2017-2020"</t>
  </si>
  <si>
    <t>Planillas : "Altas de bienes A2017”, “Altas de Bienes patrimoniales A2018”, “Altas de Bienes patrimoniales A2019” y “Altas de Bienes patrimoniales A2020"</t>
  </si>
  <si>
    <t>Comparativa SPT+Planta</t>
  </si>
  <si>
    <t>Tomada</t>
  </si>
  <si>
    <t>baja por la valuacion 3 linea</t>
  </si>
  <si>
    <t>baja por la valuación mata de nance veladero</t>
  </si>
  <si>
    <t>Según Resoluciones</t>
  </si>
  <si>
    <t>Res 13406</t>
  </si>
  <si>
    <t>Res 15853</t>
  </si>
  <si>
    <t>Res 16795</t>
  </si>
  <si>
    <t>Res sin numero</t>
  </si>
  <si>
    <t>Año 2017</t>
  </si>
  <si>
    <t>Año 2018</t>
  </si>
  <si>
    <t>Año 2019</t>
  </si>
  <si>
    <t>Año 2020</t>
  </si>
  <si>
    <t>Asignación</t>
  </si>
  <si>
    <t>Monto M B</t>
  </si>
  <si>
    <t>monto en D2</t>
  </si>
  <si>
    <t>Tercera linea según lo agregado imp</t>
  </si>
  <si>
    <t>D</t>
  </si>
  <si>
    <t>Linea Santa rita - Panamá II (Chagres Panama II 230)</t>
  </si>
  <si>
    <t>reconocido antes</t>
  </si>
  <si>
    <t>GyD</t>
  </si>
  <si>
    <t>Linea Santa rita - Panamá II Tramo Línea 115 kV Santa Rita Chagres</t>
  </si>
  <si>
    <t>Adición del Transformador T4 S/E Panamá 350 MVA</t>
  </si>
  <si>
    <t xml:space="preserve"> AMPLIACION DE LAS NAVES 6 Y 7 DE LA SUB ESTACION DE PANAMA II</t>
  </si>
  <si>
    <t>Reemplazo Reactores R1 y R2 S/E M Nance 20 MVAR</t>
  </si>
  <si>
    <t>Reemplazo Interruptores Subestaci{on Panamá 230 kV</t>
  </si>
  <si>
    <t>no encontrado</t>
  </si>
  <si>
    <t>Equipo Informatica</t>
  </si>
  <si>
    <t>Reemplazo de Flota Vehicular</t>
  </si>
  <si>
    <t>Equipo de Informatica</t>
  </si>
  <si>
    <t>2 sem 2017</t>
  </si>
  <si>
    <t>1 sem 2018</t>
  </si>
  <si>
    <t>2 sem 2018</t>
  </si>
  <si>
    <t>1 sem 2019</t>
  </si>
  <si>
    <t>2 sem 2019</t>
  </si>
  <si>
    <t>1 sem 2020</t>
  </si>
  <si>
    <t>Plan inversiones CND</t>
  </si>
  <si>
    <t>Detalle 1: Según planilla "2 Detalle de Inv y retiros de Activos realizados 2017-2020"</t>
  </si>
  <si>
    <t>d: demanda; g: generación y demanda ; p: planta general; cnd: CND ; h: hidrometeorologia</t>
  </si>
  <si>
    <t>Proyectos que generan activos</t>
  </si>
  <si>
    <t>AÑO 2017</t>
  </si>
  <si>
    <t>asignación</t>
  </si>
  <si>
    <t>AÑO 2018</t>
  </si>
  <si>
    <t>AÑO 2019</t>
  </si>
  <si>
    <t>AÑO 2020</t>
  </si>
  <si>
    <t>No. de proyecto</t>
  </si>
  <si>
    <t>nombre del proyecto</t>
  </si>
  <si>
    <t>fecha de capitalización</t>
  </si>
  <si>
    <t>monto capitalizado</t>
  </si>
  <si>
    <t>C-4-C-2014-08</t>
  </si>
  <si>
    <t>PLANTAS AUXILIARES DE RESPALDO</t>
  </si>
  <si>
    <t>cnd</t>
  </si>
  <si>
    <t>C-4-L-2011-03</t>
  </si>
  <si>
    <t>Reposición LT 230 Kv 5B/6C</t>
  </si>
  <si>
    <t>g</t>
  </si>
  <si>
    <t>C-8-S/E-2012-13-C</t>
  </si>
  <si>
    <t>REMP. T1 S/E LL. SÁNCHEZ (C)</t>
  </si>
  <si>
    <t>c</t>
  </si>
  <si>
    <t>C-8-L-2012-02-ODB-(T-2)</t>
  </si>
  <si>
    <t>L/T 230 LL.SANCH.-CHORRERA-ODB</t>
  </si>
  <si>
    <t>d</t>
  </si>
  <si>
    <t>C-3-EDIF-2017-01</t>
  </si>
  <si>
    <t>Adecuacion de Edificaciones</t>
  </si>
  <si>
    <t>p</t>
  </si>
  <si>
    <t>C-4-L-2011-03-0152</t>
  </si>
  <si>
    <t>C-8-S/E-2017-04</t>
  </si>
  <si>
    <t>NUEVA S/E BURUNGA 230 KV</t>
  </si>
  <si>
    <t>C-8-S/E-2012-10-ODB</t>
  </si>
  <si>
    <t>ADIC. S/E PMA 230 KV-ODB</t>
  </si>
  <si>
    <t>C-4-S/E-2016-01</t>
  </si>
  <si>
    <t>Equipos PYM</t>
  </si>
  <si>
    <t>C-4-L-2011-03-0152-C-02</t>
  </si>
  <si>
    <t>L/T VEL-LLSA 230KV 3LT-TR 01</t>
  </si>
  <si>
    <t>C-4-S/E-2018-06</t>
  </si>
  <si>
    <t>Rep. Int. 115 Kv Caldera</t>
  </si>
  <si>
    <t>C-8-L-2012-03-ODB-(T-3)</t>
  </si>
  <si>
    <t>L/T 230 CHORRERA-PANAMÁ-ODB</t>
  </si>
  <si>
    <t>C-4-S/E-2015-02</t>
  </si>
  <si>
    <t>c-4-s/e-2010-19-c</t>
  </si>
  <si>
    <r>
      <t>ADICION -</t>
    </r>
    <r>
      <rPr>
        <sz val="11"/>
        <color theme="1"/>
        <rFont val="Calibri"/>
        <family val="2"/>
        <scheme val="minor"/>
      </rPr>
      <t xml:space="preserve">TRAFO T4 S/E Panama </t>
    </r>
  </si>
  <si>
    <t>C-4-S/E-2018-10</t>
  </si>
  <si>
    <t>Rep. Int. Bancos 230 Kv</t>
  </si>
  <si>
    <t>C-8-S/E-2012-07-ODB</t>
  </si>
  <si>
    <r>
      <t>ADIC</t>
    </r>
    <r>
      <rPr>
        <sz val="11"/>
        <color theme="1"/>
        <rFont val="Calibri"/>
        <family val="2"/>
        <scheme val="minor"/>
      </rPr>
      <t>. S/E VELADERO 230 KV-ODB</t>
    </r>
  </si>
  <si>
    <t>C-6-Hidromet-2015-AL</t>
  </si>
  <si>
    <t>Alerta Temprana MET.</t>
  </si>
  <si>
    <t>h</t>
  </si>
  <si>
    <t>C-4-S/E-2011-09</t>
  </si>
  <si>
    <r>
      <t>ADICION -</t>
    </r>
    <r>
      <rPr>
        <sz val="11"/>
        <color theme="1"/>
        <rFont val="Calibri"/>
        <family val="2"/>
        <scheme val="minor"/>
      </rPr>
      <t>2DO. TRAFO S/E BOQUERÓN 3</t>
    </r>
  </si>
  <si>
    <t>C-4-S/E-2018-12</t>
  </si>
  <si>
    <t>Reposicion Prot. SE Panamá 2</t>
  </si>
  <si>
    <t>C-8-S/E-2012-08-ODB</t>
  </si>
  <si>
    <r>
      <t>ADIC</t>
    </r>
    <r>
      <rPr>
        <sz val="11"/>
        <color theme="1"/>
        <rFont val="Calibri"/>
        <family val="2"/>
        <scheme val="minor"/>
      </rPr>
      <t>.S/E LL. SANCHZ 230 KV-ODB</t>
    </r>
  </si>
  <si>
    <t>C-6-Hidromet-2015-AU</t>
  </si>
  <si>
    <t>Automatización de la red</t>
  </si>
  <si>
    <t>C-8-S/E-2012-14</t>
  </si>
  <si>
    <r>
      <t>ADIC</t>
    </r>
    <r>
      <rPr>
        <sz val="11"/>
        <color theme="1"/>
        <rFont val="Calibri"/>
        <family val="2"/>
        <scheme val="minor"/>
      </rPr>
      <t xml:space="preserve">. TRAFO T3 S/E PANAMA II </t>
    </r>
  </si>
  <si>
    <t>C-8-S/E-AESPANAMA-2018</t>
  </si>
  <si>
    <t>REPOTENCIACIÓN LT115-3 Y 115-4</t>
  </si>
  <si>
    <t>C-8-S/E-2012-09-ODB</t>
  </si>
  <si>
    <r>
      <t>ADIC</t>
    </r>
    <r>
      <rPr>
        <sz val="11"/>
        <color theme="1"/>
        <rFont val="Calibri"/>
        <family val="2"/>
        <scheme val="minor"/>
      </rPr>
      <t>.S/E CHORRERA 230 KV-ODB</t>
    </r>
  </si>
  <si>
    <t>C-6-Hidromet-2015-PR</t>
  </si>
  <si>
    <t>Aut. de Procesos MET.</t>
  </si>
  <si>
    <t>C-4-REG-2004-01</t>
  </si>
  <si>
    <t>INTERCONEXION PANAMA-COLOMBIA</t>
  </si>
  <si>
    <t>C-8-S/E-GANAAMP-2018</t>
  </si>
  <si>
    <t>AMP PATIO 230 S/E PANAMA II</t>
  </si>
  <si>
    <t>C-8-L-2012-01-ODB-(T-1)</t>
  </si>
  <si>
    <t>L/T 230 VELADERO-LL.SANCH-ODB</t>
  </si>
  <si>
    <t>C-7-FO-2015-01</t>
  </si>
  <si>
    <t>RED DE FIBRA ÓPTICA</t>
  </si>
  <si>
    <t>C-4-S/E-2009-04</t>
  </si>
  <si>
    <t>SE LAS GUIAS 230/34.5KV</t>
  </si>
  <si>
    <t>C-8-S/E-GANAGREEN-2018</t>
  </si>
  <si>
    <t>C-6-Hidromet-2014-D</t>
  </si>
  <si>
    <t>Descargas Eléctricas 2</t>
  </si>
  <si>
    <t>C-6 HIDROMET 2018-D</t>
  </si>
  <si>
    <t>MODELACION HIDROLOGICA</t>
  </si>
  <si>
    <t>C-8-S/E-GENISA-2018</t>
  </si>
  <si>
    <t>C-5-2016-02</t>
  </si>
  <si>
    <t>ANEXO 4 Y OTRAS MEJORAS 2016</t>
  </si>
  <si>
    <t>C-6-Hidromet-2014-M</t>
  </si>
  <si>
    <t>Automatización de la Red</t>
  </si>
  <si>
    <t>C-6-HIDROMET 2019-C</t>
  </si>
  <si>
    <t>ESTACIONES HIDROLÓGICAS 2019</t>
  </si>
  <si>
    <t>C-4-S/E-2014-06-A</t>
  </si>
  <si>
    <t>DIFERENCIALES 230/115</t>
  </si>
  <si>
    <t>C-5-2016-04</t>
  </si>
  <si>
    <t>MEJORAMIENTO SCADA 2016</t>
  </si>
  <si>
    <t>C-6-Hidromet-2014-N</t>
  </si>
  <si>
    <t>Automatización Procesos</t>
  </si>
  <si>
    <t>C-6-HIDROMET 2019-G</t>
  </si>
  <si>
    <t>ANEMÓMETROS PV</t>
  </si>
  <si>
    <t>C-8-S/E-2013-01</t>
  </si>
  <si>
    <t>REEMP. INT. 230KV - PROGRESO</t>
  </si>
  <si>
    <t>C-5-2016-05</t>
  </si>
  <si>
    <t>EQUIPAMENTO CND 2016</t>
  </si>
  <si>
    <t>C-4-L-2010-05</t>
  </si>
  <si>
    <t>L/T 230 LLSANCHEZ-PMA2-3° L/T</t>
  </si>
  <si>
    <t>C-6 HIDROME 2019-B</t>
  </si>
  <si>
    <t>EQUIP AD REP EST AUT VU</t>
  </si>
  <si>
    <t>C-8-S/E-2012-02</t>
  </si>
  <si>
    <t>REEMPLAZO TT2 S/E CHORRERA</t>
  </si>
  <si>
    <t>C-5-2016-06</t>
  </si>
  <si>
    <t>ACTUAL SCADA CONTINUA 2016</t>
  </si>
  <si>
    <t>C-4-L-2008-03</t>
  </si>
  <si>
    <t>REFUERZO L/T S.RITA-PMA2 Y S/E</t>
  </si>
  <si>
    <t>C-4-L-2008-03-C</t>
  </si>
  <si>
    <t>REF LT S.RITA-PMA2 Y SE COPIA</t>
  </si>
  <si>
    <t>C-8-S/E-2012-03</t>
  </si>
  <si>
    <t>C-5-2014-05</t>
  </si>
  <si>
    <t>ACTUAL SCADA CONTINUA 2014</t>
  </si>
  <si>
    <t>C-8-S/E-2013-02</t>
  </si>
  <si>
    <r>
      <t>ADIC</t>
    </r>
    <r>
      <rPr>
        <sz val="11"/>
        <color theme="1"/>
        <rFont val="Calibri"/>
        <family val="2"/>
        <scheme val="minor"/>
      </rPr>
      <t xml:space="preserve">.S/E LL. SANCHZ 230 KV-ODB Tercera Linea </t>
    </r>
  </si>
  <si>
    <t>C-4-L-2011-02-0151</t>
  </si>
  <si>
    <t>REPOSICION LT 230 KV 16 Y 17 GUASQUITAS - VELADERO</t>
  </si>
  <si>
    <t>C-5-2013-01</t>
  </si>
  <si>
    <t>ACTUAL SCADA CONTINUACION</t>
  </si>
  <si>
    <t>C-8-S/E-2013-03</t>
  </si>
  <si>
    <t>REEMP. REACT. R1/R2 DE 20MVAR</t>
  </si>
  <si>
    <t>C-8-S/E-2013-26</t>
  </si>
  <si>
    <t>TERRENO SE PANAMA III</t>
  </si>
  <si>
    <t>no productivo</t>
  </si>
  <si>
    <t>C-5-2012-01-A</t>
  </si>
  <si>
    <t>ACTUALIZACION  SCADA 2012A</t>
  </si>
  <si>
    <t>C-4-C-2014-02</t>
  </si>
  <si>
    <t>TORRE DE COMUNIACION</t>
  </si>
  <si>
    <t>C-8-L-2012-01</t>
  </si>
  <si>
    <t>REF. VEL-LLS (3LT-T01-E1)</t>
  </si>
  <si>
    <t>C-4-C-2014-06</t>
  </si>
  <si>
    <t>FUENTE DE ALIMENTACION 48 VDC 10W</t>
  </si>
  <si>
    <t>C-8-L-2012-03</t>
  </si>
  <si>
    <t>REF. CHO-PMA (3LT-T03-E1)</t>
  </si>
  <si>
    <t>LT LLANO SANCHEZ</t>
  </si>
  <si>
    <t>C-4-S/E-2011-08</t>
  </si>
  <si>
    <t>S/E SAN BARTOLO 230/34.5kV</t>
  </si>
  <si>
    <t>C-8-L-2012-02</t>
  </si>
  <si>
    <t>LT VELADERO</t>
  </si>
  <si>
    <t>2DO. TRAFO S/E BOQUERÓN 3</t>
  </si>
  <si>
    <t>C-4-C-2014-07</t>
  </si>
  <si>
    <t>CONECTOR 9550</t>
  </si>
  <si>
    <t>C-4-S/E-2006-33-A</t>
  </si>
  <si>
    <t>S/E Concepción 230 kV</t>
  </si>
  <si>
    <t>CENTRAL TELEFONICA PARA ZONA 3</t>
  </si>
  <si>
    <t>C-4-S/E-2010-01</t>
  </si>
  <si>
    <t>AMPLIACIÓN S/E SANTA RITA</t>
  </si>
  <si>
    <t>sana rita Fue considerado en el Imp revisado del 2013-2017</t>
  </si>
  <si>
    <t>C-4-L-2010-04</t>
  </si>
  <si>
    <t>LINEA 230kw GUASQUITA-LLANO SANCHEZ</t>
  </si>
  <si>
    <t>C-4-S/E-2010-02</t>
  </si>
  <si>
    <t>AMPLIACION S/E PANAMA 2 P-115</t>
  </si>
  <si>
    <t>santa rita Fue considerado en el Imp revisado del 2013-2017</t>
  </si>
  <si>
    <t>C-4-L-2015-01</t>
  </si>
  <si>
    <t>TORRE DE EMERGENCIA No.2</t>
  </si>
  <si>
    <t>C-4-S/E-2006-33</t>
  </si>
  <si>
    <t>Sub Concepción 230/34.5 kV</t>
  </si>
  <si>
    <t>LT LLANOSANCHEZ</t>
  </si>
  <si>
    <t>C-5-2015-02</t>
  </si>
  <si>
    <t>EQUIPAMENTO CND 2015</t>
  </si>
  <si>
    <t>C-8-S/E-2012-15</t>
  </si>
  <si>
    <r>
      <t>ADICIÓN</t>
    </r>
    <r>
      <rPr>
        <sz val="11"/>
        <color theme="1"/>
        <rFont val="Calibri"/>
        <family val="2"/>
        <scheme val="minor"/>
      </rPr>
      <t xml:space="preserve"> 50MVAR - S/E PANAMÁ</t>
    </r>
  </si>
  <si>
    <t>C-5-2015-05</t>
  </si>
  <si>
    <t>MEJORAMIENTO SCADA 2015</t>
  </si>
  <si>
    <t>C-8-S/E-2012-16</t>
  </si>
  <si>
    <r>
      <t>ADICIÓN</t>
    </r>
    <r>
      <rPr>
        <sz val="11"/>
        <color theme="1"/>
        <rFont val="Calibri"/>
        <family val="2"/>
        <scheme val="minor"/>
      </rPr>
      <t xml:space="preserve"> BC-S/E-230KV </t>
    </r>
  </si>
  <si>
    <t>REF. LLS-CHO (3LT-T02-E1)</t>
  </si>
  <si>
    <t>C-8-S/E-2012-07</t>
  </si>
  <si>
    <r>
      <t>ADICIÓN</t>
    </r>
    <r>
      <rPr>
        <sz val="11"/>
        <color theme="1"/>
        <rFont val="Calibri"/>
        <family val="2"/>
        <scheme val="minor"/>
      </rPr>
      <t xml:space="preserve"> -PROYECTO</t>
    </r>
  </si>
  <si>
    <r>
      <t>ADIC.</t>
    </r>
    <r>
      <rPr>
        <sz val="11"/>
        <color theme="1"/>
        <rFont val="Calibri"/>
        <family val="2"/>
        <scheme val="minor"/>
      </rPr>
      <t xml:space="preserve"> S/E VELADERO (3 LT-E1)</t>
    </r>
  </si>
  <si>
    <t>C-8-S/E-2012-08</t>
  </si>
  <si>
    <r>
      <t>ADICION</t>
    </r>
    <r>
      <rPr>
        <sz val="11"/>
        <color theme="1"/>
        <rFont val="Calibri"/>
        <family val="2"/>
        <scheme val="minor"/>
      </rPr>
      <t xml:space="preserve"> -PROYECTO S/E LLANO SANCHEZ</t>
    </r>
  </si>
  <si>
    <r>
      <t>ADIC.</t>
    </r>
    <r>
      <rPr>
        <sz val="11"/>
        <color theme="1"/>
        <rFont val="Calibri"/>
        <family val="2"/>
        <scheme val="minor"/>
      </rPr>
      <t xml:space="preserve"> S/E LL. SAN (3 LT-E1)</t>
    </r>
  </si>
  <si>
    <t>C-8-S/E-2012-09</t>
  </si>
  <si>
    <r>
      <t>ADICIÓN</t>
    </r>
    <r>
      <rPr>
        <sz val="11"/>
        <color theme="1"/>
        <rFont val="Calibri"/>
        <family val="2"/>
        <scheme val="minor"/>
      </rPr>
      <t xml:space="preserve"> -PROYECTOS CHORRERA-230KW</t>
    </r>
  </si>
  <si>
    <r>
      <t>ADIC.</t>
    </r>
    <r>
      <rPr>
        <sz val="11"/>
        <color theme="1"/>
        <rFont val="Calibri"/>
        <family val="2"/>
        <scheme val="minor"/>
      </rPr>
      <t xml:space="preserve"> S/E CHORRERA (3 LT-E1)</t>
    </r>
  </si>
  <si>
    <t>C-8-S/E-2012-10</t>
  </si>
  <si>
    <r>
      <t>ADICIÓN</t>
    </r>
    <r>
      <rPr>
        <sz val="11"/>
        <color theme="1"/>
        <rFont val="Calibri"/>
        <family val="2"/>
        <scheme val="minor"/>
      </rPr>
      <t xml:space="preserve"> -PANAMA 230KW</t>
    </r>
  </si>
  <si>
    <r>
      <t xml:space="preserve">ADIC. </t>
    </r>
    <r>
      <rPr>
        <sz val="11"/>
        <color theme="1"/>
        <rFont val="Calibri"/>
        <family val="2"/>
        <scheme val="minor"/>
      </rPr>
      <t>S/E PANAMA (3 LT-E1)</t>
    </r>
  </si>
  <si>
    <t>C-8-L-2012-01-ODB</t>
  </si>
  <si>
    <r>
      <t>ADICIÓN</t>
    </r>
    <r>
      <rPr>
        <sz val="11"/>
        <color theme="1"/>
        <rFont val="Calibri"/>
        <family val="2"/>
        <scheme val="minor"/>
      </rPr>
      <t xml:space="preserve"> -PROYECTO ODB TERCERA LINEA</t>
    </r>
  </si>
  <si>
    <t>C-4-S/E-2006-34</t>
  </si>
  <si>
    <r>
      <t>ADIC.</t>
    </r>
    <r>
      <rPr>
        <sz val="11"/>
        <color theme="1"/>
        <rFont val="Calibri"/>
        <family val="2"/>
        <scheme val="minor"/>
      </rPr>
      <t xml:space="preserve"> SUB CALDERA 115/34.5</t>
    </r>
  </si>
  <si>
    <t>C-8-L-2012-02-ODB</t>
  </si>
  <si>
    <t>C-8-L-2012-03-ODB</t>
  </si>
  <si>
    <t>C-8-S/E-2012-07 -ODB</t>
  </si>
  <si>
    <t>C-8-S/E-2012-08 -ODB</t>
  </si>
  <si>
    <t>C-8-S/E-2012-09 -ODB</t>
  </si>
  <si>
    <t>C-8-S/E-2012-10 -ODB</t>
  </si>
  <si>
    <t>Retiros según</t>
  </si>
  <si>
    <t>Periodo</t>
  </si>
  <si>
    <t>Suma de Costo Baja SUM</t>
  </si>
  <si>
    <t>Grand Total</t>
  </si>
  <si>
    <t>Retiros totales</t>
  </si>
  <si>
    <t xml:space="preserve">Adiciones </t>
  </si>
  <si>
    <t>SISTEMA PRINCIPAL</t>
  </si>
  <si>
    <t>HIDROMETEOROLOGIA</t>
  </si>
  <si>
    <t>ESTACIONES HIDROLÓGICAS</t>
  </si>
  <si>
    <t>ESTACIONES METEOROLÓGICAS</t>
  </si>
  <si>
    <t>EQUIPO DE HIDROMETEOROLOGÍA</t>
  </si>
  <si>
    <t xml:space="preserve">Detalle planilla </t>
  </si>
  <si>
    <t>19 Obras realizadas en operación periodo 2017-2020</t>
  </si>
  <si>
    <t>N proyecto</t>
  </si>
  <si>
    <t>descripcion</t>
  </si>
  <si>
    <t>año</t>
  </si>
  <si>
    <t>monto</t>
  </si>
  <si>
    <t>clasificacion</t>
  </si>
  <si>
    <t>Resolucion</t>
  </si>
  <si>
    <t>detalle</t>
  </si>
  <si>
    <t>no</t>
  </si>
  <si>
    <t>ADICION -TRAFO T4 S/E Panamá</t>
  </si>
  <si>
    <t>ADIC. TRAFO T3 S/E PANAMA II</t>
  </si>
  <si>
    <t>e</t>
  </si>
  <si>
    <t>REPOSICIÓN DE INT. DE BANCOS DE CAPACITORES 230 KV S/E LLS Y PMA II</t>
  </si>
  <si>
    <t>Reposicion Protecciones 230 KV y 115 KV de SE Panamá 2</t>
  </si>
  <si>
    <t>C-8-S/E-2012-13-c</t>
  </si>
  <si>
    <t>REMP. T1 S/E LL. SÁNCHEZ</t>
  </si>
  <si>
    <t>C-8-SE-GANAAMP-2018</t>
  </si>
  <si>
    <t>CAPITALIZACION PARCIAL DE PROYECYO "AMPLIACION D ELAS NAVES 6 Y 7 DE LA SUB ESTACION DE PANAMA II</t>
  </si>
  <si>
    <t>REPOSICIÓN LT 230 KV GUASQUITAS - VELADERO</t>
  </si>
  <si>
    <t>C-8-SE-GENISA-2018</t>
  </si>
  <si>
    <t>C-8-SE-2013-01</t>
  </si>
  <si>
    <t>3er Linea</t>
  </si>
  <si>
    <t xml:space="preserve">fecha de capitalización </t>
  </si>
  <si>
    <t xml:space="preserve"> monto capitalizado </t>
  </si>
  <si>
    <t>ADIC. S/E VELADERO (3 LT-E1)</t>
  </si>
  <si>
    <t>ADIC. S/E VELADERO 230 KV-ODB</t>
  </si>
  <si>
    <t>ADIC. S/E LL. SAN (3 LT-E1)</t>
  </si>
  <si>
    <t>ADIC.S/E LL. SANCHZ 230 KV-ODB</t>
  </si>
  <si>
    <t>ADIC. S/E CHORRERA (3 LT-E1)</t>
  </si>
  <si>
    <t>ADIC.S/E CHORRERA 230 KV-ODB</t>
  </si>
  <si>
    <t>ADIC. S/E PANAMA (3 LT-E1)</t>
  </si>
  <si>
    <t xml:space="preserve"> C-8-S/E-2012-08-ODB</t>
  </si>
  <si>
    <t xml:space="preserve">ADIC.S/E LL. SANCHZ 230 KV-ODB Tercera Linea </t>
  </si>
  <si>
    <t>Obras previstas 1er semestre 2021 "19.1 Obras Prev a entrar en operación I sem 2021"</t>
  </si>
  <si>
    <t>Proyecto</t>
  </si>
  <si>
    <t>Nombre</t>
  </si>
  <si>
    <t>Monto</t>
  </si>
  <si>
    <t>C-8-S/E-2014-01</t>
  </si>
  <si>
    <t>60 MVAR PAN 2 TD</t>
  </si>
  <si>
    <t>C-8-S/E-2015-12</t>
  </si>
  <si>
    <t>ADIC BC 90 MVAR VEL 230 KV</t>
  </si>
  <si>
    <t>C-8-S/E-2014-02</t>
  </si>
  <si>
    <t>BC 90MVAR - S/E CHO 230</t>
  </si>
  <si>
    <t>C-8-S/E-2015-11</t>
  </si>
  <si>
    <t>30 MVAR LS TD</t>
  </si>
  <si>
    <t>C-8-S/E-2015-13</t>
  </si>
  <si>
    <t>ADIC BC 120 MVAR BARTOL 230 KV</t>
  </si>
  <si>
    <t>C-8-S/E-2013-04</t>
  </si>
  <si>
    <t>AMP SE MDN TD</t>
  </si>
  <si>
    <t>Informacion planillas detalle respuesta nota DSAN 1436-21_ASEP</t>
  </si>
  <si>
    <t>Etiquetas de fila</t>
  </si>
  <si>
    <t>Suma de Costo Inicial</t>
  </si>
  <si>
    <t>CAMINOS Y PAVIMENTOS</t>
  </si>
  <si>
    <t>CONDUCTORES, CABLES,PARRARAYOS Y ACCESORIOS</t>
  </si>
  <si>
    <t>EQUIPO DE COMUNICACION</t>
  </si>
  <si>
    <t>EQUIPO DE HIDROMETEOROLOGIA</t>
  </si>
  <si>
    <t>EQUIPO DE PROTECCION,CONTROL Y MEDICION</t>
  </si>
  <si>
    <t>EQUIPO ELECTRICO MISCELANEO</t>
  </si>
  <si>
    <t>coincide BS01</t>
  </si>
  <si>
    <t>ESTACIONES HIDROLOGICAS</t>
  </si>
  <si>
    <t>TORRES,POSTES Y ACCESORIOS</t>
  </si>
  <si>
    <t>ESTACIONES METEOROLOGICAS TIPO A, B, C</t>
  </si>
  <si>
    <t>TRANSFORMADORES</t>
  </si>
  <si>
    <t>Total general</t>
  </si>
  <si>
    <t>SUBESTACIONES ESTRATEGICAS STP</t>
  </si>
  <si>
    <t>Estados Financieros</t>
  </si>
  <si>
    <t>Adquision de AF</t>
  </si>
  <si>
    <t>Construcciones en proceso</t>
  </si>
  <si>
    <t>Servidumbre</t>
  </si>
  <si>
    <t>adicion activos</t>
  </si>
  <si>
    <t>retiro activos</t>
  </si>
  <si>
    <t>Capitalizacion</t>
  </si>
  <si>
    <t>adicion servidumbre</t>
  </si>
  <si>
    <t>Adicion total</t>
  </si>
  <si>
    <t>Ingresos no regulados</t>
  </si>
  <si>
    <t>1° Sem 2021</t>
  </si>
  <si>
    <t xml:space="preserve">RESUMEN GASTOS </t>
  </si>
  <si>
    <t>1° Sem 2025</t>
  </si>
  <si>
    <t>2° Sem 2025</t>
  </si>
  <si>
    <t xml:space="preserve">Incorporaciones Semestrales CND </t>
  </si>
  <si>
    <t>#</t>
  </si>
  <si>
    <t>Cantidad Personal Propuesto para CND</t>
  </si>
  <si>
    <t>Salario y Otros Costos de Personal</t>
  </si>
  <si>
    <t>B/. /Persona/mes</t>
  </si>
  <si>
    <t>Sobre Costo Personal CND [%]</t>
  </si>
  <si>
    <t>Costo Personal CND</t>
  </si>
  <si>
    <t>B/.</t>
  </si>
  <si>
    <t>Gastos Personal Reconocidos en Otros Gastos</t>
  </si>
  <si>
    <t>Otros Gastos</t>
  </si>
  <si>
    <t>TOTAL GASTOS A RECONOCER AL CND</t>
  </si>
  <si>
    <t>Alquileres</t>
  </si>
  <si>
    <t>B/. /Año</t>
  </si>
  <si>
    <t>TOTAL GASTOS</t>
  </si>
  <si>
    <t>RESUMEN INVERSIONES</t>
  </si>
  <si>
    <t>Plan Inversiones CND</t>
  </si>
  <si>
    <t>Plan Fortalecimiento CND</t>
  </si>
  <si>
    <t>GASTOS + INVERSIONES</t>
  </si>
  <si>
    <t>DETALLE DE INVERSIONES INCORPORADAS POR SEMESTRE</t>
  </si>
  <si>
    <t>TOTAL INVERSIÓN CND</t>
  </si>
  <si>
    <t>Crédito por Restricción de la Tercera Línea</t>
  </si>
  <si>
    <t>Calidad de servicio</t>
  </si>
  <si>
    <t>Generación desplazada</t>
  </si>
  <si>
    <t>Mes</t>
  </si>
  <si>
    <t>Calidad del Servicio (C)</t>
  </si>
  <si>
    <t>Generación Desplazada</t>
  </si>
  <si>
    <t>MWh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</si>
  <si>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</si>
  <si>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</si>
  <si>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</si>
  <si>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</si>
  <si>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</si>
  <si>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</si>
  <si>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</si>
  <si>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</si>
  <si>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</si>
  <si>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</si>
  <si>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</si>
  <si>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</si>
  <si>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Nota ETE·DCND-GME-MEN-1894-2017, 21 sept 2017</t>
  </si>
  <si>
    <t>Suma a devolver</t>
  </si>
  <si>
    <t>miles de balboas</t>
  </si>
  <si>
    <t>Cuota sistema frances</t>
  </si>
  <si>
    <t>8 cuotas de ese monto</t>
  </si>
  <si>
    <t>sistema aleman</t>
  </si>
  <si>
    <t>cuota amortizacion</t>
  </si>
  <si>
    <t>calculo de cuotas</t>
  </si>
  <si>
    <t>TERCERA LÍNEA</t>
  </si>
  <si>
    <t>Valores en Millones de Balboas Estimados la revisón 2017-2021</t>
  </si>
  <si>
    <t>TERCERA LÍNEA DE TRANSMISIÓN</t>
  </si>
  <si>
    <t>VELADERO - PANAMÁ II</t>
  </si>
  <si>
    <t>TRAMO</t>
  </si>
  <si>
    <t>Km</t>
  </si>
  <si>
    <t>Costo Directo</t>
  </si>
  <si>
    <t>Costo Indirecto 16%</t>
  </si>
  <si>
    <t>Servidumbre Contrato</t>
  </si>
  <si>
    <t>Servidumbre ETESA</t>
  </si>
  <si>
    <t>Contrato GG-138-2013</t>
  </si>
  <si>
    <t>Costo</t>
  </si>
  <si>
    <t>ITBMS</t>
  </si>
  <si>
    <t>Torres de Transmisión</t>
  </si>
  <si>
    <t>Apliación S/E Veladero</t>
  </si>
  <si>
    <t>Apliación S/E Llano Sánchez</t>
  </si>
  <si>
    <t>Apliación S/E Chorrera</t>
  </si>
  <si>
    <t>Apliación S/E Panamá II</t>
  </si>
  <si>
    <t>Total Costo Directo</t>
  </si>
  <si>
    <t>Total Costo Directo con ITBMS</t>
  </si>
  <si>
    <t>Administración de la obra y EIA</t>
  </si>
  <si>
    <t>TRAMO 1</t>
  </si>
  <si>
    <t>Avalúos, Negociación y Movilización</t>
  </si>
  <si>
    <t>TRAMO 2</t>
  </si>
  <si>
    <t>TRAMO 3</t>
  </si>
  <si>
    <t>Línea de Transmisión</t>
  </si>
  <si>
    <t>Ampliación S/E Veladero</t>
  </si>
  <si>
    <t>Ampliación S/E Llano Sánchez</t>
  </si>
  <si>
    <t>Ampliación S/EChorrera</t>
  </si>
  <si>
    <t>Fecha de Entrada en Operación</t>
  </si>
  <si>
    <t>COSTO DIRECTO</t>
  </si>
  <si>
    <t>Financiamiento</t>
  </si>
  <si>
    <t>COSTO DEL CONTRATO</t>
  </si>
  <si>
    <t>COSTO INDIRECTO</t>
  </si>
  <si>
    <t>TOTAL DE LA OBRA</t>
  </si>
  <si>
    <t>MONTO OBRA A RECONOCER 2017 SEGÚN ENTRADA EN OPERACIÓN</t>
  </si>
  <si>
    <t>Ampliación S/E Panamá</t>
  </si>
  <si>
    <t>Sub Total</t>
  </si>
  <si>
    <t>Intereses durante Construcción</t>
  </si>
  <si>
    <t>Servidumbre Etesa</t>
  </si>
  <si>
    <t>Costos Indirectos</t>
  </si>
  <si>
    <t>Valores declarados en el archivo "19 Obras realizadas en operación periodo 2017-2020"</t>
  </si>
  <si>
    <t>ADIC.S/E LL. SANCHZ 230 KV-ODB Tercera Linea</t>
  </si>
  <si>
    <t>EMPRESA DE TRANSMISIÓN, S.A.</t>
  </si>
  <si>
    <t>BIENES E INSTALACIONES EN SERVICIO  según datos ETESA</t>
  </si>
  <si>
    <t>AL 31 DE DICIEMBRE DE 2020</t>
  </si>
  <si>
    <t>(Balboas)</t>
  </si>
  <si>
    <t>Activo Fijo</t>
  </si>
  <si>
    <t>Valor Neto</t>
  </si>
  <si>
    <t>TRANSMISIÓN</t>
  </si>
  <si>
    <t>SUBESTACIONES</t>
  </si>
  <si>
    <t>LÍNEAS</t>
  </si>
  <si>
    <t xml:space="preserve">PLANTA GENERAL </t>
  </si>
  <si>
    <t>PLANTA GENERAL NO PRODUCTIVO</t>
  </si>
  <si>
    <t xml:space="preserve">TOTAL </t>
  </si>
  <si>
    <t>Nota: Esta información es solo de referencia en base a los Estados Financieros presentados ya que los valores han sido ajustados por eficiciencia en periodos tarifarios anteriores.</t>
  </si>
  <si>
    <t>SUBESTACIONES Y LÍNEAS, SEGÚN CONEXIÓN Y SISTEMA PRINCIPAL, POR NIVEL DE VOLTAJE</t>
  </si>
  <si>
    <t>230 KV</t>
  </si>
  <si>
    <t>PATIO 230 KV LLANO SANCHEZ (2 CUCHILLAS MOTORIZADAS DE 230 KV Y 2 TRFOS 230/115/34.5 KV)</t>
  </si>
  <si>
    <t>nuevo</t>
  </si>
  <si>
    <t>PATIO 230 KV-CHORRERA (3 INTERRUPTORES DE 230KV Y 2 TRAFOS 230/115/34.5 KV)</t>
  </si>
  <si>
    <t>PATIO 230/34.5 KV - LAS GUIAS</t>
  </si>
  <si>
    <t>PATIO 115 KV-CHARCO AZUL</t>
  </si>
  <si>
    <t>PATIO 115 KV-LLANO SANCHEZ</t>
  </si>
  <si>
    <t>PATIO 115 KV-PROGRESO</t>
  </si>
  <si>
    <t>34.5 KV</t>
  </si>
  <si>
    <t>PATIO 230/34.5KV - CONCEPCIÓN</t>
  </si>
  <si>
    <t>PATIO 34.5 KV-CHORRERA</t>
  </si>
  <si>
    <t>PATIO 34.5 KV-CHANGUINOLA</t>
  </si>
  <si>
    <t>PATIO 34.5 KV-LLANO SANCHEZ</t>
  </si>
  <si>
    <t>PATIO 34.5 KV-MATA DE NANCE</t>
  </si>
  <si>
    <t>PATIO 34.5 KV-PROGRESO</t>
  </si>
  <si>
    <t>L/T 115 KV-CALDERA-ESTRELLA-17</t>
  </si>
  <si>
    <t>L/T 115 KV-CALDERA-LOS VALLES-18</t>
  </si>
  <si>
    <t>L/T 115 KV-CALDERA-PAJA DE SOMBRERO-19</t>
  </si>
  <si>
    <t>L/T 115 KV-PROGRESO-CHARCO AZUL-25</t>
  </si>
  <si>
    <t>L/T 230 KV- ANTON-PANAMA II</t>
  </si>
  <si>
    <t>L/T 230 KV-CAÑAZA - PTP</t>
  </si>
  <si>
    <t>L/T 230 KV-CHANGUINOLA-FRONTERA (230-21)</t>
  </si>
  <si>
    <t>L/T 230 KV-FORTUNA-CHANGUINOLA (230-20)</t>
  </si>
  <si>
    <t>L/T 230 KV-FORTUNA-CHANGUINOLA-GUABITO 19</t>
  </si>
  <si>
    <t>L/T 230 KV-GUASQUITAS-FORTUNA-18</t>
  </si>
  <si>
    <t>L/T 230 KV-NAVE 1 LA ESPERANZA</t>
  </si>
  <si>
    <t>L/T 230 KV-PROGRESO-FRONTERA (COSTA RICA) (230-10)</t>
  </si>
  <si>
    <t>L/T 230 KV-SANTA RITA-PANAMA II</t>
  </si>
  <si>
    <t>L/T 230 KV-VELADERO-MATA DE NANCE-5B</t>
  </si>
  <si>
    <t>Líneas 230KV-Bayano-Pacora (230-1A)</t>
  </si>
  <si>
    <t>L/T 230 SANTA RITA-PANAMA 2 DOBLECIRCUITO 230-54</t>
  </si>
  <si>
    <t>Líneas 230KV-Chorrera-Llano Sánchez (230-3B, 230-4B)</t>
  </si>
  <si>
    <t>L/T 230KV - LLANO SÁNCHEZ  - S/E BELLA VISTA - 6A</t>
  </si>
  <si>
    <t>Líneas 230KV-Llano Sánchez-Veladero (230-14, 230-15)</t>
  </si>
  <si>
    <t>L/T 230KV - S/E BELLA VISTA - VELADERO - 6B</t>
  </si>
  <si>
    <t>Líneas 230KV-Llano Sánchez-Veladero (230-5A, 230-6A)</t>
  </si>
  <si>
    <t>L/T 230KV-CHORRERA-EL HIGO</t>
  </si>
  <si>
    <t>Líneas 230KV-Mata de Nance-Progreso (230-9)</t>
  </si>
  <si>
    <t>LINEAS 230 KV- LLANO SANCHEZ-VELADERO 230-51-52</t>
  </si>
  <si>
    <t>Líneas 230KV-Panamá II-Llano Sánchez (230-12, 230-13)</t>
  </si>
  <si>
    <t>Líneas 230KV-Panamá II-Panamá (230-1C, 230-2B)</t>
  </si>
  <si>
    <t>Líneas 230KV-Panamá-Chorrera (230-3A, 230-4A)</t>
  </si>
  <si>
    <t>LINEAS 230KV-CHORRERA-PANAMA -230KV-47-48</t>
  </si>
  <si>
    <t>Líneas 230KV-Pacora-Panamá II (230-1B)</t>
  </si>
  <si>
    <t>LINEAS 230KV-LLANO SANCHEZ - CHORRERA -230KV-49-50</t>
  </si>
  <si>
    <t>Líneas 230KV-Veladero-Guasquitas (230-16, 230-17)</t>
  </si>
  <si>
    <t>Líneas 230KV-Mata de Nance-Fortuna (230-7, 230-8)</t>
  </si>
  <si>
    <t>L/T 115 KV SANTA RITA-CHAGRES</t>
  </si>
  <si>
    <t>Línea 115Kv-CPSA-BLM2 (115-4B)</t>
  </si>
  <si>
    <t>Líneas 115Kv-CPSA-BLM2 (115-4B)</t>
  </si>
  <si>
    <t>Línea 115KV-Panamá CPSA (115-4A)</t>
  </si>
  <si>
    <t>Líneas 115Kv-BLM1-Santa Rita (115-1B, 115-2B)</t>
  </si>
  <si>
    <t>Líneas 115KV-Panamá CPSA (115-4A)</t>
  </si>
  <si>
    <t>Líneas 115Kv-Mata de Nance-Caldera (115-15, 115-16)</t>
  </si>
  <si>
    <t>Líneas 115Kv-Panamá-Cáceres (115-12)</t>
  </si>
  <si>
    <t>Líneas 115Kv-Panamá-Cáceres (115-37) Subterránea</t>
  </si>
  <si>
    <t xml:space="preserve">Líneas 115Kv-Santa Rita-Cáceres (115-1A, 115-2A) </t>
  </si>
  <si>
    <t>PATIO 230 KV-CHANGUINOLA</t>
  </si>
  <si>
    <t>PATIO 230 KV-BOQUERON 3 (2DO TRAFO 230/115/34.5KV)</t>
  </si>
  <si>
    <t>PATIO 230 KV-CHORRERA</t>
  </si>
  <si>
    <t>PATIO 230 KV-BURUNGA (TERRENO)</t>
  </si>
  <si>
    <t>PATIO 230 KV-GUASQUITAS</t>
  </si>
  <si>
    <t>PATIO 230 KV-LLANO SANCHEZ</t>
  </si>
  <si>
    <t>PATIO 230 KV-MATA DE NANCE</t>
  </si>
  <si>
    <t>PATIO 230 KV-PANAMA</t>
  </si>
  <si>
    <t>PATIO 230 KV-PANAMA II</t>
  </si>
  <si>
    <t>PATIO 230 KV-PROGRESO</t>
  </si>
  <si>
    <t>PATIO 230 KV-NAVE 1 LA ESPERANZA</t>
  </si>
  <si>
    <t>PATIO 230 KV-VELADERO</t>
  </si>
  <si>
    <t>PATIO 230 KV-NAVE 3 FORTUNA</t>
  </si>
  <si>
    <t>segregado</t>
  </si>
  <si>
    <t>PATIO 230 KV-CAÑAZA - PTP</t>
  </si>
  <si>
    <t>PATIO 230 KV-PANAMA III  (TERRENO)</t>
  </si>
  <si>
    <t>PATIO 230/34.5KV - EL HIGO</t>
  </si>
  <si>
    <t>PATIO 230/34.5KV - SAN BARTOLO</t>
  </si>
  <si>
    <t>PATIO 230KV - BELLA VISTA (NAVE 2)</t>
  </si>
  <si>
    <t>115KV</t>
  </si>
  <si>
    <t>PATIO 115 KV-CACERES</t>
  </si>
  <si>
    <t>PATIO 115 KV-CALDERA</t>
  </si>
  <si>
    <t>PATIO 115 KV-MATA DE NANCE</t>
  </si>
  <si>
    <t>PATIO 115 KV-PANAMA</t>
  </si>
  <si>
    <t>PATIO 115 KV-PANAMA II</t>
  </si>
  <si>
    <t>transferido</t>
  </si>
  <si>
    <t>PATIO 115 KV-SANTA RITA</t>
  </si>
  <si>
    <t>PLANTA GENERAL</t>
  </si>
  <si>
    <t>PLANTA GENERAL -  NO PRODUCTIVOS</t>
  </si>
  <si>
    <t>Fuente: Gerencia de Contabilidad/ETESA</t>
  </si>
  <si>
    <t>Renglón Anexo A1 Estado Financiero diciembre 2020</t>
  </si>
  <si>
    <t>Sensibilidad</t>
  </si>
  <si>
    <t>Costo Bruto</t>
  </si>
  <si>
    <t>644,723,459</t>
  </si>
  <si>
    <t>152,451,282</t>
  </si>
  <si>
    <t>492,272,178</t>
  </si>
  <si>
    <t>618,686,831</t>
  </si>
  <si>
    <t>143,561,766</t>
  </si>
  <si>
    <t>475,125,066</t>
  </si>
  <si>
    <t>8,048,581</t>
  </si>
  <si>
    <t>2,380,302</t>
  </si>
  <si>
    <t>5,668,280</t>
  </si>
  <si>
    <t>38,015,913</t>
  </si>
  <si>
    <t>11,144,690</t>
  </si>
  <si>
    <t>26,871,224</t>
  </si>
  <si>
    <t>1,011,127</t>
  </si>
  <si>
    <t>2,591,165</t>
  </si>
  <si>
    <t>1,154,092</t>
  </si>
  <si>
    <t>1,437,073</t>
  </si>
  <si>
    <t>1,479,170</t>
  </si>
  <si>
    <t>1,293,805</t>
  </si>
  <si>
    <t>1,993,987</t>
  </si>
  <si>
    <t>1,588,203</t>
  </si>
  <si>
    <t>4,164,418</t>
  </si>
  <si>
    <t>4,110,236</t>
  </si>
  <si>
    <t>29,571,780</t>
  </si>
  <si>
    <t>28,604,554</t>
  </si>
  <si>
    <t>45,064,679</t>
  </si>
  <si>
    <t>2,923,006</t>
  </si>
  <si>
    <t>42,141,673</t>
  </si>
  <si>
    <t>L/T 230KV - LLANO SÁNCHEZ - S/E BELLA VISTA - 6A</t>
  </si>
  <si>
    <t>104,744,906</t>
  </si>
  <si>
    <t>11,015,597</t>
  </si>
  <si>
    <t>93,729,309</t>
  </si>
  <si>
    <t>5,318,509</t>
  </si>
  <si>
    <t>4,811,134</t>
  </si>
  <si>
    <t>15,270,019</t>
  </si>
  <si>
    <t>14,663,396</t>
  </si>
  <si>
    <t>60,980,953</t>
  </si>
  <si>
    <t>5,260,638</t>
  </si>
  <si>
    <t>55,720,315</t>
  </si>
  <si>
    <t>165,114,170</t>
  </si>
  <si>
    <t>14,282,214</t>
  </si>
  <si>
    <t>150,831,956</t>
  </si>
  <si>
    <t>17,898,880</t>
  </si>
  <si>
    <t>7,921,333</t>
  </si>
  <si>
    <t>9,977,547</t>
  </si>
  <si>
    <t>20,639,387</t>
  </si>
  <si>
    <t>20,409,490</t>
  </si>
  <si>
    <t>5,986,665</t>
  </si>
  <si>
    <t>4,348,869</t>
  </si>
  <si>
    <t>1,637,797</t>
  </si>
  <si>
    <t>4,895,241</t>
  </si>
  <si>
    <t>3,655,479</t>
  </si>
  <si>
    <t>1,239,762</t>
  </si>
  <si>
    <t>1,859,809</t>
  </si>
  <si>
    <t>1,859,213</t>
  </si>
  <si>
    <t>55,030,966</t>
  </si>
  <si>
    <t>22,689,415</t>
  </si>
  <si>
    <t>32,341,552</t>
  </si>
  <si>
    <t>3,328,290</t>
  </si>
  <si>
    <t>1,757,360</t>
  </si>
  <si>
    <t>1,570,930</t>
  </si>
  <si>
    <t>5,398,996</t>
  </si>
  <si>
    <t>4,221,006</t>
  </si>
  <si>
    <t>1,177,990</t>
  </si>
  <si>
    <t>18,105,535</t>
  </si>
  <si>
    <t>6,135,054</t>
  </si>
  <si>
    <t>11,970,481</t>
  </si>
  <si>
    <t>26,036,628</t>
  </si>
  <si>
    <t>8,889,516</t>
  </si>
  <si>
    <t>17,147,112</t>
  </si>
  <si>
    <t>7,588,062</t>
  </si>
  <si>
    <t>1,159,430</t>
  </si>
  <si>
    <t>6,428,632</t>
  </si>
  <si>
    <t>5,738,065</t>
  </si>
  <si>
    <t>2,348,981</t>
  </si>
  <si>
    <t>3,389,084</t>
  </si>
  <si>
    <t>3,005,387</t>
  </si>
  <si>
    <t>2,401,942</t>
  </si>
  <si>
    <t>3,451,704</t>
  </si>
  <si>
    <t>2,581,201</t>
  </si>
  <si>
    <t>Líneas 115Kv-Santa Rita-Cáceres (115-1A, 115-2A)</t>
  </si>
  <si>
    <t>5,134,476</t>
  </si>
  <si>
    <t>1,744,324</t>
  </si>
  <si>
    <t>3,390,152</t>
  </si>
  <si>
    <t>315,731,643</t>
  </si>
  <si>
    <t>117,576,155</t>
  </si>
  <si>
    <t>198,155,487</t>
  </si>
  <si>
    <t>272,379,123</t>
  </si>
  <si>
    <t>98,329,611</t>
  </si>
  <si>
    <t>174,049,512</t>
  </si>
  <si>
    <t>7,586,508</t>
  </si>
  <si>
    <t>1,219,152</t>
  </si>
  <si>
    <t>6,367,356</t>
  </si>
  <si>
    <t>7,930,169</t>
  </si>
  <si>
    <t>3,472,176</t>
  </si>
  <si>
    <t>4,457,994</t>
  </si>
  <si>
    <t>29,201,878</t>
  </si>
  <si>
    <t>9,312,948</t>
  </si>
  <si>
    <t>19,888,929</t>
  </si>
  <si>
    <t>8,306,474</t>
  </si>
  <si>
    <t>4,290,501</t>
  </si>
  <si>
    <t>4,015,974</t>
  </si>
  <si>
    <t>46,014,553</t>
  </si>
  <si>
    <t>15,758,656</t>
  </si>
  <si>
    <t>30,255,897</t>
  </si>
  <si>
    <t>18,455,369</t>
  </si>
  <si>
    <t>13,656,907</t>
  </si>
  <si>
    <t>4,798,462</t>
  </si>
  <si>
    <t>5,338,170</t>
  </si>
  <si>
    <t>4,581,562</t>
  </si>
  <si>
    <t>2,153,122</t>
  </si>
  <si>
    <t>1,078,404</t>
  </si>
  <si>
    <t>1,074,718</t>
  </si>
  <si>
    <t>40,210,468</t>
  </si>
  <si>
    <t>20,107,360</t>
  </si>
  <si>
    <t>20,103,108</t>
  </si>
  <si>
    <t>32,729,562</t>
  </si>
  <si>
    <t>8,763,885</t>
  </si>
  <si>
    <t>23,965,677</t>
  </si>
  <si>
    <t>PATIO 230 KV-PANAMA III (TERRENO)</t>
  </si>
  <si>
    <t>6,089,787</t>
  </si>
  <si>
    <t>5,831,309</t>
  </si>
  <si>
    <t>3,925,442</t>
  </si>
  <si>
    <t>1,905,867</t>
  </si>
  <si>
    <t>24,482,404</t>
  </si>
  <si>
    <t>8,147,809</t>
  </si>
  <si>
    <t>16,334,595</t>
  </si>
  <si>
    <t>11,706,840</t>
  </si>
  <si>
    <t>3,627,439</t>
  </si>
  <si>
    <t>8,079,401</t>
  </si>
  <si>
    <t>10,967,252</t>
  </si>
  <si>
    <t>2,320,598</t>
  </si>
  <si>
    <t>8,646,654</t>
  </si>
  <si>
    <t>12,201,837</t>
  </si>
  <si>
    <t>1,860,923</t>
  </si>
  <si>
    <t>10,340,914</t>
  </si>
  <si>
    <t>3,050,754</t>
  </si>
  <si>
    <t>3,019,949</t>
  </si>
  <si>
    <t>43,352,520</t>
  </si>
  <si>
    <t>19,246,544</t>
  </si>
  <si>
    <t>24,105,976</t>
  </si>
  <si>
    <t>6,932,616</t>
  </si>
  <si>
    <t>5,040,144</t>
  </si>
  <si>
    <t>1,892,472</t>
  </si>
  <si>
    <t>7,595,397</t>
  </si>
  <si>
    <t>4,255,919</t>
  </si>
  <si>
    <t>3,339,478</t>
  </si>
  <si>
    <t>6,687,076</t>
  </si>
  <si>
    <t>1,879,816</t>
  </si>
  <si>
    <t>4,807,260</t>
  </si>
  <si>
    <t>14,532,011</t>
  </si>
  <si>
    <t>5,300,468</t>
  </si>
  <si>
    <t>9,231,543</t>
  </si>
  <si>
    <t>7,114,628</t>
  </si>
  <si>
    <t>2,670,870</t>
  </si>
  <si>
    <t>4,443,758</t>
  </si>
  <si>
    <t>TOTAL SPT</t>
  </si>
  <si>
    <t>960,455,102</t>
  </si>
  <si>
    <t>270,027,437</t>
  </si>
  <si>
    <t>690,427,665</t>
  </si>
  <si>
    <t>SISTEMA CONEXIÓN</t>
  </si>
  <si>
    <t>TOTAL CONEXIÓN</t>
  </si>
  <si>
    <t xml:space="preserve">detalle según </t>
  </si>
  <si>
    <t>"3 Valor de Activos brutos y netos en operación 2017-2020"</t>
  </si>
  <si>
    <t>En verde Estrategicas</t>
  </si>
  <si>
    <t>En rojo no activadas</t>
  </si>
  <si>
    <t>muy parecido a BS-01 , util para detectar obras adicionadas</t>
  </si>
  <si>
    <t>Variación 2017</t>
  </si>
  <si>
    <t>Variación 2018</t>
  </si>
  <si>
    <t>Variación 2019</t>
  </si>
  <si>
    <t>Variación 2020</t>
  </si>
  <si>
    <t>ACTIVO FIJO</t>
  </si>
  <si>
    <t>COSTO</t>
  </si>
  <si>
    <t>DEPRECIACIÓN</t>
  </si>
  <si>
    <t>spt sin est y no activas</t>
  </si>
  <si>
    <t>SPT sin Est y no activadas</t>
  </si>
  <si>
    <t>PATIO 230/34.5 KV - EL HIGO</t>
  </si>
  <si>
    <t>PATIO 230KV-CHORRERA-EL HIGO</t>
  </si>
  <si>
    <t>País</t>
  </si>
  <si>
    <t>Indicador</t>
  </si>
  <si>
    <t>Unidades</t>
  </si>
  <si>
    <t>Panamá</t>
  </si>
  <si>
    <t>PBIpc</t>
  </si>
  <si>
    <t>Millones de Balboas a precios corrientes</t>
  </si>
  <si>
    <t>PBIcf</t>
  </si>
  <si>
    <t>PPA</t>
  </si>
  <si>
    <t>Balboas por dólar</t>
  </si>
  <si>
    <t>Remuneración asalariados</t>
  </si>
  <si>
    <t>Tasa de cambio a mitad de año</t>
  </si>
  <si>
    <t>Chile</t>
  </si>
  <si>
    <t>Millones de pesos a precios corrientes</t>
  </si>
  <si>
    <t>Pesos por dólar</t>
  </si>
  <si>
    <t>Perú</t>
  </si>
  <si>
    <t>Millones de nuevos soles a precios corrientes</t>
  </si>
  <si>
    <t>Nuevos soles por dólar</t>
  </si>
  <si>
    <t>Unidad</t>
  </si>
  <si>
    <t>VNR eléctrico</t>
  </si>
  <si>
    <t xml:space="preserve">Total </t>
  </si>
  <si>
    <t>Gastos administración</t>
  </si>
  <si>
    <t>Gastos operación</t>
  </si>
  <si>
    <t>Conversión VNR</t>
  </si>
  <si>
    <t>ADMT%M*(ADM/VNR)</t>
  </si>
  <si>
    <t>Participación</t>
  </si>
  <si>
    <t>OMT%M*(OyM/VNR)</t>
  </si>
  <si>
    <t>Mano de Obra</t>
  </si>
  <si>
    <t>Materiales</t>
  </si>
  <si>
    <t>Nacionales</t>
  </si>
  <si>
    <t>Importados</t>
  </si>
  <si>
    <t>Participación Administración</t>
  </si>
  <si>
    <t>Costos y gastos de operación</t>
  </si>
  <si>
    <t>Costos de ventas</t>
  </si>
  <si>
    <t>Gastos de administración</t>
  </si>
  <si>
    <t>Depreciación y amortización</t>
  </si>
  <si>
    <t>Gastos administración netos de depreciación</t>
  </si>
  <si>
    <t>Gastos operación netos de depreciación</t>
  </si>
  <si>
    <t>Participación O&amp;M</t>
  </si>
  <si>
    <t>Total neto de depreciación</t>
  </si>
  <si>
    <t>CTM</t>
  </si>
  <si>
    <t>REP Holding</t>
  </si>
  <si>
    <t>Costos del servicio de transmisión de energía eléctrica</t>
  </si>
  <si>
    <t>Cargas de personal</t>
  </si>
  <si>
    <t>Servicios prestados por terceros</t>
  </si>
  <si>
    <t>Seguros</t>
  </si>
  <si>
    <t>Consumo de suministros</t>
  </si>
  <si>
    <t>Subtotal</t>
  </si>
  <si>
    <t>SPT y SGT</t>
  </si>
  <si>
    <t>SST y SCT</t>
  </si>
  <si>
    <t>Otros menores</t>
  </si>
  <si>
    <t>Comparador ETESA</t>
  </si>
  <si>
    <t>Promedio</t>
  </si>
  <si>
    <t>Base de Capital Bruta</t>
  </si>
  <si>
    <t>Depreciaciones</t>
  </si>
  <si>
    <t>Base de Capital Neta</t>
  </si>
  <si>
    <t>Reclasificaciones</t>
  </si>
  <si>
    <t>Ajustes</t>
  </si>
  <si>
    <t>Base de Capital Bruta al 31 de Diciembre 2016</t>
  </si>
  <si>
    <t>Base de Capital Neta al 31 de Diciembre 2016</t>
  </si>
  <si>
    <t>IMP sin ajuste</t>
  </si>
  <si>
    <t>AOYM SP + Conexión</t>
  </si>
  <si>
    <t>Depreciación SP + Conexión</t>
  </si>
  <si>
    <t>Rentabilidad SP + Conexión</t>
  </si>
  <si>
    <t>Reciclaje de materiales</t>
  </si>
  <si>
    <t>Reembolso de seguro</t>
  </si>
  <si>
    <t>Acuerdo de supervisión</t>
  </si>
  <si>
    <t>Usa Inf</t>
  </si>
  <si>
    <t>Otros Equipos</t>
  </si>
  <si>
    <t>Sistema de Computación</t>
  </si>
  <si>
    <t>Equipo y Accesorios para el Despacho</t>
  </si>
  <si>
    <t>Edificaciones y Mejoras</t>
  </si>
  <si>
    <t>Equipo  de Sub-Estaciones / Estratégicas</t>
  </si>
  <si>
    <t>Otros Equipos Sistema de Conexión</t>
  </si>
  <si>
    <t>Ductos y Conductores Subterráneos</t>
  </si>
  <si>
    <t>Conductores Aéreos y Accesorios</t>
  </si>
  <si>
    <t>Postes y Accesorios</t>
  </si>
  <si>
    <t>Torres y Accesorios</t>
  </si>
  <si>
    <t>Equipo  de Sub-Estaciones</t>
  </si>
  <si>
    <t>Otros Equipos Sistema Principal</t>
  </si>
  <si>
    <t>Otros Equipos Generales</t>
  </si>
  <si>
    <t>Mobiliario y Equipo en General</t>
  </si>
  <si>
    <t>Sistemas de Computación en General</t>
  </si>
  <si>
    <t>Terrenos y Derecho S/Terrenos</t>
  </si>
  <si>
    <t>Planta Intangible</t>
  </si>
  <si>
    <t>Propiedades y planta</t>
  </si>
  <si>
    <t>Depreciación (B/./)</t>
  </si>
  <si>
    <t>Depreciación acumulada (B/./)</t>
  </si>
  <si>
    <t>Depreciación y Amortización Acumulada</t>
  </si>
  <si>
    <t>Anexo al Balance de situación</t>
  </si>
  <si>
    <t>ANEXO BS-02</t>
  </si>
  <si>
    <t>REEMPLAZO T2-PANAMÁ</t>
  </si>
  <si>
    <t>REEMPLAZO T1 S/E MATA DE NANCE 100 MVA</t>
  </si>
  <si>
    <t>REEMPLAZO FLOTA VEHICULAR</t>
  </si>
  <si>
    <t>Transformador T1 de la S/E Progreso</t>
  </si>
  <si>
    <t>L/T 230 KV- ANTON-PANAMA II (TERRENO)</t>
  </si>
  <si>
    <t>PATIO 230 KV-SABANITAS (TERRENO)</t>
  </si>
  <si>
    <t>Variación 2021</t>
  </si>
  <si>
    <t>CV GANNA II (tramo de L/T 230kv)</t>
  </si>
  <si>
    <t>Variación 2022</t>
  </si>
  <si>
    <t>Variación 2023</t>
  </si>
  <si>
    <t>Líneas 230KV-Sabanitas-Panamá III</t>
  </si>
  <si>
    <t>NUEVO</t>
  </si>
  <si>
    <t>PATIO 230 KV-CAÑAZA</t>
  </si>
  <si>
    <t>Año 2021</t>
  </si>
  <si>
    <t>Res.</t>
  </si>
  <si>
    <t>Año 2022</t>
  </si>
  <si>
    <t>Año 2023</t>
  </si>
  <si>
    <t>Año 2024</t>
  </si>
  <si>
    <t>Monto B/./</t>
  </si>
  <si>
    <t>Res. 18464-Elec</t>
  </si>
  <si>
    <t>Res. 18811</t>
  </si>
  <si>
    <t>Res. 18464</t>
  </si>
  <si>
    <t>Rev ETESA</t>
  </si>
  <si>
    <t>REEMPLAZO DE HILO DE GUARDA ZONA 1 Y 3 LÍNEAS 230 Y 115 KV</t>
  </si>
  <si>
    <t>REEMPLAZO T3 PANAMÁ</t>
  </si>
  <si>
    <t>R.INFRAEST. RES.GABINETE No.85 (reemplazo de torres huracan IOTA y ETA)</t>
  </si>
  <si>
    <t>ANEXO BS-01</t>
  </si>
  <si>
    <t>Cuenta: Propiedades, Planta y Equipo</t>
  </si>
  <si>
    <t>Saldo al final del semestre (B/./)</t>
  </si>
  <si>
    <t>Adiciones netas de retiros, ajustes y transferencias (B/./)</t>
  </si>
  <si>
    <t>LINEAS</t>
  </si>
  <si>
    <t>Adiciones de archivo "Pto 03 Valor de Activos brutos y netos en operación 2021-2023 &amp; primer semestre A204.xlsx" ver "Base ETESA"</t>
  </si>
  <si>
    <t>Detalle 4</t>
  </si>
  <si>
    <t>Pto 03 Valor de Activos brutos y netos en operación 2021-2023 &amp; primer semestre A204.xlsx ver "Base ETESA"</t>
  </si>
  <si>
    <t>Total 21-23</t>
  </si>
  <si>
    <t>Proyectos capitalizados mayores a 1.5 MM B/./</t>
  </si>
  <si>
    <t>Fuente: archivo "Pto. 18 PP&amp;E mayor a 1.5MM .xlsx"</t>
  </si>
  <si>
    <t>Adiciones de archivo "Pto 03 Valor de Activos brutos y netos en operación 2021-2023 &amp; primer semestre A204.xlsx" ver "Base ETESA" individualizadas</t>
  </si>
  <si>
    <t>L/T 230KV SABANITAS - PANAMA 3</t>
  </si>
  <si>
    <t>L/T 230KV VELADERO -LLANO SÁNCHEZ-230-51, 230-52</t>
  </si>
  <si>
    <t>be</t>
  </si>
  <si>
    <t>ax</t>
  </si>
  <si>
    <t>aq</t>
  </si>
  <si>
    <t>aj</t>
  </si>
  <si>
    <t>Total (mayores y menores 1.5 MM B/./)</t>
  </si>
  <si>
    <t>2021-2024</t>
  </si>
  <si>
    <t>diferencia</t>
  </si>
  <si>
    <t>L/T 230KV CHORRERA - PANAMÁ 230-47, 230-48</t>
  </si>
  <si>
    <t>total</t>
  </si>
  <si>
    <t>Línea 115Kv-CPSA-BLM2 (115-4B, 115-3B)</t>
  </si>
  <si>
    <t>PATIO 230 KV  CAÑAZAS</t>
  </si>
  <si>
    <t>Pto. 02 inversiones PP&amp;E A2021 al primer semestre A2024.xlsx</t>
  </si>
  <si>
    <t>Pto 03 Valor de Activos brutos y netos en operación 2021-2023 &amp; primer semestre A204.xlsx</t>
  </si>
  <si>
    <t>Pto. 18 PP&amp;E mayor a 1.5MM .xlsx</t>
  </si>
  <si>
    <t>Equipo de subestaciones elevadoras</t>
  </si>
  <si>
    <t>Torres y accesorios</t>
  </si>
  <si>
    <t>Conductores aéreos y accesorios</t>
  </si>
  <si>
    <t xml:space="preserve">Edificios y mejoras </t>
  </si>
  <si>
    <t xml:space="preserve">Equipo de comunicación </t>
  </si>
  <si>
    <t xml:space="preserve">Mobiliarios equipos y otros de oficina </t>
  </si>
  <si>
    <t xml:space="preserve">Terreno y derechos </t>
  </si>
  <si>
    <t xml:space="preserve">Equipo de transporte </t>
  </si>
  <si>
    <t xml:space="preserve">Transformadores </t>
  </si>
  <si>
    <t xml:space="preserve">Caminos y senderos </t>
  </si>
  <si>
    <t>Equipo de informática</t>
  </si>
  <si>
    <t xml:space="preserve">Equipo de laboratorio </t>
  </si>
  <si>
    <t xml:space="preserve">Equipo de protección control y medición </t>
  </si>
  <si>
    <t xml:space="preserve">Equipo eléctrico auxiliar </t>
  </si>
  <si>
    <t xml:space="preserve">Equipo eléctrico misceláneo </t>
  </si>
  <si>
    <t xml:space="preserve">Equipo de sistema de enfriamiento </t>
  </si>
  <si>
    <t xml:space="preserve">Equipo mecánico </t>
  </si>
  <si>
    <t xml:space="preserve">Herramienta especializada </t>
  </si>
  <si>
    <t xml:space="preserve">Equipos subestaciones estratégicas sistema principal </t>
  </si>
  <si>
    <t xml:space="preserve">Equipos subestaciones estratégicas de conexión </t>
  </si>
  <si>
    <t xml:space="preserve">Equipo torres-ACP/Sistema principal </t>
  </si>
  <si>
    <t xml:space="preserve">Equipos conductores y otros-ACP sistema principal </t>
  </si>
  <si>
    <t>Adquisiciones</t>
  </si>
  <si>
    <t>Capitalizaciones y reclasificaciones</t>
  </si>
  <si>
    <t>Bienes de hidrometereología</t>
  </si>
  <si>
    <t>Bienes donados</t>
  </si>
  <si>
    <t>Sistema principal de transmisión</t>
  </si>
  <si>
    <t>Capitalización</t>
  </si>
  <si>
    <t>Sistema de conexión</t>
  </si>
  <si>
    <t>Hidrometeorología</t>
  </si>
  <si>
    <t>Equipo gerencia de apoyo</t>
  </si>
  <si>
    <t>Inversiones regionales y otros activos transitorios</t>
  </si>
  <si>
    <t>Derecho de servidumbres</t>
  </si>
  <si>
    <t>Inmuebles, planta, equipo y mejoras a la propiedad</t>
  </si>
  <si>
    <t>inversión</t>
  </si>
  <si>
    <t>Sistema principal + conexión</t>
  </si>
  <si>
    <t>Planta General +  CND</t>
  </si>
  <si>
    <t>Terrenos + servidumbre</t>
  </si>
  <si>
    <t>Hidrometeorología + donaciones</t>
  </si>
  <si>
    <t>INFORMACIÓN ESTADOS FINANCIEROS</t>
  </si>
  <si>
    <t>EEFF</t>
  </si>
  <si>
    <t>Nota: EEFF = Estados Financieros</t>
  </si>
  <si>
    <t>Fuente</t>
  </si>
  <si>
    <t>Inversiones (sin construcciones en proceso</t>
  </si>
  <si>
    <t>Inversiones (con construcciones en proceso</t>
  </si>
  <si>
    <t>Contabilidad Regulatoria BS-01</t>
  </si>
  <si>
    <t>Comparación información BS-01 y Estados de Resultados (no incluye construcciones en proceso)</t>
  </si>
  <si>
    <t>Planta General + CND</t>
  </si>
  <si>
    <t>Pto. 02</t>
  </si>
  <si>
    <t>Pto. 03</t>
  </si>
  <si>
    <t>Comparación información BS-01 (incluye construcciones en proceso) y otras fuentes con información detallada por instalación</t>
  </si>
  <si>
    <t>Totales de diferentes fuentes: BS-01, EEFF (no incluye construcciones en proceso), Pto. 02 y Pto. 03</t>
  </si>
  <si>
    <t>Variación 2024</t>
  </si>
  <si>
    <t>*** NOTA: estas lineas son de doble circuito, un circuito se secciona en Chilibre y otro en Cemento Panamá</t>
  </si>
  <si>
    <t xml:space="preserve">**  NOTA: estas lineas son de doble circuito, un circuito se secciona en Cañazas y otro en La  Esperanza. </t>
  </si>
  <si>
    <t>*   NOTA: estas lineas son de doble circuito, un circuito se secciona en Pacora y otro en 24 de Diciembre.</t>
  </si>
  <si>
    <t>VNR SPT asignado a D</t>
  </si>
  <si>
    <t>VNR SPT asignado a GyD</t>
  </si>
  <si>
    <t>636 ACSR</t>
  </si>
  <si>
    <t>LINEAS DE 115 KV CIRCUITO SENCILLO</t>
  </si>
  <si>
    <t>LÍNEAS CONEXIÓN</t>
  </si>
  <si>
    <t>SUBTOTAL</t>
  </si>
  <si>
    <t>750 XLPE</t>
  </si>
  <si>
    <t>605 ACSS</t>
  </si>
  <si>
    <t>CEMENTO PANAMA - LAS MINAS 2 ***</t>
  </si>
  <si>
    <t>STA. RITA - LAS MINAS 1</t>
  </si>
  <si>
    <t>CACERES - STA. RITA</t>
  </si>
  <si>
    <t>LINEAS DE 115 DOBLE CIRCUITO</t>
  </si>
  <si>
    <t>LINEAS DE 115 KV DOBLE CIRCUITO</t>
  </si>
  <si>
    <t>750 ACAR</t>
  </si>
  <si>
    <t>CIRCUITO SENCILLO</t>
  </si>
  <si>
    <t>LINEAS DE 230 KV CIRCUITO SENCILLO</t>
  </si>
  <si>
    <t>LT 3</t>
  </si>
  <si>
    <t>1200 ACAR</t>
  </si>
  <si>
    <t>230-30 **</t>
  </si>
  <si>
    <t>750 y 1200 ACAR</t>
  </si>
  <si>
    <t>230-29 **</t>
  </si>
  <si>
    <t>230-20B **</t>
  </si>
  <si>
    <t>230-20A **</t>
  </si>
  <si>
    <t>230-18</t>
  </si>
  <si>
    <t>LT A CHANGUINOLA</t>
  </si>
  <si>
    <t>LT 2</t>
  </si>
  <si>
    <t>230-5A</t>
  </si>
  <si>
    <t>230-1C,2C</t>
  </si>
  <si>
    <t>230-1B</t>
  </si>
  <si>
    <t>230-1A</t>
  </si>
  <si>
    <t>LT 1</t>
  </si>
  <si>
    <t>LINEAS DE 230 KV DOBLE CIRCUITO</t>
  </si>
  <si>
    <t>LÍNEAS SPT</t>
  </si>
  <si>
    <t>(B/.)</t>
  </si>
  <si>
    <t>(Km.)</t>
  </si>
  <si>
    <t>Variación VNR</t>
  </si>
  <si>
    <t>VNR 2024</t>
  </si>
  <si>
    <t>Adiciones (actualizado 2024)</t>
  </si>
  <si>
    <t>VNR Aceptado 2021 (actualizado 2024)</t>
  </si>
  <si>
    <t>VNR Aceptado Revisión 2021</t>
  </si>
  <si>
    <t>Variación ETESA</t>
  </si>
  <si>
    <t>VNR ETESA 2024</t>
  </si>
  <si>
    <t>CONDUCTOR</t>
  </si>
  <si>
    <t>LONG. X CIRCUITO</t>
  </si>
  <si>
    <t>LONGITUD</t>
  </si>
  <si>
    <t>AÑO</t>
  </si>
  <si>
    <t>factor actualización</t>
  </si>
  <si>
    <t>VNR 2024 Ajustado</t>
  </si>
  <si>
    <t>VNR 2021</t>
  </si>
  <si>
    <t>VNR  TOTAL</t>
  </si>
  <si>
    <t>VNR 34.5</t>
  </si>
  <si>
    <t>VNR 115</t>
  </si>
  <si>
    <t>VNR ETESA TOTAL 2021</t>
  </si>
  <si>
    <t>VNR ETESA 34.5kV 2021</t>
  </si>
  <si>
    <t>VNR ETESA 115kV 2021</t>
  </si>
  <si>
    <t>VNR ETESA TOTAL 2024</t>
  </si>
  <si>
    <t>VNR ETESA 34.5kV 2024</t>
  </si>
  <si>
    <t>VNR ETESA 115kV 2024</t>
  </si>
  <si>
    <t>SUBESTACION</t>
  </si>
  <si>
    <t>VNR ETESA 230kV 2021</t>
  </si>
  <si>
    <t>VNR ETESA 230kV 2024</t>
  </si>
  <si>
    <t>ESTRATÉGICAS</t>
  </si>
  <si>
    <t>VNR LÍNEAS</t>
  </si>
  <si>
    <t>VNR SUBESTACIONES</t>
  </si>
  <si>
    <t>CEMIG-GT</t>
  </si>
  <si>
    <t>Gestion y comparacion.xlsx, "Ratios comparadoras"</t>
  </si>
  <si>
    <t>IPT</t>
  </si>
  <si>
    <t>factor ajuste (FAACTST)</t>
  </si>
  <si>
    <t>jul25-jun26</t>
  </si>
  <si>
    <t>jul26-jun27</t>
  </si>
  <si>
    <t>Nuevos reales por dólar</t>
  </si>
  <si>
    <t>Millones de nuevos reales a precios corrientes</t>
  </si>
  <si>
    <t>Brasil</t>
  </si>
  <si>
    <t>Outras receitas operacionais</t>
  </si>
  <si>
    <t>Adm/OyM</t>
  </si>
  <si>
    <t>Receita de indenizacao de geracao</t>
  </si>
  <si>
    <t>Adm</t>
  </si>
  <si>
    <t>Receita de indenizacao de transmissao</t>
  </si>
  <si>
    <t xml:space="preserve">Gastos diversos </t>
  </si>
  <si>
    <t>Outras Despesas Operacionais</t>
  </si>
  <si>
    <t>Depreciacao e amortizacao</t>
  </si>
  <si>
    <t>Despesas Gerais e Administrativas</t>
  </si>
  <si>
    <t>tributos</t>
  </si>
  <si>
    <t>Despesas com vendas (recuperação)</t>
  </si>
  <si>
    <t>(-) recuperacao de despensas</t>
  </si>
  <si>
    <t>DESPESA OPERACIONAL</t>
  </si>
  <si>
    <t>perdas na aluenacao de bens e direitos</t>
  </si>
  <si>
    <t>OyM</t>
  </si>
  <si>
    <t>Provisoes perdas na alienacao de bens e direitos</t>
  </si>
  <si>
    <t>Provisiones</t>
  </si>
  <si>
    <t xml:space="preserve">Outros Custos Operacionais </t>
  </si>
  <si>
    <t>Donaciones, contribuciones y subenciones</t>
  </si>
  <si>
    <t xml:space="preserve">Custo de Construção de Infraestrutura de Transmissão </t>
  </si>
  <si>
    <t>Provisões Operacionais, líquidas</t>
  </si>
  <si>
    <t xml:space="preserve">Arrendamientos </t>
  </si>
  <si>
    <t xml:space="preserve">Depreciação e Amortização </t>
  </si>
  <si>
    <t>Servicios de terceros</t>
  </si>
  <si>
    <t>Serviços de Terceiros</t>
  </si>
  <si>
    <t>Material</t>
  </si>
  <si>
    <t>Matéria-Prima e Insumos para Produção de Energia</t>
  </si>
  <si>
    <t>Personal y administradores</t>
  </si>
  <si>
    <t>Materiais</t>
  </si>
  <si>
    <t>Pessoal e administradores</t>
  </si>
  <si>
    <t>Parcial 2024</t>
  </si>
  <si>
    <t>a) Resultado de Explotación</t>
  </si>
  <si>
    <t>1. ANÁLISIS DEL RESULTADO</t>
  </si>
  <si>
    <t>24.3 Depreciación y amortización</t>
  </si>
  <si>
    <t>COMPOSICION DE RESULTADOS RELEVANTES (costos de ventas sin dep, amort y castigo)</t>
  </si>
  <si>
    <t>NO VAN LOS COSTOS PRESTADAS POR RELACIONADA</t>
  </si>
  <si>
    <t>Gastos de personal</t>
  </si>
  <si>
    <t>Tributos</t>
  </si>
  <si>
    <t xml:space="preserve">Tributos </t>
  </si>
  <si>
    <t>Impuestos</t>
  </si>
  <si>
    <t>Amortizacion</t>
  </si>
  <si>
    <t>Cobranza dudosa</t>
  </si>
  <si>
    <t>Servicios de conectividad</t>
  </si>
  <si>
    <t>Depreciacion</t>
  </si>
  <si>
    <t>Cargas diversas de gestion</t>
  </si>
  <si>
    <t>Apoyo social</t>
  </si>
  <si>
    <t>Estimacion de cobranza dudosa</t>
  </si>
  <si>
    <t>Honorarios de asesores y consultores</t>
  </si>
  <si>
    <t>Provision contingencias</t>
  </si>
  <si>
    <t>Desvalorizacion de inventarios</t>
  </si>
  <si>
    <t>Honorarios de asesorias y consultorias</t>
  </si>
  <si>
    <t>Servicios prestados por relacionadas</t>
  </si>
  <si>
    <t>Aportes a Osinergmin, OEFA, DGE y otros</t>
  </si>
  <si>
    <t>Pago de regalias a relacionadas</t>
  </si>
  <si>
    <t>Servicios de gerenciamiento prestados por relacionada</t>
  </si>
  <si>
    <t>Servicios de gerenciamiento</t>
  </si>
  <si>
    <t>Servicios ded operación y mantenimiento de las lineas de transmision prestados por relacionada</t>
  </si>
  <si>
    <t>Baja de activos</t>
  </si>
  <si>
    <t>Servicios de operación y mantenimiento</t>
  </si>
  <si>
    <t>Otros gastos diversos</t>
  </si>
  <si>
    <t>Desvalorizacion de suministros</t>
  </si>
  <si>
    <t>Gastos Operación y mantenimiento</t>
  </si>
  <si>
    <t>Costos Estados Financieros</t>
  </si>
  <si>
    <t>Empresa</t>
  </si>
  <si>
    <t>Indicador ETESA</t>
  </si>
  <si>
    <t>Operación y mantenimiento</t>
  </si>
  <si>
    <t>Admisitracion</t>
  </si>
  <si>
    <t>Valor [%]</t>
  </si>
  <si>
    <t>Promedio 21-23</t>
  </si>
  <si>
    <t>Para informe</t>
  </si>
  <si>
    <t>GERENCIA DE NORMAS , CALIDAD Y PROCESOS</t>
  </si>
  <si>
    <t>Gerencia</t>
  </si>
  <si>
    <t>2025-2026</t>
  </si>
  <si>
    <t>2026-2027</t>
  </si>
  <si>
    <t>2027-2028</t>
  </si>
  <si>
    <t>2028-2029</t>
  </si>
  <si>
    <t>GERENCIA DE MERCADO ELÉCTRICO</t>
  </si>
  <si>
    <t>1° Sem 2026</t>
  </si>
  <si>
    <t>2° Sem 2026</t>
  </si>
  <si>
    <t>1° Sem 2027</t>
  </si>
  <si>
    <t>2° Sem 2027</t>
  </si>
  <si>
    <t>1° Sem 2028</t>
  </si>
  <si>
    <t>2° Sem 2028</t>
  </si>
  <si>
    <t>1° Sem 2029</t>
  </si>
  <si>
    <t>2° Sem 2029</t>
  </si>
  <si>
    <t>2024-2025</t>
  </si>
  <si>
    <t>GERENCIA DE OPERACIONES</t>
  </si>
  <si>
    <t>adiciones</t>
  </si>
  <si>
    <t>Empleados totales (de áreas que incorporan personal)</t>
  </si>
  <si>
    <t>Fuente: "PLAN DE INVERSIONES Y PERSONAL CND PARA ASEP-VERSIÓN No. 4.pdf"</t>
  </si>
  <si>
    <t>Gastos semestrales del CND en personal</t>
  </si>
  <si>
    <t>Remodelación de oficinas de la Gerencia de Soporte Técnico y área de la Recepción del Centro Nacional de Despacho</t>
  </si>
  <si>
    <t>Construcción de la ampliación del CND (oficinas) y estacionamientos</t>
  </si>
  <si>
    <t>Implementación del Plan de Capacitación del CND y Adiestramiento de Despachadores</t>
  </si>
  <si>
    <t>Servicio de PSR CLOUD</t>
  </si>
  <si>
    <t>Servicio de Consultoria para el Desarrollo de Procedimiento de Análisis de Estudios de Viabilidad de Conexión en base a Criterios Operativos</t>
  </si>
  <si>
    <t>Servicio para el Desarrollo de Estudio de Requerimientos de Reserva Nacionales para la Atención de Generación Renovable No Convencional</t>
  </si>
  <si>
    <t>Servicio de Consultoría para el Desarrollo de Validación y Adecuación de Modelado de Base de Datos para los Estudios Eléctricos del SIN</t>
  </si>
  <si>
    <t>Renovación de licencias de software de terceros embebidos dentro de la infraestructura del SCADA</t>
  </si>
  <si>
    <t>Actualización de las aplicaciones del sistema SCADA/EMS</t>
  </si>
  <si>
    <t>Actualización de licencias de aplicaciones externas vinculadas al SCADA</t>
  </si>
  <si>
    <t>Mejoras a la plataforma de visualización del SITR</t>
  </si>
  <si>
    <t>Renovación de servidores de la plataforma virtualizada</t>
  </si>
  <si>
    <t>Suministro e instalación de licencias para el análisis avanzado de datos históricos del SCADA</t>
  </si>
  <si>
    <t>Bóveda de respaldos</t>
  </si>
  <si>
    <t>Adquisición de patrón portátil</t>
  </si>
  <si>
    <t>Calibración de patrones portátiles</t>
  </si>
  <si>
    <t>Medidor de corriente primaria</t>
  </si>
  <si>
    <t>Medidor de resistencia de puesta a tierra</t>
  </si>
  <si>
    <t>Cámara termográfica</t>
  </si>
  <si>
    <t>Grabador de voz</t>
  </si>
  <si>
    <t>Sensor de temperatura y humedad relativa</t>
  </si>
  <si>
    <t>Generador eléctrico de emergencia - GEE</t>
  </si>
  <si>
    <t>Mantenimiento preventivo del SPEAR</t>
  </si>
  <si>
    <t>Estudio más añadir dos contingencias al SPEAR</t>
  </si>
  <si>
    <t>Mantenimiento preventivo del WAMS</t>
  </si>
  <si>
    <t>Adquirir por mejora y mayor cobertura 16 unidades de medición fasorial - PMU - WAMS</t>
  </si>
  <si>
    <t>Mantenimiento preventivo de los cuatro (4) SAI</t>
  </si>
  <si>
    <t>Renovación de los SisteMas de Alimentación Ininterrumpido - SAI</t>
  </si>
  <si>
    <t>Recinto para bancos de baterías externa del SAI</t>
  </si>
  <si>
    <t>Licenciamiento de Herramienta de Particionamiento de Base de Datos</t>
  </si>
  <si>
    <t>Licenciamiento de Herramienta de Administracion de Equipos de Tecnología</t>
  </si>
  <si>
    <t>Actualización de Sistema Operativo para Servidores Virtuales</t>
  </si>
  <si>
    <t>Análisis, Diseño, Desarrollo e Implementación de Sistema de Administración de Gestión de Calidad para el Centro Nacional de Despacho</t>
  </si>
  <si>
    <t>Adquisición de Equipos de Impresión para el Centro Nacional de Despacho</t>
  </si>
  <si>
    <t>Solución de Filtrado de Contenidos Web para el Centro Nacional de Despacho</t>
  </si>
  <si>
    <t>Prueba de Penetración de Seguridad para Centro Nacional de Despacho</t>
  </si>
  <si>
    <t>Automatización de Procesos Operativos y Comerciales del Centro Nacional de Despacho</t>
  </si>
  <si>
    <t>Replanteamiento de Red de Área Local del Centro Nacional de Despacho</t>
  </si>
  <si>
    <t>Equipamiento CND</t>
  </si>
  <si>
    <t>Sin fecha. Valores anteriores a 2024</t>
  </si>
  <si>
    <t>Dep 3era línea</t>
  </si>
  <si>
    <t>%GyD</t>
  </si>
  <si>
    <t>Servidumbre con contrato</t>
  </si>
  <si>
    <t>Servidumbre a descontar</t>
  </si>
  <si>
    <t>Inversiones a descontar SPD</t>
  </si>
  <si>
    <t>Inversiones a descontar SPGyD</t>
  </si>
  <si>
    <t>Servidumbres a descontar SPD</t>
  </si>
  <si>
    <t>Servidumbre a descontar SP GyD</t>
  </si>
  <si>
    <t>Servidumbre a descontar SP D</t>
  </si>
  <si>
    <t>Servidumbres a descontar SP GyD</t>
  </si>
  <si>
    <t>jul27-jun28</t>
  </si>
  <si>
    <t>jul28-jun29</t>
  </si>
  <si>
    <t>alternativa</t>
  </si>
  <si>
    <t>si</t>
  </si>
  <si>
    <t>asignar 3 línea (y anteriores a 2020) a GyD</t>
  </si>
  <si>
    <t>PATIO 230 KV-PANAMA (costo indirecto)</t>
  </si>
  <si>
    <t>PATIO 230 KV-PANAMA II (costo indirecto)</t>
  </si>
  <si>
    <t>PATIO 230 KV-PROGRESO (costo indirecto)</t>
  </si>
  <si>
    <t>Servidumbre contabilidad</t>
  </si>
  <si>
    <t>Factor de actualización</t>
  </si>
  <si>
    <t>IMP a descontar</t>
  </si>
  <si>
    <t>Valor Presente</t>
  </si>
  <si>
    <t>IMP adicional realizado</t>
  </si>
  <si>
    <t>rentabilidad</t>
  </si>
  <si>
    <t>depreciación acumulada</t>
  </si>
  <si>
    <t>depreciación</t>
  </si>
  <si>
    <t>LT 115</t>
  </si>
  <si>
    <t>LT 230</t>
  </si>
  <si>
    <t>SE 34.5</t>
  </si>
  <si>
    <t>SE 115</t>
  </si>
  <si>
    <t>SE 230</t>
  </si>
  <si>
    <t>Inversiones Realizadas 2021-2025</t>
  </si>
  <si>
    <t>IMP adicional reconocido</t>
  </si>
  <si>
    <t>LT PROG-BUR-PORT-DOM 230 KV Y SUBESTACIONES</t>
  </si>
  <si>
    <t>S/E 24 DE DICIEMBRE 230 KV 1 NAVE</t>
  </si>
  <si>
    <t>Inversiones Reconocidas 2021-2025</t>
  </si>
  <si>
    <t>identificador</t>
  </si>
  <si>
    <t>tasa de depreciación</t>
  </si>
  <si>
    <t>Parámetros RT anterior</t>
  </si>
  <si>
    <t>Descuento IMP</t>
  </si>
  <si>
    <t>Descuento Inversiones no ejecutadas</t>
  </si>
  <si>
    <t>Miles de Balboas - 1° de julio de 2025</t>
  </si>
  <si>
    <t>Sistema Principal de Transmisión. Asignado a G</t>
  </si>
  <si>
    <t>Planta General + Activos Estratégicos. Asignado a G</t>
  </si>
  <si>
    <t>∆ACTAD (parcial) asignado a la D</t>
  </si>
  <si>
    <t>Año 1</t>
  </si>
  <si>
    <t>Año 2</t>
  </si>
  <si>
    <t>Año 3</t>
  </si>
  <si>
    <t>Año 4</t>
  </si>
  <si>
    <t>Monto Parcial</t>
  </si>
  <si>
    <t>meses (desde activación a diciembre del año)</t>
  </si>
  <si>
    <t>meses (desde activación a diciembre del año) Asignación a G</t>
  </si>
  <si>
    <t>meses (desde activación a diciembre del año) Asignación a D</t>
  </si>
  <si>
    <t>Tasa de interés</t>
  </si>
  <si>
    <t>a determinar posteriormente</t>
  </si>
  <si>
    <t>ACTAD (Adic Activo Bruto) + PG. Asignado a D</t>
  </si>
  <si>
    <t>Año 5</t>
  </si>
  <si>
    <t>Inversiones adicionales Conexión</t>
  </si>
  <si>
    <t>Subestación El Coco Naves 3 y 4</t>
  </si>
  <si>
    <t>CUSTO</t>
  </si>
  <si>
    <t>AOYM</t>
  </si>
  <si>
    <t>VNR ETESA 2024 REVISADO</t>
  </si>
  <si>
    <t>PANAMA III - PANAMA II</t>
  </si>
  <si>
    <t>EL COCO - PANAMA III</t>
  </si>
  <si>
    <t>230-49A y B,50</t>
  </si>
  <si>
    <t>230-49A</t>
  </si>
  <si>
    <t>CHORRERA - ANTÓN IV</t>
  </si>
  <si>
    <t>230-49B</t>
  </si>
  <si>
    <t>ANTÓN IV - LLANO SANCHEZ</t>
  </si>
  <si>
    <t>230-47A,48A</t>
  </si>
  <si>
    <t>PANAMA III - PANAMA</t>
  </si>
  <si>
    <t>230-47B,48B</t>
  </si>
  <si>
    <t>SABANITAS -PANAMA III</t>
  </si>
  <si>
    <t>SABANITAS - PANAMA II</t>
  </si>
  <si>
    <t>LT 230kV, Sabanitas-Panamá III</t>
  </si>
  <si>
    <t>Suministro</t>
  </si>
  <si>
    <t>Contrato GG-119-2020</t>
  </si>
  <si>
    <t>Montaje</t>
  </si>
  <si>
    <t>Obra civil</t>
  </si>
  <si>
    <t>SE Sabanitas 230kV</t>
  </si>
  <si>
    <t>Instalación</t>
  </si>
  <si>
    <t>Seccionalización -  obras civiles</t>
  </si>
  <si>
    <t>Seccionalización -  línea de transmisión</t>
  </si>
  <si>
    <t>SE Panamá III 230kV</t>
  </si>
  <si>
    <t>Ambiental y Social</t>
  </si>
  <si>
    <t>Gestión Predial</t>
  </si>
  <si>
    <t>Estudio de Impacto Ambiental</t>
  </si>
  <si>
    <t>Resolución AN No. 17944-Elec 19 de octubre de 2022</t>
  </si>
  <si>
    <t>Resolución AN No. 18806-Elec 19 de octubre de 2023.pdf</t>
  </si>
  <si>
    <t>Plan expansión 2020-2034</t>
  </si>
  <si>
    <t>Plan expansión 2022-2033</t>
  </si>
  <si>
    <t>230-58, 59</t>
  </si>
  <si>
    <t>SABANITAS - PANAMA III</t>
  </si>
  <si>
    <t>TELFERS - SABANITAS</t>
  </si>
  <si>
    <t>230-54B</t>
  </si>
  <si>
    <t>CRISTOBAL- SABANITAS</t>
  </si>
  <si>
    <t>230-55C</t>
  </si>
  <si>
    <t>TELFERS - CRISTOBAL</t>
  </si>
  <si>
    <t>Variación ETESA REVISADO</t>
  </si>
  <si>
    <t>EL COCO</t>
  </si>
  <si>
    <t>Línea Sabanitas-Panamá III</t>
  </si>
  <si>
    <t>CX</t>
  </si>
  <si>
    <t>no disponible</t>
  </si>
  <si>
    <t>SP</t>
  </si>
  <si>
    <t>EST</t>
  </si>
  <si>
    <t>230-30</t>
  </si>
  <si>
    <t>CAÑAZAS - CHANGUINOLA - (230-30)</t>
  </si>
  <si>
    <t>230-29</t>
  </si>
  <si>
    <t>GUASQUITAS - CAÑAZAS - (230-29)</t>
  </si>
  <si>
    <r>
      <t>24 DICIEMBRE - PANAMA II * - (230-2A)</t>
    </r>
    <r>
      <rPr>
        <sz val="11"/>
        <rFont val="Aptos Narrow"/>
        <family val="2"/>
      </rPr>
      <t xml:space="preserve"> </t>
    </r>
  </si>
  <si>
    <t>BAYANO - PANAMA II 230- 1A/1B, 230-2A/2B</t>
  </si>
  <si>
    <t>BAYANO - 24 DICIEMBRE * - (230-2B)</t>
  </si>
  <si>
    <t>230-58,59</t>
  </si>
  <si>
    <t>L/T 230 KV-NAVE 1-LA ESPERANZA</t>
  </si>
  <si>
    <t>L/T 230 KV-CAÑAZA-PTP</t>
  </si>
  <si>
    <t>TOTAL SP</t>
  </si>
  <si>
    <t>Sistema Principal (SP) o Conexión (CX)</t>
  </si>
  <si>
    <t>VNR 2024 de variaciones a DIC-2024</t>
  </si>
  <si>
    <t>se puede tomar de base el VNR de 2020 para la comparación?</t>
  </si>
  <si>
    <t>Codigo en VNR 2024</t>
  </si>
  <si>
    <t>Ingreso al SIN</t>
  </si>
  <si>
    <t>VALOR CONTABLE</t>
  </si>
  <si>
    <t>BE</t>
  </si>
  <si>
    <t>AX</t>
  </si>
  <si>
    <t>AQ</t>
  </si>
  <si>
    <t>AJ</t>
  </si>
  <si>
    <t>Ajuste 2024</t>
  </si>
  <si>
    <t>Inversiones adicionales SPT</t>
  </si>
  <si>
    <t>SE El Coco</t>
  </si>
  <si>
    <t>SE PANAMA III</t>
  </si>
  <si>
    <t>SE SABANITAS</t>
  </si>
  <si>
    <t>% Asignación a Generación</t>
  </si>
  <si>
    <t>% Asignación a Demanda</t>
  </si>
  <si>
    <t>Asignada a Generación</t>
  </si>
  <si>
    <t>IPSPEG. EXISTENTE</t>
  </si>
  <si>
    <t>IPSPEG. EXISTENTE. CONSTANTE</t>
  </si>
  <si>
    <t>SISTEMA PRINCIPAL Asignado a G - IPSPEG. EXISTENTE</t>
  </si>
  <si>
    <t>Inversión anual SPT. Asignada a Generación</t>
  </si>
  <si>
    <t>Inversión anual PG (incluye Comunicaciones). Asignada a G</t>
  </si>
  <si>
    <t>Adiciones Sistema Principal Transmisión. Asignada a G</t>
  </si>
  <si>
    <t>Asignada a G</t>
  </si>
  <si>
    <t>Adiciones Planta General. Asignada a G</t>
  </si>
  <si>
    <t>Adiciones SP +  PG. Asignada a G. Activada durante el año</t>
  </si>
  <si>
    <t>ACTNAG (Adic Activo Neto) + PG. Asignado a G</t>
  </si>
  <si>
    <t>ACTAG (Adic Activo Bruto) + PG. Asignado a G</t>
  </si>
  <si>
    <t xml:space="preserve">∆ACTBAG (Adic Activo Bruto) + PG. Asignado a G </t>
  </si>
  <si>
    <t>ACTAGef (Sistema Principal + PG). Asignado a G</t>
  </si>
  <si>
    <t>∆ACTAG (parcial) asignado a la G</t>
  </si>
  <si>
    <t>ACTIVOS ADICIONALES. Asignados a G</t>
  </si>
  <si>
    <t>Operación y Mantenimiento. OMSPAG</t>
  </si>
  <si>
    <t>Adicional O&amp;M. ∆OMSPAG</t>
  </si>
  <si>
    <t>Administración. ADMSPAG</t>
  </si>
  <si>
    <t>Adicional Administración. ∆ADMSPAG</t>
  </si>
  <si>
    <t>Adicional Depreciación.  ∆DepSPAG</t>
  </si>
  <si>
    <t>Adicional Rentabilidad.  ∆RentSPAG</t>
  </si>
  <si>
    <t>SISTEMA PRINCIPAL Asignado a G - IPSPAG. ADICIONAL</t>
  </si>
  <si>
    <t>ajustes</t>
  </si>
  <si>
    <t>% Reconocimiento</t>
  </si>
  <si>
    <t xml:space="preserve">GG-021-2012 </t>
  </si>
  <si>
    <t>GG-119-2020</t>
  </si>
  <si>
    <t>Acuerdo de entendimiento No. GG-046-2022</t>
  </si>
  <si>
    <t>GG-052-2005</t>
  </si>
  <si>
    <t>GG-138-2013</t>
  </si>
  <si>
    <t>No tiene contrato asociado, sin embargo, para el Proyecto No. C-4-L-2002-03 tenemos el contrato GG-037-2002</t>
  </si>
  <si>
    <t>Sub-total</t>
  </si>
  <si>
    <t>ADICION DE COSTOS AL ACTIVO No.208834-servidumbre</t>
  </si>
  <si>
    <t>ADICION DE COSTOS AL ACTIVO No.208835</t>
  </si>
  <si>
    <t>ADICION DE COSTOS AL ACTIVO No.208836</t>
  </si>
  <si>
    <t>PAGO DE SERVIDUMBRE- CHAGRES - PANAMA II</t>
  </si>
  <si>
    <t>SERVIDUMBRE-L/T-FORTUNA- CH GRANDE -CHANG</t>
  </si>
  <si>
    <t>SERV REMAN L/T GUASQ-PMA2</t>
  </si>
  <si>
    <t>PAGO DE SERVIDUMBRE PROYECTO T. LINEA</t>
  </si>
  <si>
    <t>PREDIO 016-O</t>
  </si>
  <si>
    <t>PAGO DE SERVIDUMBRE-GUASQUITA</t>
  </si>
  <si>
    <t>Sin Contrato</t>
  </si>
  <si>
    <t>PAGO DE SERVIDUMBRE- SANTA RITA - PANAMA II</t>
  </si>
  <si>
    <t>PAGO DE SERVIDUMBRE- SABANITAS - PANAMA III</t>
  </si>
  <si>
    <t>LÍNEA PANAMÁ III - SABANITAS 230 KV-servidumbre</t>
  </si>
  <si>
    <t>CONSTRUCCIÓN LT TELFERS - SABANITAS 230 KV</t>
  </si>
  <si>
    <t>COMPRA VENTA TERRENO-T. LINEA</t>
  </si>
  <si>
    <t>PAGO DE SERVIDUMBRE- T. LINEA</t>
  </si>
  <si>
    <t>Con Contrato</t>
  </si>
  <si>
    <t>Líneas 115Kv-Panamá-Cáceres (115-62) Subterránea</t>
  </si>
  <si>
    <t>PATIO 230 KV EL COCO</t>
  </si>
  <si>
    <t>PATIO 230 KV-PANAMA III</t>
  </si>
  <si>
    <t>PATIO 230KV - SABANITAS</t>
  </si>
  <si>
    <t>PATIO 230KV-CHEPO</t>
  </si>
  <si>
    <t>PATIO 500KV CHIRIQUI GRANDE</t>
  </si>
  <si>
    <t>Adquisición de licencias del programa simulaciones eléctricas DSATOOLS con los módulos TSAT/VSAT/SSAT/PSAT para realizar estudios de las oscilaciones de potencia en el Sistema Interconectado Nacional (SIN) y en el Sistema Eléctrico Regional (SER)</t>
  </si>
  <si>
    <t>Solución de Almacenamiento para el CND</t>
  </si>
  <si>
    <t>Revisión integral al procedimiento de cálculo de la potencia firme en el SIN</t>
  </si>
  <si>
    <t>Análisis y Preparación de la Propuesta para la Implementación de un Mercado de Servicios Auxiliares</t>
  </si>
  <si>
    <t>Estudios y Consultorias - ASEP</t>
  </si>
  <si>
    <t>PATIO 230KV-CHEPO (TERRENO)</t>
  </si>
  <si>
    <t>PATIO 230 KV-SABANITAS</t>
  </si>
  <si>
    <t>PATIO 500KV CHIRIQUI GRANDE (TERRENO)</t>
  </si>
  <si>
    <r>
      <t>230-54</t>
    </r>
    <r>
      <rPr>
        <sz val="9"/>
        <color rgb="FFFF0000"/>
        <rFont val="Calibri"/>
        <family val="2"/>
      </rPr>
      <t>A</t>
    </r>
    <r>
      <rPr>
        <sz val="10"/>
        <color theme="1"/>
        <rFont val="Calibri"/>
        <family val="2"/>
        <scheme val="minor"/>
      </rPr>
      <t>,55</t>
    </r>
    <r>
      <rPr>
        <sz val="10"/>
        <color rgb="FFFF0000"/>
        <rFont val="Calibri"/>
        <family val="2"/>
        <scheme val="minor"/>
      </rPr>
      <t>A</t>
    </r>
  </si>
  <si>
    <t>230-55B</t>
  </si>
  <si>
    <t>VNR ETESA 2024 Costos PESIN</t>
  </si>
  <si>
    <r>
      <t>230-5B,6</t>
    </r>
    <r>
      <rPr>
        <sz val="9"/>
        <color rgb="FFFF0000"/>
        <rFont val="Calibri"/>
        <family val="2"/>
      </rPr>
      <t>C</t>
    </r>
  </si>
  <si>
    <r>
      <t>7</t>
    </r>
    <r>
      <rPr>
        <sz val="9"/>
        <color rgb="FFFF0000"/>
        <rFont val="Calibri"/>
        <family val="2"/>
      </rPr>
      <t>50</t>
    </r>
    <r>
      <rPr>
        <sz val="10"/>
        <color theme="1"/>
        <rFont val="Calibri"/>
        <family val="2"/>
        <scheme val="minor"/>
      </rPr>
      <t xml:space="preserve"> ACCC</t>
    </r>
  </si>
  <si>
    <t>VNR 2024 aceptado</t>
  </si>
  <si>
    <t>Sistema Principal de Transmisión  asignado a la Generación</t>
  </si>
  <si>
    <t>Sistema Principal de Transmisión  asignado a la Demanda</t>
  </si>
  <si>
    <t>resta ajuste del periodo anterior</t>
  </si>
  <si>
    <t>Servicio de Operación Integrada (SOI)</t>
  </si>
  <si>
    <t>Homologadores</t>
  </si>
  <si>
    <t>TRANSELEC</t>
  </si>
  <si>
    <t>ISA-REP</t>
  </si>
  <si>
    <t>Ratios Comparadoras</t>
  </si>
  <si>
    <t>Sistema Principal de Transmisión (SPT)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</si>
</sst>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43" formatCode="_-* #,##0.00_-;\-* #,##0.00_-;_-* &quot;-&quot;??_-;_-@_-"/>
    <numFmt numFmtId="164" formatCode="&quot;$&quot;\ #,##0.00;[Red]\-&quot;$&quot;\ #,##0.00"/>
    <numFmt numFmtId="165" formatCode="_-* #,##0.00\ _€_-;\-* #,##0.00\ _€_-;_-* &quot;-&quot;??\ _€_-;_-@_-"/>
    <numFmt numFmtId="166" formatCode="_(* #,##0.00_);_(* \(#,##0.00\);_(* &quot;-&quot;??_);_(@_)"/>
    <numFmt numFmtId="167" formatCode="0.0%"/>
    <numFmt numFmtId="168" formatCode="d/m/yy;@"/>
    <numFmt numFmtId="169" formatCode="_(* #,##0_);_(* \(#,##0\);_(* &quot;-&quot;??_);_(@_)"/>
    <numFmt numFmtId="170" formatCode="#,##0_ ;\-#,##0\ "/>
    <numFmt numFmtId="171" formatCode="_-* #,##0_-;\-* #,##0_-;_-* &quot;-&quot;??_-;_-@_-"/>
    <numFmt numFmtId="172" formatCode="#.0\ &quot;x&quot;"/>
    <numFmt numFmtId="173" formatCode="_(* #,##0.0000_);_(* \(#,##0.0000\);_(* &quot;-&quot;??_);_(@_)"/>
    <numFmt numFmtId="174" formatCode="_(* #,##0.00000_);_(* \(#,##0.00000\);_(* &quot;-&quot;??_);_(@_)"/>
    <numFmt numFmtId="175" formatCode="0.0"/>
    <numFmt numFmtId="176" formatCode="0.0000"/>
    <numFmt numFmtId="177" formatCode="_-* #,##0.0000_-;\-* #,##0.0000_-;_-* &quot;-&quot;??_-;_-@_-"/>
    <numFmt numFmtId="178" formatCode="###0;###0"/>
    <numFmt numFmtId="179" formatCode="_-* #,##0\ _€_-;\-* #,##0\ _€_-;_-* &quot;-&quot;??\ _€_-;_-@_-"/>
    <numFmt numFmtId="180" formatCode="_-* #,##0.000\ _€_-;\-* #,##0.000\ _€_-;_-* &quot;-&quot;??\ _€_-;_-@_-"/>
    <numFmt numFmtId="181" formatCode="#,##0;#,##0"/>
    <numFmt numFmtId="182" formatCode="0.000"/>
    <numFmt numFmtId="183" formatCode="#,##0.000"/>
    <numFmt numFmtId="184" formatCode="&quot;$&quot;\ #,##0.000;[Red]\-&quot;$&quot;\ #,##0.000"/>
    <numFmt numFmtId="185" formatCode="#,##0.0000"/>
    <numFmt numFmtId="186" formatCode="#,##0.0"/>
    <numFmt numFmtId="187" formatCode="#,##0.00000000"/>
    <numFmt numFmtId="188" formatCode="\+0.0%;\-0.0%;0.0%"/>
    <numFmt numFmtId="189" formatCode="0.0000000%"/>
    <numFmt numFmtId="190" formatCode="0.00000"/>
    <numFmt numFmtId="191" formatCode="#,##0.000000000"/>
    <numFmt numFmtId="192" formatCode="#,##0.00000"/>
  </numFmts>
  <fonts count="1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16"/>
      <name val="Times New Roman"/>
      <family val="1"/>
    </font>
    <font>
      <b/>
      <sz val="14"/>
      <name val="Arial"/>
      <family val="2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2"/>
      <name val="Calibri"/>
      <family val="2"/>
      <scheme val="minor"/>
    </font>
    <font>
      <sz val="12"/>
      <color indexed="18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ourier New"/>
      <family val="3"/>
    </font>
    <font>
      <b/>
      <sz val="11"/>
      <color theme="0"/>
      <name val="Arial"/>
      <family val="2"/>
    </font>
    <font>
      <b/>
      <sz val="10"/>
      <color indexed="12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i/>
      <sz val="10"/>
      <color rgb="FF0070C0"/>
      <name val="Calibri"/>
      <family val="2"/>
      <scheme val="minor"/>
    </font>
    <font>
      <b/>
      <vertAlign val="superscript"/>
      <sz val="8.5"/>
      <color theme="0"/>
      <name val="Calibri"/>
      <family val="2"/>
    </font>
    <font>
      <i/>
      <sz val="9"/>
      <color theme="1"/>
      <name val="Calibri"/>
      <family val="2"/>
      <scheme val="minor"/>
    </font>
    <font>
      <sz val="11"/>
      <color rgb="FF00B0F0"/>
      <name val="Arial"/>
      <family val="2"/>
    </font>
    <font>
      <b/>
      <sz val="11"/>
      <color rgb="FF00B0F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indexed="63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vertAlign val="superscript"/>
      <sz val="8.5"/>
      <color theme="1"/>
      <name val="Calibri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b/>
      <sz val="12"/>
      <color rgb="FFFFFFFF"/>
      <name val="Arial"/>
      <family val="2"/>
    </font>
    <font>
      <b/>
      <sz val="10"/>
      <color rgb="FFFF0000"/>
      <name val="Arial"/>
      <family val="2"/>
    </font>
    <font>
      <b/>
      <sz val="11"/>
      <color rgb="FF000080"/>
      <name val="Arial"/>
      <family val="2"/>
    </font>
    <font>
      <b/>
      <u/>
      <sz val="10"/>
      <color rgb="FF0000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9"/>
      <color theme="1"/>
      <name val="Arial"/>
      <family val="2"/>
    </font>
    <font>
      <b/>
      <u/>
      <sz val="11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9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rgb="FF92D050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Aptos Narrow"/>
      <family val="2"/>
    </font>
    <font>
      <sz val="11"/>
      <color rgb="FF00B050"/>
      <name val="Aptos Narrow"/>
      <family val="2"/>
    </font>
    <font>
      <sz val="11"/>
      <color rgb="FFFF0000"/>
      <name val="Aptos Narrow"/>
      <family val="2"/>
    </font>
    <font>
      <b/>
      <sz val="11"/>
      <color theme="1"/>
      <name val="Aptos Narrow"/>
      <family val="2"/>
    </font>
    <font>
      <b/>
      <sz val="11"/>
      <color indexed="18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u/>
      <sz val="11"/>
      <color indexed="10"/>
      <name val="Aptos Narrow"/>
      <family val="2"/>
    </font>
    <font>
      <sz val="11"/>
      <color indexed="8"/>
      <name val="Aptos Narrow"/>
      <family val="2"/>
    </font>
    <font>
      <b/>
      <sz val="11"/>
      <color indexed="9"/>
      <name val="Aptos Narrow"/>
      <family val="2"/>
    </font>
    <font>
      <sz val="11"/>
      <color indexed="18"/>
      <name val="Aptos Narrow"/>
      <family val="2"/>
    </font>
    <font>
      <b/>
      <sz val="11"/>
      <color indexed="10"/>
      <name val="Aptos Narrow"/>
      <family val="2"/>
    </font>
    <font>
      <b/>
      <u/>
      <sz val="11"/>
      <color indexed="12"/>
      <name val="Aptos Narrow"/>
      <family val="2"/>
    </font>
    <font>
      <b/>
      <sz val="11"/>
      <color indexed="12"/>
      <name val="Aptos Narrow"/>
      <family val="2"/>
    </font>
    <font>
      <sz val="12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12"/>
      <name val="Calibri"/>
      <family val="2"/>
      <scheme val="minor"/>
    </font>
    <font>
      <sz val="11"/>
      <color theme="8"/>
      <name val="Aptos Narrow"/>
      <family val="2"/>
    </font>
    <font>
      <b/>
      <u/>
      <sz val="11"/>
      <color theme="8"/>
      <name val="Aptos Narrow"/>
      <family val="2"/>
    </font>
    <font>
      <b/>
      <sz val="11"/>
      <color theme="8"/>
      <name val="Aptos Narrow"/>
      <family val="2"/>
    </font>
    <font>
      <b/>
      <sz val="11"/>
      <color rgb="FFFF0000"/>
      <name val="Aptos Narrow"/>
      <family val="2"/>
    </font>
    <font>
      <sz val="11"/>
      <color theme="0"/>
      <name val="Aptos Narrow"/>
      <family val="2"/>
    </font>
    <font>
      <sz val="10"/>
      <name val="Tahoma"/>
      <family val="2"/>
    </font>
    <font>
      <sz val="9"/>
      <color indexed="8"/>
      <name val="Tahoma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rgb="FFFF0000"/>
      <name val="Tahoma"/>
      <family val="2"/>
    </font>
    <font>
      <sz val="9"/>
      <color rgb="FFFF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n">
        <color indexed="64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0" fontId="1" fillId="0" borderId="0"/>
    <xf numFmtId="0" fontId="16" fillId="3" borderId="6"/>
    <xf numFmtId="166" fontId="1" fillId="0" borderId="0" applyFont="0" applyFill="0" applyBorder="0" applyAlignment="0" applyProtection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48" fillId="0" borderId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11" fillId="0" borderId="0"/>
    <xf numFmtId="9" fontId="111" fillId="0" borderId="0" applyFont="0" applyFill="0" applyBorder="0" applyAlignment="0" applyProtection="0"/>
    <xf numFmtId="43" fontId="111" fillId="0" borderId="0" applyFont="0" applyFill="0" applyBorder="0" applyAlignment="0" applyProtection="0"/>
  </cellStyleXfs>
  <cellXfs count="1658">
    <xf numFmtId="0" fontId="0" fillId="0" borderId="0" xfId="0"/>
    <xf numFmtId="0" fontId="10" fillId="0" borderId="0" xfId="0" applyFont="1"/>
    <xf numFmtId="0" fontId="2" fillId="0" borderId="0" xfId="0" applyFont="1"/>
    <xf numFmtId="3" fontId="8" fillId="0" borderId="0" xfId="0" applyNumberFormat="1" applyFont="1"/>
    <xf numFmtId="3" fontId="5" fillId="0" borderId="0" xfId="0" applyNumberFormat="1" applyFont="1"/>
    <xf numFmtId="3" fontId="7" fillId="0" borderId="2" xfId="0" applyNumberFormat="1" applyFont="1" applyBorder="1"/>
    <xf numFmtId="3" fontId="7" fillId="0" borderId="0" xfId="0" applyNumberFormat="1" applyFont="1"/>
    <xf numFmtId="3" fontId="9" fillId="0" borderId="4" xfId="0" applyNumberFormat="1" applyFont="1" applyBorder="1"/>
    <xf numFmtId="3" fontId="13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3" fontId="13" fillId="0" borderId="0" xfId="0" applyNumberFormat="1" applyFont="1"/>
    <xf numFmtId="0" fontId="13" fillId="0" borderId="0" xfId="0" applyFont="1"/>
    <xf numFmtId="0" fontId="20" fillId="0" borderId="0" xfId="0" applyFont="1"/>
    <xf numFmtId="0" fontId="10" fillId="0" borderId="0" xfId="0" applyFont="1" applyAlignment="1">
      <alignment horizontal="center"/>
    </xf>
    <xf numFmtId="4" fontId="10" fillId="0" borderId="0" xfId="0" applyNumberFormat="1" applyFont="1"/>
    <xf numFmtId="4" fontId="21" fillId="0" borderId="0" xfId="0" applyNumberFormat="1" applyFont="1"/>
    <xf numFmtId="0" fontId="23" fillId="0" borderId="0" xfId="0" applyFont="1"/>
    <xf numFmtId="4" fontId="10" fillId="0" borderId="2" xfId="0" applyNumberFormat="1" applyFont="1" applyBorder="1"/>
    <xf numFmtId="4" fontId="23" fillId="0" borderId="0" xfId="0" applyNumberFormat="1" applyFont="1"/>
    <xf numFmtId="0" fontId="23" fillId="0" borderId="0" xfId="0" applyFont="1" applyAlignment="1">
      <alignment horizontal="center"/>
    </xf>
    <xf numFmtId="0" fontId="20" fillId="5" borderId="0" xfId="0" applyFont="1" applyFill="1"/>
    <xf numFmtId="3" fontId="10" fillId="0" borderId="0" xfId="0" applyNumberFormat="1" applyFont="1"/>
    <xf numFmtId="3" fontId="23" fillId="0" borderId="2" xfId="0" applyNumberFormat="1" applyFont="1" applyBorder="1"/>
    <xf numFmtId="3" fontId="10" fillId="0" borderId="3" xfId="0" applyNumberFormat="1" applyFont="1" applyBorder="1"/>
    <xf numFmtId="3" fontId="10" fillId="0" borderId="2" xfId="0" applyNumberFormat="1" applyFont="1" applyBorder="1"/>
    <xf numFmtId="3" fontId="23" fillId="0" borderId="4" xfId="0" applyNumberFormat="1" applyFont="1" applyBorder="1"/>
    <xf numFmtId="3" fontId="21" fillId="0" borderId="0" xfId="0" applyNumberFormat="1" applyFont="1"/>
    <xf numFmtId="3" fontId="19" fillId="0" borderId="0" xfId="0" applyNumberFormat="1" applyFont="1"/>
    <xf numFmtId="3" fontId="21" fillId="0" borderId="3" xfId="0" applyNumberFormat="1" applyFont="1" applyBorder="1"/>
    <xf numFmtId="3" fontId="19" fillId="0" borderId="3" xfId="0" applyNumberFormat="1" applyFont="1" applyBorder="1"/>
    <xf numFmtId="3" fontId="25" fillId="0" borderId="0" xfId="0" applyNumberFormat="1" applyFont="1"/>
    <xf numFmtId="3" fontId="23" fillId="0" borderId="0" xfId="0" applyNumberFormat="1" applyFont="1"/>
    <xf numFmtId="0" fontId="26" fillId="2" borderId="0" xfId="0" applyFont="1" applyFill="1"/>
    <xf numFmtId="0" fontId="24" fillId="2" borderId="0" xfId="0" applyFont="1" applyFill="1" applyAlignment="1">
      <alignment horizontal="center" vertical="center" wrapText="1"/>
    </xf>
    <xf numFmtId="4" fontId="26" fillId="2" borderId="0" xfId="0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4" fillId="2" borderId="0" xfId="0" applyFont="1" applyFill="1"/>
    <xf numFmtId="0" fontId="10" fillId="0" borderId="0" xfId="4" applyFont="1"/>
    <xf numFmtId="4" fontId="27" fillId="0" borderId="0" xfId="4" applyNumberFormat="1" applyFont="1"/>
    <xf numFmtId="4" fontId="30" fillId="0" borderId="0" xfId="4" applyNumberFormat="1" applyFont="1" applyAlignment="1">
      <alignment horizontal="right"/>
    </xf>
    <xf numFmtId="4" fontId="30" fillId="0" borderId="0" xfId="4" applyNumberFormat="1" applyFont="1"/>
    <xf numFmtId="0" fontId="23" fillId="0" borderId="0" xfId="4" applyFont="1" applyAlignment="1">
      <alignment horizontal="center"/>
    </xf>
    <xf numFmtId="0" fontId="31" fillId="0" borderId="0" xfId="4" applyFont="1"/>
    <xf numFmtId="4" fontId="32" fillId="0" borderId="0" xfId="4" applyNumberFormat="1" applyFont="1"/>
    <xf numFmtId="3" fontId="23" fillId="0" borderId="0" xfId="4" applyNumberFormat="1" applyFont="1"/>
    <xf numFmtId="3" fontId="10" fillId="0" borderId="0" xfId="4" applyNumberFormat="1" applyFont="1"/>
    <xf numFmtId="3" fontId="9" fillId="0" borderId="0" xfId="4" applyNumberFormat="1" applyFont="1"/>
    <xf numFmtId="3" fontId="10" fillId="0" borderId="9" xfId="4" applyNumberFormat="1" applyFont="1" applyBorder="1"/>
    <xf numFmtId="3" fontId="33" fillId="0" borderId="0" xfId="4" applyNumberFormat="1" applyFont="1"/>
    <xf numFmtId="3" fontId="5" fillId="0" borderId="5" xfId="4" applyNumberFormat="1" applyFont="1" applyBorder="1"/>
    <xf numFmtId="3" fontId="34" fillId="0" borderId="0" xfId="5" applyNumberFormat="1" applyFont="1"/>
    <xf numFmtId="3" fontId="10" fillId="0" borderId="0" xfId="5" applyNumberFormat="1" applyFont="1"/>
    <xf numFmtId="3" fontId="23" fillId="0" borderId="9" xfId="4" applyNumberFormat="1" applyFont="1" applyBorder="1" applyAlignment="1">
      <alignment horizontal="center"/>
    </xf>
    <xf numFmtId="3" fontId="5" fillId="0" borderId="5" xfId="4" applyNumberFormat="1" applyFont="1" applyBorder="1" applyAlignment="1">
      <alignment horizontal="right"/>
    </xf>
    <xf numFmtId="3" fontId="35" fillId="0" borderId="9" xfId="4" applyNumberFormat="1" applyFont="1" applyBorder="1"/>
    <xf numFmtId="3" fontId="10" fillId="0" borderId="5" xfId="4" applyNumberFormat="1" applyFont="1" applyBorder="1"/>
    <xf numFmtId="4" fontId="10" fillId="0" borderId="0" xfId="4" applyNumberFormat="1" applyFont="1"/>
    <xf numFmtId="0" fontId="10" fillId="0" borderId="0" xfId="4" applyFont="1" applyAlignment="1">
      <alignment horizontal="center"/>
    </xf>
    <xf numFmtId="0" fontId="28" fillId="0" borderId="0" xfId="4" applyFont="1"/>
    <xf numFmtId="0" fontId="29" fillId="0" borderId="0" xfId="4" applyFont="1"/>
    <xf numFmtId="0" fontId="23" fillId="0" borderId="0" xfId="4" applyFont="1"/>
    <xf numFmtId="0" fontId="10" fillId="0" borderId="0" xfId="0" applyFont="1" applyAlignment="1">
      <alignment horizontal="left"/>
    </xf>
    <xf numFmtId="0" fontId="14" fillId="0" borderId="0" xfId="0" applyFont="1"/>
    <xf numFmtId="3" fontId="14" fillId="0" borderId="0" xfId="0" applyNumberFormat="1" applyFont="1"/>
    <xf numFmtId="0" fontId="14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37" fillId="0" borderId="0" xfId="0" applyFont="1"/>
    <xf numFmtId="0" fontId="37" fillId="3" borderId="0" xfId="0" applyFont="1" applyFill="1"/>
    <xf numFmtId="0" fontId="17" fillId="0" borderId="0" xfId="0" applyFont="1" applyAlignment="1">
      <alignment horizontal="center"/>
    </xf>
    <xf numFmtId="0" fontId="14" fillId="10" borderId="0" xfId="0" applyFont="1" applyFill="1"/>
    <xf numFmtId="0" fontId="37" fillId="0" borderId="0" xfId="0" applyFont="1" applyAlignment="1">
      <alignment horizontal="center"/>
    </xf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centerContinuous"/>
    </xf>
    <xf numFmtId="3" fontId="6" fillId="3" borderId="0" xfId="0" applyNumberFormat="1" applyFont="1" applyFill="1" applyAlignment="1">
      <alignment horizontal="right"/>
    </xf>
    <xf numFmtId="3" fontId="6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8" fontId="14" fillId="0" borderId="0" xfId="0" applyNumberFormat="1" applyFont="1" applyAlignment="1">
      <alignment horizontal="center"/>
    </xf>
    <xf numFmtId="3" fontId="14" fillId="3" borderId="0" xfId="0" applyNumberFormat="1" applyFont="1" applyFill="1"/>
    <xf numFmtId="3" fontId="39" fillId="0" borderId="5" xfId="4" applyNumberFormat="1" applyFont="1" applyBorder="1"/>
    <xf numFmtId="3" fontId="23" fillId="0" borderId="5" xfId="5" applyNumberFormat="1" applyFont="1" applyBorder="1" applyAlignment="1">
      <alignment horizontal="right"/>
    </xf>
    <xf numFmtId="3" fontId="13" fillId="0" borderId="0" xfId="0" applyNumberFormat="1" applyFont="1" applyAlignment="1">
      <alignment horizontal="left" wrapText="1"/>
    </xf>
    <xf numFmtId="3" fontId="13" fillId="0" borderId="5" xfId="0" applyNumberFormat="1" applyFont="1" applyBorder="1"/>
    <xf numFmtId="3" fontId="23" fillId="0" borderId="5" xfId="5" applyNumberFormat="1" applyFont="1" applyBorder="1"/>
    <xf numFmtId="3" fontId="34" fillId="0" borderId="5" xfId="5" applyNumberFormat="1" applyFont="1" applyBorder="1"/>
    <xf numFmtId="3" fontId="34" fillId="0" borderId="5" xfId="4" applyNumberFormat="1" applyFont="1" applyBorder="1"/>
    <xf numFmtId="3" fontId="23" fillId="0" borderId="5" xfId="4" applyNumberFormat="1" applyFont="1" applyBorder="1"/>
    <xf numFmtId="3" fontId="10" fillId="0" borderId="6" xfId="4" applyNumberFormat="1" applyFont="1" applyBorder="1"/>
    <xf numFmtId="3" fontId="34" fillId="0" borderId="0" xfId="4" applyNumberFormat="1" applyFont="1"/>
    <xf numFmtId="3" fontId="23" fillId="0" borderId="6" xfId="4" applyNumberFormat="1" applyFont="1" applyBorder="1"/>
    <xf numFmtId="3" fontId="40" fillId="0" borderId="5" xfId="4" applyNumberFormat="1" applyFont="1" applyBorder="1"/>
    <xf numFmtId="3" fontId="10" fillId="0" borderId="5" xfId="4" applyNumberFormat="1" applyFont="1" applyBorder="1" applyAlignment="1">
      <alignment horizontal="right"/>
    </xf>
    <xf numFmtId="3" fontId="40" fillId="0" borderId="6" xfId="4" applyNumberFormat="1" applyFont="1" applyBorder="1"/>
    <xf numFmtId="3" fontId="35" fillId="0" borderId="10" xfId="4" applyNumberFormat="1" applyFont="1" applyBorder="1"/>
    <xf numFmtId="3" fontId="35" fillId="0" borderId="3" xfId="4" applyNumberFormat="1" applyFont="1" applyBorder="1" applyAlignment="1">
      <alignment horizontal="right"/>
    </xf>
    <xf numFmtId="3" fontId="9" fillId="0" borderId="7" xfId="4" applyNumberFormat="1" applyFont="1" applyBorder="1" applyAlignment="1">
      <alignment horizontal="right"/>
    </xf>
    <xf numFmtId="3" fontId="9" fillId="0" borderId="3" xfId="4" applyNumberFormat="1" applyFont="1" applyBorder="1" applyAlignment="1">
      <alignment horizontal="right"/>
    </xf>
    <xf numFmtId="0" fontId="42" fillId="0" borderId="0" xfId="0" applyFont="1"/>
    <xf numFmtId="0" fontId="6" fillId="3" borderId="0" xfId="0" applyFont="1" applyFill="1" applyAlignment="1">
      <alignment vertical="center"/>
    </xf>
    <xf numFmtId="0" fontId="24" fillId="2" borderId="0" xfId="0" applyFont="1" applyFill="1" applyAlignment="1">
      <alignment horizontal="left" indent="1"/>
    </xf>
    <xf numFmtId="0" fontId="29" fillId="0" borderId="0" xfId="0" applyFont="1"/>
    <xf numFmtId="43" fontId="0" fillId="0" borderId="0" xfId="0" applyNumberFormat="1"/>
    <xf numFmtId="0" fontId="24" fillId="2" borderId="0" xfId="0" applyFont="1" applyFill="1" applyAlignment="1">
      <alignment horizontal="left" indent="2"/>
    </xf>
    <xf numFmtId="3" fontId="0" fillId="0" borderId="0" xfId="0" applyNumberFormat="1"/>
    <xf numFmtId="0" fontId="1" fillId="0" borderId="0" xfId="0" applyFont="1"/>
    <xf numFmtId="0" fontId="3" fillId="0" borderId="0" xfId="0" applyFont="1"/>
    <xf numFmtId="3" fontId="3" fillId="0" borderId="0" xfId="0" applyNumberFormat="1" applyFont="1"/>
    <xf numFmtId="169" fontId="13" fillId="0" borderId="0" xfId="0" applyNumberFormat="1" applyFont="1"/>
    <xf numFmtId="0" fontId="13" fillId="3" borderId="0" xfId="0" applyFont="1" applyFill="1"/>
    <xf numFmtId="167" fontId="21" fillId="0" borderId="0" xfId="6" applyNumberFormat="1" applyFont="1"/>
    <xf numFmtId="0" fontId="8" fillId="3" borderId="0" xfId="0" applyFont="1" applyFill="1" applyAlignment="1">
      <alignment horizontal="center"/>
    </xf>
    <xf numFmtId="0" fontId="13" fillId="10" borderId="0" xfId="0" applyFont="1" applyFill="1" applyAlignment="1">
      <alignment horizontal="center"/>
    </xf>
    <xf numFmtId="0" fontId="13" fillId="10" borderId="0" xfId="0" applyFont="1" applyFill="1"/>
    <xf numFmtId="0" fontId="24" fillId="2" borderId="0" xfId="0" applyFont="1" applyFill="1" applyAlignment="1">
      <alignment horizontal="right"/>
    </xf>
    <xf numFmtId="169" fontId="20" fillId="0" borderId="0" xfId="0" applyNumberFormat="1" applyFont="1"/>
    <xf numFmtId="171" fontId="13" fillId="0" borderId="0" xfId="0" applyNumberFormat="1" applyFont="1"/>
    <xf numFmtId="9" fontId="45" fillId="0" borderId="0" xfId="0" applyNumberFormat="1" applyFont="1"/>
    <xf numFmtId="43" fontId="13" fillId="0" borderId="0" xfId="0" applyNumberFormat="1" applyFont="1"/>
    <xf numFmtId="10" fontId="13" fillId="0" borderId="0" xfId="6" applyNumberFormat="1" applyFont="1"/>
    <xf numFmtId="9" fontId="13" fillId="0" borderId="0" xfId="0" applyNumberFormat="1" applyFont="1"/>
    <xf numFmtId="169" fontId="45" fillId="0" borderId="0" xfId="0" applyNumberFormat="1" applyFont="1"/>
    <xf numFmtId="41" fontId="13" fillId="8" borderId="0" xfId="0" applyNumberFormat="1" applyFont="1" applyFill="1"/>
    <xf numFmtId="167" fontId="10" fillId="0" borderId="0" xfId="6" applyNumberFormat="1" applyFont="1"/>
    <xf numFmtId="167" fontId="13" fillId="0" borderId="0" xfId="6" applyNumberFormat="1" applyFont="1"/>
    <xf numFmtId="0" fontId="13" fillId="4" borderId="0" xfId="0" applyFont="1" applyFill="1"/>
    <xf numFmtId="9" fontId="13" fillId="0" borderId="0" xfId="6" applyFont="1" applyFill="1"/>
    <xf numFmtId="0" fontId="26" fillId="4" borderId="0" xfId="0" applyFont="1" applyFill="1"/>
    <xf numFmtId="0" fontId="13" fillId="11" borderId="0" xfId="0" applyFont="1" applyFill="1"/>
    <xf numFmtId="9" fontId="13" fillId="11" borderId="0" xfId="6" applyFont="1" applyFill="1"/>
    <xf numFmtId="171" fontId="13" fillId="11" borderId="0" xfId="0" applyNumberFormat="1" applyFont="1" applyFill="1"/>
    <xf numFmtId="0" fontId="46" fillId="13" borderId="0" xfId="0" applyFont="1" applyFill="1" applyAlignment="1">
      <alignment horizontal="centerContinuous"/>
    </xf>
    <xf numFmtId="0" fontId="46" fillId="14" borderId="0" xfId="0" applyFont="1" applyFill="1" applyAlignment="1">
      <alignment horizontal="centerContinuous"/>
    </xf>
    <xf numFmtId="43" fontId="14" fillId="0" borderId="0" xfId="7" applyFont="1" applyFill="1" applyBorder="1" applyAlignment="1">
      <alignment horizontal="center"/>
    </xf>
    <xf numFmtId="0" fontId="14" fillId="0" borderId="3" xfId="0" applyFont="1" applyBorder="1"/>
    <xf numFmtId="3" fontId="14" fillId="0" borderId="3" xfId="0" applyNumberFormat="1" applyFont="1" applyBorder="1"/>
    <xf numFmtId="43" fontId="13" fillId="0" borderId="0" xfId="7" applyFont="1"/>
    <xf numFmtId="0" fontId="24" fillId="0" borderId="0" xfId="0" applyFont="1" applyAlignment="1">
      <alignment horizontal="left" indent="1"/>
    </xf>
    <xf numFmtId="169" fontId="22" fillId="0" borderId="0" xfId="0" applyNumberFormat="1" applyFont="1"/>
    <xf numFmtId="169" fontId="10" fillId="0" borderId="0" xfId="0" applyNumberFormat="1" applyFont="1"/>
    <xf numFmtId="3" fontId="49" fillId="0" borderId="0" xfId="0" applyNumberFormat="1" applyFont="1"/>
    <xf numFmtId="0" fontId="49" fillId="0" borderId="0" xfId="0" applyFont="1"/>
    <xf numFmtId="0" fontId="13" fillId="0" borderId="0" xfId="0" applyFont="1" applyAlignment="1">
      <alignment horizontal="left"/>
    </xf>
    <xf numFmtId="0" fontId="10" fillId="10" borderId="0" xfId="0" applyFont="1" applyFill="1" applyAlignment="1">
      <alignment horizontal="left"/>
    </xf>
    <xf numFmtId="9" fontId="51" fillId="10" borderId="0" xfId="0" applyNumberFormat="1" applyFont="1" applyFill="1" applyAlignment="1">
      <alignment horizontal="center"/>
    </xf>
    <xf numFmtId="9" fontId="44" fillId="0" borderId="0" xfId="0" applyNumberFormat="1" applyFont="1" applyAlignment="1">
      <alignment horizontal="center"/>
    </xf>
    <xf numFmtId="0" fontId="53" fillId="10" borderId="0" xfId="0" applyFont="1" applyFill="1" applyAlignment="1">
      <alignment horizontal="left" indent="1"/>
    </xf>
    <xf numFmtId="0" fontId="43" fillId="10" borderId="0" xfId="0" applyFont="1" applyFill="1" applyAlignment="1">
      <alignment horizontal="left" indent="2"/>
    </xf>
    <xf numFmtId="9" fontId="21" fillId="0" borderId="0" xfId="6" applyFont="1" applyFill="1"/>
    <xf numFmtId="0" fontId="21" fillId="4" borderId="0" xfId="0" applyFont="1" applyFill="1"/>
    <xf numFmtId="3" fontId="54" fillId="0" borderId="0" xfId="0" applyNumberFormat="1" applyFont="1"/>
    <xf numFmtId="168" fontId="54" fillId="0" borderId="0" xfId="0" applyNumberFormat="1" applyFont="1" applyAlignment="1">
      <alignment horizontal="center"/>
    </xf>
    <xf numFmtId="0" fontId="49" fillId="0" borderId="0" xfId="0" applyFont="1" applyAlignment="1">
      <alignment horizontal="left"/>
    </xf>
    <xf numFmtId="3" fontId="49" fillId="0" borderId="0" xfId="0" applyNumberFormat="1" applyFont="1" applyAlignment="1">
      <alignment horizontal="right"/>
    </xf>
    <xf numFmtId="0" fontId="54" fillId="0" borderId="0" xfId="0" applyFont="1"/>
    <xf numFmtId="0" fontId="55" fillId="0" borderId="0" xfId="0" applyFont="1"/>
    <xf numFmtId="10" fontId="13" fillId="0" borderId="0" xfId="0" applyNumberFormat="1" applyFont="1"/>
    <xf numFmtId="10" fontId="21" fillId="0" borderId="0" xfId="0" applyNumberFormat="1" applyFont="1"/>
    <xf numFmtId="0" fontId="5" fillId="0" borderId="0" xfId="0" applyFont="1"/>
    <xf numFmtId="169" fontId="58" fillId="0" borderId="0" xfId="3" applyNumberFormat="1" applyFont="1"/>
    <xf numFmtId="0" fontId="5" fillId="0" borderId="0" xfId="4" applyFont="1"/>
    <xf numFmtId="4" fontId="59" fillId="0" borderId="0" xfId="4" applyNumberFormat="1" applyFont="1"/>
    <xf numFmtId="43" fontId="9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/>
    </xf>
    <xf numFmtId="169" fontId="5" fillId="0" borderId="0" xfId="7" applyNumberFormat="1" applyFont="1" applyFill="1" applyBorder="1" applyAlignment="1">
      <alignment horizontal="center" vertical="center"/>
    </xf>
    <xf numFmtId="169" fontId="60" fillId="0" borderId="0" xfId="0" applyNumberFormat="1" applyFont="1" applyAlignment="1">
      <alignment horizontal="center" vertical="center" wrapText="1"/>
    </xf>
    <xf numFmtId="169" fontId="18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center" vertical="center" wrapText="1"/>
    </xf>
    <xf numFmtId="43" fontId="9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center"/>
    </xf>
    <xf numFmtId="171" fontId="9" fillId="0" borderId="0" xfId="7" applyNumberFormat="1" applyFont="1" applyFill="1" applyBorder="1" applyAlignment="1">
      <alignment horizontal="center" vertical="center"/>
    </xf>
    <xf numFmtId="180" fontId="6" fillId="0" borderId="0" xfId="13" applyNumberFormat="1" applyFont="1" applyFill="1" applyBorder="1" applyAlignment="1">
      <alignment vertical="center"/>
    </xf>
    <xf numFmtId="43" fontId="1" fillId="0" borderId="0" xfId="0" applyNumberFormat="1" applyFont="1"/>
    <xf numFmtId="0" fontId="38" fillId="0" borderId="0" xfId="0" applyFont="1" applyAlignment="1">
      <alignment horizontal="center" vertical="center"/>
    </xf>
    <xf numFmtId="179" fontId="6" fillId="0" borderId="0" xfId="0" quotePrefix="1" applyNumberFormat="1" applyFont="1" applyAlignment="1">
      <alignment horizontal="center" vertical="center"/>
    </xf>
    <xf numFmtId="4" fontId="5" fillId="0" borderId="0" xfId="0" applyNumberFormat="1" applyFont="1"/>
    <xf numFmtId="0" fontId="4" fillId="0" borderId="0" xfId="0" applyFont="1"/>
    <xf numFmtId="0" fontId="15" fillId="0" borderId="0" xfId="0" applyFont="1"/>
    <xf numFmtId="0" fontId="5" fillId="0" borderId="0" xfId="12" applyFont="1"/>
    <xf numFmtId="0" fontId="62" fillId="0" borderId="0" xfId="12" applyFont="1"/>
    <xf numFmtId="3" fontId="5" fillId="0" borderId="0" xfId="12" applyNumberFormat="1" applyFont="1"/>
    <xf numFmtId="41" fontId="5" fillId="0" borderId="0" xfId="12" applyNumberFormat="1" applyFont="1"/>
    <xf numFmtId="0" fontId="5" fillId="0" borderId="0" xfId="12" applyFont="1" applyAlignment="1">
      <alignment horizontal="left"/>
    </xf>
    <xf numFmtId="9" fontId="13" fillId="0" borderId="0" xfId="6" applyFont="1"/>
    <xf numFmtId="41" fontId="18" fillId="0" borderId="0" xfId="12" applyNumberFormat="1" applyFont="1"/>
    <xf numFmtId="41" fontId="5" fillId="8" borderId="0" xfId="12" applyNumberFormat="1" applyFont="1" applyFill="1"/>
    <xf numFmtId="9" fontId="43" fillId="0" borderId="0" xfId="0" applyNumberFormat="1" applyFont="1"/>
    <xf numFmtId="9" fontId="44" fillId="0" borderId="0" xfId="0" applyNumberFormat="1" applyFont="1"/>
    <xf numFmtId="0" fontId="63" fillId="0" borderId="0" xfId="0" applyFont="1"/>
    <xf numFmtId="0" fontId="10" fillId="0" borderId="0" xfId="9" applyFont="1"/>
    <xf numFmtId="0" fontId="23" fillId="0" borderId="0" xfId="9" applyFont="1"/>
    <xf numFmtId="0" fontId="10" fillId="3" borderId="5" xfId="9" applyFont="1" applyFill="1" applyBorder="1" applyAlignment="1">
      <alignment horizontal="center"/>
    </xf>
    <xf numFmtId="167" fontId="10" fillId="0" borderId="0" xfId="10" applyNumberFormat="1" applyFont="1" applyBorder="1"/>
    <xf numFmtId="0" fontId="10" fillId="3" borderId="30" xfId="9" applyFont="1" applyFill="1" applyBorder="1" applyAlignment="1">
      <alignment horizontal="center"/>
    </xf>
    <xf numFmtId="10" fontId="10" fillId="10" borderId="0" xfId="10" applyNumberFormat="1" applyFont="1" applyFill="1" applyBorder="1" applyAlignment="1">
      <alignment horizontal="center"/>
    </xf>
    <xf numFmtId="166" fontId="10" fillId="0" borderId="0" xfId="11" applyFont="1" applyBorder="1"/>
    <xf numFmtId="0" fontId="10" fillId="3" borderId="0" xfId="9" applyFont="1" applyFill="1"/>
    <xf numFmtId="166" fontId="10" fillId="0" borderId="0" xfId="11" applyFont="1"/>
    <xf numFmtId="169" fontId="10" fillId="3" borderId="5" xfId="11" applyNumberFormat="1" applyFont="1" applyFill="1" applyBorder="1"/>
    <xf numFmtId="0" fontId="10" fillId="0" borderId="5" xfId="9" applyFont="1" applyBorder="1" applyAlignment="1">
      <alignment horizontal="center"/>
    </xf>
    <xf numFmtId="169" fontId="10" fillId="0" borderId="5" xfId="11" applyNumberFormat="1" applyFont="1" applyFill="1" applyBorder="1"/>
    <xf numFmtId="169" fontId="10" fillId="0" borderId="30" xfId="11" applyNumberFormat="1" applyFont="1" applyFill="1" applyBorder="1"/>
    <xf numFmtId="0" fontId="10" fillId="0" borderId="0" xfId="9" applyFont="1" applyAlignment="1">
      <alignment horizontal="center"/>
    </xf>
    <xf numFmtId="169" fontId="10" fillId="0" borderId="0" xfId="11" applyNumberFormat="1" applyFont="1" applyFill="1" applyBorder="1"/>
    <xf numFmtId="0" fontId="10" fillId="3" borderId="0" xfId="9" applyFont="1" applyFill="1" applyAlignment="1">
      <alignment horizontal="center"/>
    </xf>
    <xf numFmtId="0" fontId="45" fillId="0" borderId="0" xfId="9" applyFont="1"/>
    <xf numFmtId="0" fontId="23" fillId="0" borderId="0" xfId="9" applyFont="1" applyAlignment="1">
      <alignment horizontal="center"/>
    </xf>
    <xf numFmtId="169" fontId="10" fillId="3" borderId="0" xfId="11" applyNumberFormat="1" applyFont="1" applyFill="1" applyBorder="1"/>
    <xf numFmtId="169" fontId="10" fillId="0" borderId="0" xfId="9" applyNumberFormat="1" applyFont="1"/>
    <xf numFmtId="169" fontId="10" fillId="3" borderId="30" xfId="11" applyNumberFormat="1" applyFont="1" applyFill="1" applyBorder="1"/>
    <xf numFmtId="0" fontId="10" fillId="3" borderId="5" xfId="9" applyFont="1" applyFill="1" applyBorder="1"/>
    <xf numFmtId="3" fontId="10" fillId="3" borderId="5" xfId="9" applyNumberFormat="1" applyFont="1" applyFill="1" applyBorder="1"/>
    <xf numFmtId="0" fontId="10" fillId="0" borderId="5" xfId="9" applyFont="1" applyBorder="1"/>
    <xf numFmtId="0" fontId="10" fillId="10" borderId="0" xfId="9" applyFont="1" applyFill="1"/>
    <xf numFmtId="0" fontId="23" fillId="10" borderId="0" xfId="9" applyFont="1" applyFill="1"/>
    <xf numFmtId="169" fontId="10" fillId="10" borderId="0" xfId="9" applyNumberFormat="1" applyFont="1" applyFill="1"/>
    <xf numFmtId="0" fontId="10" fillId="3" borderId="30" xfId="9" applyFont="1" applyFill="1" applyBorder="1"/>
    <xf numFmtId="0" fontId="10" fillId="10" borderId="5" xfId="9" applyFont="1" applyFill="1" applyBorder="1" applyAlignment="1">
      <alignment horizontal="center" vertical="center"/>
    </xf>
    <xf numFmtId="0" fontId="10" fillId="10" borderId="5" xfId="9" applyFont="1" applyFill="1" applyBorder="1"/>
    <xf numFmtId="169" fontId="10" fillId="10" borderId="5" xfId="9" applyNumberFormat="1" applyFont="1" applyFill="1" applyBorder="1"/>
    <xf numFmtId="0" fontId="10" fillId="10" borderId="7" xfId="9" applyFont="1" applyFill="1" applyBorder="1" applyAlignment="1">
      <alignment horizontal="center" vertical="center"/>
    </xf>
    <xf numFmtId="0" fontId="23" fillId="10" borderId="7" xfId="9" applyFont="1" applyFill="1" applyBorder="1"/>
    <xf numFmtId="169" fontId="23" fillId="10" borderId="7" xfId="9" applyNumberFormat="1" applyFont="1" applyFill="1" applyBorder="1"/>
    <xf numFmtId="0" fontId="10" fillId="10" borderId="8" xfId="9" applyFont="1" applyFill="1" applyBorder="1" applyAlignment="1">
      <alignment horizontal="center" vertical="center"/>
    </xf>
    <xf numFmtId="169" fontId="23" fillId="10" borderId="8" xfId="9" applyNumberFormat="1" applyFont="1" applyFill="1" applyBorder="1"/>
    <xf numFmtId="0" fontId="10" fillId="10" borderId="30" xfId="9" applyFont="1" applyFill="1" applyBorder="1" applyAlignment="1">
      <alignment horizontal="center" vertical="center"/>
    </xf>
    <xf numFmtId="0" fontId="10" fillId="10" borderId="30" xfId="9" applyFont="1" applyFill="1" applyBorder="1"/>
    <xf numFmtId="169" fontId="23" fillId="10" borderId="30" xfId="9" applyNumberFormat="1" applyFont="1" applyFill="1" applyBorder="1"/>
    <xf numFmtId="173" fontId="10" fillId="10" borderId="0" xfId="9" applyNumberFormat="1" applyFont="1" applyFill="1"/>
    <xf numFmtId="0" fontId="10" fillId="10" borderId="0" xfId="9" applyFont="1" applyFill="1" applyAlignment="1">
      <alignment horizontal="center" vertical="center"/>
    </xf>
    <xf numFmtId="171" fontId="10" fillId="0" borderId="0" xfId="11" applyNumberFormat="1" applyFont="1" applyFill="1" applyBorder="1"/>
    <xf numFmtId="169" fontId="10" fillId="10" borderId="30" xfId="9" applyNumberFormat="1" applyFont="1" applyFill="1" applyBorder="1"/>
    <xf numFmtId="171" fontId="23" fillId="0" borderId="0" xfId="11" applyNumberFormat="1" applyFont="1" applyFill="1" applyBorder="1"/>
    <xf numFmtId="169" fontId="23" fillId="0" borderId="0" xfId="11" applyNumberFormat="1" applyFont="1" applyFill="1" applyBorder="1"/>
    <xf numFmtId="171" fontId="10" fillId="0" borderId="0" xfId="9" applyNumberFormat="1" applyFont="1"/>
    <xf numFmtId="169" fontId="10" fillId="0" borderId="0" xfId="11" applyNumberFormat="1" applyFont="1" applyFill="1" applyBorder="1" applyAlignment="1">
      <alignment horizontal="center"/>
    </xf>
    <xf numFmtId="171" fontId="10" fillId="0" borderId="0" xfId="11" applyNumberFormat="1" applyFont="1" applyFill="1" applyBorder="1" applyAlignment="1">
      <alignment horizontal="center"/>
    </xf>
    <xf numFmtId="0" fontId="23" fillId="0" borderId="0" xfId="9" applyFont="1" applyAlignment="1">
      <alignment horizontal="center" vertical="center"/>
    </xf>
    <xf numFmtId="0" fontId="10" fillId="0" borderId="0" xfId="9" applyFont="1" applyAlignment="1">
      <alignment vertical="center"/>
    </xf>
    <xf numFmtId="0" fontId="23" fillId="0" borderId="0" xfId="9" applyFont="1" applyAlignment="1">
      <alignment vertical="center"/>
    </xf>
    <xf numFmtId="1" fontId="10" fillId="0" borderId="0" xfId="9" applyNumberFormat="1" applyFont="1" applyAlignment="1">
      <alignment vertical="center"/>
    </xf>
    <xf numFmtId="169" fontId="10" fillId="0" borderId="0" xfId="11" applyNumberFormat="1" applyFont="1" applyFill="1" applyBorder="1" applyAlignment="1">
      <alignment vertical="center"/>
    </xf>
    <xf numFmtId="0" fontId="10" fillId="0" borderId="0" xfId="9" applyFont="1" applyAlignment="1">
      <alignment horizontal="left" vertical="center"/>
    </xf>
    <xf numFmtId="0" fontId="23" fillId="0" borderId="0" xfId="9" applyFont="1" applyAlignment="1">
      <alignment horizontal="left" vertical="center"/>
    </xf>
    <xf numFmtId="174" fontId="10" fillId="0" borderId="0" xfId="11" applyNumberFormat="1" applyFont="1" applyFill="1" applyBorder="1" applyAlignment="1">
      <alignment vertical="center"/>
    </xf>
    <xf numFmtId="2" fontId="10" fillId="0" borderId="0" xfId="9" applyNumberFormat="1" applyFont="1" applyAlignment="1">
      <alignment vertical="center"/>
    </xf>
    <xf numFmtId="0" fontId="10" fillId="0" borderId="0" xfId="9" applyFont="1" applyAlignment="1">
      <alignment horizontal="right"/>
    </xf>
    <xf numFmtId="169" fontId="23" fillId="0" borderId="0" xfId="11" applyNumberFormat="1" applyFont="1" applyFill="1" applyBorder="1" applyAlignment="1">
      <alignment horizontal="right" vertical="center"/>
    </xf>
    <xf numFmtId="171" fontId="10" fillId="0" borderId="0" xfId="9" applyNumberFormat="1" applyFont="1" applyAlignment="1">
      <alignment vertical="center"/>
    </xf>
    <xf numFmtId="169" fontId="10" fillId="0" borderId="0" xfId="9" applyNumberFormat="1" applyFont="1" applyAlignment="1">
      <alignment vertical="center"/>
    </xf>
    <xf numFmtId="175" fontId="10" fillId="0" borderId="0" xfId="9" applyNumberFormat="1" applyFont="1" applyAlignment="1">
      <alignment horizontal="right"/>
    </xf>
    <xf numFmtId="0" fontId="10" fillId="0" borderId="0" xfId="9" applyFont="1" applyAlignment="1">
      <alignment horizontal="left" vertical="center" indent="2"/>
    </xf>
    <xf numFmtId="169" fontId="64" fillId="0" borderId="0" xfId="11" applyNumberFormat="1" applyFont="1" applyFill="1" applyBorder="1" applyAlignment="1">
      <alignment vertical="center"/>
    </xf>
    <xf numFmtId="171" fontId="43" fillId="0" borderId="0" xfId="9" applyNumberFormat="1" applyFont="1" applyAlignment="1">
      <alignment vertical="center"/>
    </xf>
    <xf numFmtId="3" fontId="10" fillId="0" borderId="0" xfId="9" applyNumberFormat="1" applyFont="1"/>
    <xf numFmtId="169" fontId="23" fillId="0" borderId="0" xfId="11" applyNumberFormat="1" applyFont="1" applyFill="1" applyBorder="1" applyAlignment="1">
      <alignment vertical="center"/>
    </xf>
    <xf numFmtId="0" fontId="23" fillId="0" borderId="0" xfId="9" applyFont="1" applyAlignment="1">
      <alignment horizontal="right"/>
    </xf>
    <xf numFmtId="167" fontId="23" fillId="0" borderId="0" xfId="10" applyNumberFormat="1" applyFont="1" applyFill="1" applyBorder="1"/>
    <xf numFmtId="169" fontId="23" fillId="0" borderId="0" xfId="9" applyNumberFormat="1" applyFont="1" applyAlignment="1">
      <alignment vertical="center"/>
    </xf>
    <xf numFmtId="175" fontId="10" fillId="0" borderId="0" xfId="9" applyNumberFormat="1" applyFont="1"/>
    <xf numFmtId="2" fontId="23" fillId="0" borderId="0" xfId="9" applyNumberFormat="1" applyFont="1"/>
    <xf numFmtId="169" fontId="23" fillId="0" borderId="0" xfId="9" applyNumberFormat="1" applyFont="1"/>
    <xf numFmtId="176" fontId="23" fillId="0" borderId="0" xfId="10" applyNumberFormat="1" applyFont="1" applyFill="1" applyBorder="1" applyAlignment="1">
      <alignment horizontal="center"/>
    </xf>
    <xf numFmtId="0" fontId="10" fillId="0" borderId="0" xfId="9" applyFont="1" applyAlignment="1">
      <alignment horizontal="center" vertical="center"/>
    </xf>
    <xf numFmtId="169" fontId="10" fillId="0" borderId="0" xfId="9" applyNumberFormat="1" applyFont="1" applyAlignment="1">
      <alignment horizontal="center" vertical="center"/>
    </xf>
    <xf numFmtId="1" fontId="23" fillId="0" borderId="0" xfId="10" applyNumberFormat="1" applyFont="1" applyFill="1" applyBorder="1" applyAlignment="1">
      <alignment horizontal="center"/>
    </xf>
    <xf numFmtId="177" fontId="23" fillId="0" borderId="0" xfId="9" applyNumberFormat="1" applyFont="1" applyAlignment="1">
      <alignment horizontal="center" vertical="center"/>
    </xf>
    <xf numFmtId="175" fontId="45" fillId="0" borderId="0" xfId="9" applyNumberFormat="1" applyFont="1" applyAlignment="1">
      <alignment horizontal="right"/>
    </xf>
    <xf numFmtId="10" fontId="10" fillId="0" borderId="0" xfId="10" applyNumberFormat="1" applyFont="1" applyFill="1" applyBorder="1" applyAlignment="1">
      <alignment horizontal="center"/>
    </xf>
    <xf numFmtId="10" fontId="10" fillId="0" borderId="0" xfId="9" applyNumberFormat="1" applyFont="1" applyAlignment="1">
      <alignment horizontal="center"/>
    </xf>
    <xf numFmtId="10" fontId="10" fillId="0" borderId="0" xfId="9" applyNumberFormat="1" applyFont="1"/>
    <xf numFmtId="169" fontId="10" fillId="0" borderId="0" xfId="11" applyNumberFormat="1" applyFont="1" applyFill="1" applyBorder="1" applyAlignment="1">
      <alignment horizontal="right"/>
    </xf>
    <xf numFmtId="0" fontId="23" fillId="0" borderId="0" xfId="9" applyFont="1" applyAlignment="1">
      <alignment wrapText="1"/>
    </xf>
    <xf numFmtId="1" fontId="10" fillId="0" borderId="0" xfId="9" applyNumberFormat="1" applyFont="1"/>
    <xf numFmtId="1" fontId="10" fillId="3" borderId="0" xfId="9" applyNumberFormat="1" applyFont="1" applyFill="1"/>
    <xf numFmtId="0" fontId="23" fillId="3" borderId="0" xfId="9" applyFont="1" applyFill="1"/>
    <xf numFmtId="169" fontId="23" fillId="3" borderId="0" xfId="11" applyNumberFormat="1" applyFont="1" applyFill="1" applyBorder="1"/>
    <xf numFmtId="0" fontId="14" fillId="0" borderId="9" xfId="0" applyFont="1" applyBorder="1"/>
    <xf numFmtId="0" fontId="14" fillId="0" borderId="10" xfId="0" applyFont="1" applyBorder="1"/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/>
    </xf>
    <xf numFmtId="171" fontId="4" fillId="0" borderId="0" xfId="0" applyNumberFormat="1" applyFont="1" applyAlignment="1">
      <alignment horizontal="right" vertical="center" wrapText="1"/>
    </xf>
    <xf numFmtId="0" fontId="24" fillId="0" borderId="0" xfId="9" applyFont="1" applyAlignment="1">
      <alignment horizontal="center"/>
    </xf>
    <xf numFmtId="9" fontId="0" fillId="0" borderId="0" xfId="6" applyFont="1"/>
    <xf numFmtId="0" fontId="0" fillId="10" borderId="0" xfId="0" applyFill="1"/>
    <xf numFmtId="167" fontId="10" fillId="10" borderId="0" xfId="0" applyNumberFormat="1" applyFont="1" applyFill="1" applyAlignment="1">
      <alignment horizontal="center"/>
    </xf>
    <xf numFmtId="0" fontId="68" fillId="0" borderId="0" xfId="0" applyFont="1"/>
    <xf numFmtId="0" fontId="6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/>
    <xf numFmtId="166" fontId="0" fillId="0" borderId="8" xfId="3" applyFont="1" applyBorder="1"/>
    <xf numFmtId="166" fontId="0" fillId="0" borderId="0" xfId="0" applyNumberFormat="1"/>
    <xf numFmtId="166" fontId="0" fillId="0" borderId="8" xfId="0" applyNumberFormat="1" applyBorder="1"/>
    <xf numFmtId="14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right"/>
    </xf>
    <xf numFmtId="0" fontId="69" fillId="0" borderId="0" xfId="0" applyFont="1"/>
    <xf numFmtId="0" fontId="69" fillId="0" borderId="0" xfId="0" applyFont="1" applyAlignment="1">
      <alignment vertical="center"/>
    </xf>
    <xf numFmtId="169" fontId="23" fillId="10" borderId="5" xfId="9" applyNumberFormat="1" applyFont="1" applyFill="1" applyBorder="1"/>
    <xf numFmtId="0" fontId="45" fillId="10" borderId="0" xfId="9" applyFont="1" applyFill="1"/>
    <xf numFmtId="0" fontId="24" fillId="0" borderId="0" xfId="9" applyFont="1"/>
    <xf numFmtId="169" fontId="18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169" fontId="60" fillId="0" borderId="0" xfId="0" applyNumberFormat="1" applyFont="1" applyAlignment="1">
      <alignment horizontal="center" vertical="center"/>
    </xf>
    <xf numFmtId="166" fontId="10" fillId="0" borderId="0" xfId="9" applyNumberFormat="1" applyFont="1"/>
    <xf numFmtId="166" fontId="10" fillId="0" borderId="0" xfId="9" applyNumberFormat="1" applyFont="1" applyAlignment="1">
      <alignment horizontal="center"/>
    </xf>
    <xf numFmtId="166" fontId="23" fillId="0" borderId="0" xfId="9" applyNumberFormat="1" applyFont="1"/>
    <xf numFmtId="43" fontId="23" fillId="0" borderId="0" xfId="7" applyFont="1"/>
    <xf numFmtId="166" fontId="5" fillId="0" borderId="0" xfId="0" applyNumberFormat="1" applyFont="1"/>
    <xf numFmtId="171" fontId="1" fillId="0" borderId="0" xfId="0" applyNumberFormat="1" applyFont="1"/>
    <xf numFmtId="171" fontId="5" fillId="0" borderId="0" xfId="0" applyNumberFormat="1" applyFont="1"/>
    <xf numFmtId="41" fontId="4" fillId="0" borderId="0" xfId="0" applyNumberFormat="1" applyFont="1"/>
    <xf numFmtId="166" fontId="10" fillId="10" borderId="0" xfId="9" applyNumberFormat="1" applyFont="1" applyFill="1"/>
    <xf numFmtId="181" fontId="5" fillId="0" borderId="0" xfId="12" applyNumberFormat="1" applyFont="1"/>
    <xf numFmtId="3" fontId="45" fillId="0" borderId="5" xfId="4" applyNumberFormat="1" applyFont="1" applyBorder="1"/>
    <xf numFmtId="3" fontId="2" fillId="0" borderId="5" xfId="4" applyNumberFormat="1" applyFont="1" applyBorder="1"/>
    <xf numFmtId="3" fontId="22" fillId="0" borderId="0" xfId="0" applyNumberFormat="1" applyFont="1"/>
    <xf numFmtId="3" fontId="45" fillId="0" borderId="0" xfId="0" applyNumberFormat="1" applyFont="1"/>
    <xf numFmtId="3" fontId="65" fillId="0" borderId="0" xfId="0" applyNumberFormat="1" applyFont="1"/>
    <xf numFmtId="3" fontId="49" fillId="10" borderId="0" xfId="0" applyNumberFormat="1" applyFont="1" applyFill="1"/>
    <xf numFmtId="3" fontId="50" fillId="10" borderId="0" xfId="0" applyNumberFormat="1" applyFont="1" applyFill="1"/>
    <xf numFmtId="0" fontId="49" fillId="10" borderId="0" xfId="0" applyFont="1" applyFill="1"/>
    <xf numFmtId="3" fontId="14" fillId="10" borderId="0" xfId="0" applyNumberFormat="1" applyFont="1" applyFill="1"/>
    <xf numFmtId="3" fontId="49" fillId="10" borderId="0" xfId="0" applyNumberFormat="1" applyFont="1" applyFill="1" applyAlignment="1">
      <alignment horizontal="right"/>
    </xf>
    <xf numFmtId="0" fontId="13" fillId="5" borderId="0" xfId="0" applyFont="1" applyFill="1"/>
    <xf numFmtId="0" fontId="20" fillId="17" borderId="22" xfId="9" applyFont="1" applyFill="1" applyBorder="1"/>
    <xf numFmtId="0" fontId="20" fillId="17" borderId="22" xfId="9" applyFont="1" applyFill="1" applyBorder="1" applyAlignment="1">
      <alignment horizontal="center"/>
    </xf>
    <xf numFmtId="0" fontId="10" fillId="3" borderId="14" xfId="9" applyFont="1" applyFill="1" applyBorder="1" applyAlignment="1">
      <alignment horizontal="left" indent="1"/>
    </xf>
    <xf numFmtId="0" fontId="10" fillId="3" borderId="14" xfId="9" applyFont="1" applyFill="1" applyBorder="1" applyAlignment="1">
      <alignment horizontal="center"/>
    </xf>
    <xf numFmtId="10" fontId="10" fillId="10" borderId="14" xfId="10" applyNumberFormat="1" applyFont="1" applyFill="1" applyBorder="1" applyAlignment="1">
      <alignment horizontal="center"/>
    </xf>
    <xf numFmtId="10" fontId="10" fillId="0" borderId="14" xfId="10" applyNumberFormat="1" applyFont="1" applyFill="1" applyBorder="1" applyAlignment="1">
      <alignment horizontal="center"/>
    </xf>
    <xf numFmtId="0" fontId="10" fillId="3" borderId="7" xfId="9" applyFont="1" applyFill="1" applyBorder="1" applyAlignment="1">
      <alignment horizontal="left" indent="1"/>
    </xf>
    <xf numFmtId="0" fontId="10" fillId="3" borderId="7" xfId="9" applyFont="1" applyFill="1" applyBorder="1" applyAlignment="1">
      <alignment horizontal="center"/>
    </xf>
    <xf numFmtId="10" fontId="10" fillId="10" borderId="7" xfId="10" applyNumberFormat="1" applyFont="1" applyFill="1" applyBorder="1" applyAlignment="1">
      <alignment horizontal="center"/>
    </xf>
    <xf numFmtId="0" fontId="20" fillId="17" borderId="22" xfId="9" applyFont="1" applyFill="1" applyBorder="1" applyAlignment="1">
      <alignment horizontal="left" indent="1"/>
    </xf>
    <xf numFmtId="0" fontId="10" fillId="3" borderId="18" xfId="9" applyFont="1" applyFill="1" applyBorder="1" applyAlignment="1">
      <alignment horizontal="center"/>
    </xf>
    <xf numFmtId="10" fontId="21" fillId="10" borderId="8" xfId="10" applyNumberFormat="1" applyFont="1" applyFill="1" applyBorder="1" applyAlignment="1">
      <alignment horizontal="center"/>
    </xf>
    <xf numFmtId="0" fontId="24" fillId="5" borderId="0" xfId="0" applyFont="1" applyFill="1"/>
    <xf numFmtId="0" fontId="26" fillId="5" borderId="0" xfId="0" applyFont="1" applyFill="1"/>
    <xf numFmtId="0" fontId="10" fillId="3" borderId="43" xfId="9" applyFont="1" applyFill="1" applyBorder="1"/>
    <xf numFmtId="169" fontId="10" fillId="3" borderId="14" xfId="11" applyNumberFormat="1" applyFont="1" applyFill="1" applyBorder="1"/>
    <xf numFmtId="0" fontId="10" fillId="3" borderId="9" xfId="9" applyFont="1" applyFill="1" applyBorder="1"/>
    <xf numFmtId="0" fontId="10" fillId="0" borderId="10" xfId="9" applyFont="1" applyBorder="1"/>
    <xf numFmtId="0" fontId="10" fillId="0" borderId="7" xfId="9" applyFont="1" applyBorder="1" applyAlignment="1">
      <alignment horizontal="center"/>
    </xf>
    <xf numFmtId="169" fontId="10" fillId="3" borderId="28" xfId="11" applyNumberFormat="1" applyFont="1" applyFill="1" applyBorder="1"/>
    <xf numFmtId="169" fontId="10" fillId="3" borderId="41" xfId="11" applyNumberFormat="1" applyFont="1" applyFill="1" applyBorder="1"/>
    <xf numFmtId="169" fontId="10" fillId="3" borderId="6" xfId="11" applyNumberFormat="1" applyFont="1" applyFill="1" applyBorder="1"/>
    <xf numFmtId="169" fontId="10" fillId="0" borderId="7" xfId="11" applyNumberFormat="1" applyFont="1" applyFill="1" applyBorder="1"/>
    <xf numFmtId="169" fontId="10" fillId="0" borderId="3" xfId="11" applyNumberFormat="1" applyFont="1" applyFill="1" applyBorder="1"/>
    <xf numFmtId="169" fontId="10" fillId="0" borderId="37" xfId="11" applyNumberFormat="1" applyFont="1" applyFill="1" applyBorder="1"/>
    <xf numFmtId="0" fontId="10" fillId="3" borderId="14" xfId="9" applyFont="1" applyFill="1" applyBorder="1"/>
    <xf numFmtId="169" fontId="10" fillId="3" borderId="7" xfId="11" applyNumberFormat="1" applyFont="1" applyFill="1" applyBorder="1"/>
    <xf numFmtId="0" fontId="23" fillId="7" borderId="22" xfId="9" applyFont="1" applyFill="1" applyBorder="1"/>
    <xf numFmtId="0" fontId="10" fillId="7" borderId="22" xfId="9" applyFont="1" applyFill="1" applyBorder="1"/>
    <xf numFmtId="169" fontId="23" fillId="7" borderId="22" xfId="9" applyNumberFormat="1" applyFont="1" applyFill="1" applyBorder="1"/>
    <xf numFmtId="169" fontId="10" fillId="0" borderId="14" xfId="11" applyNumberFormat="1" applyFont="1" applyFill="1" applyBorder="1"/>
    <xf numFmtId="0" fontId="20" fillId="17" borderId="22" xfId="9" applyFont="1" applyFill="1" applyBorder="1" applyAlignment="1">
      <alignment horizontal="center" vertical="center"/>
    </xf>
    <xf numFmtId="0" fontId="10" fillId="3" borderId="14" xfId="9" applyFont="1" applyFill="1" applyBorder="1" applyAlignment="1">
      <alignment horizontal="left" vertical="center" indent="1"/>
    </xf>
    <xf numFmtId="0" fontId="10" fillId="10" borderId="14" xfId="9" applyFont="1" applyFill="1" applyBorder="1" applyAlignment="1">
      <alignment horizontal="center" vertical="center"/>
    </xf>
    <xf numFmtId="169" fontId="10" fillId="10" borderId="14" xfId="9" applyNumberFormat="1" applyFont="1" applyFill="1" applyBorder="1"/>
    <xf numFmtId="0" fontId="10" fillId="3" borderId="5" xfId="9" applyFont="1" applyFill="1" applyBorder="1" applyAlignment="1">
      <alignment horizontal="left" vertical="center" indent="1"/>
    </xf>
    <xf numFmtId="0" fontId="10" fillId="3" borderId="7" xfId="9" applyFont="1" applyFill="1" applyBorder="1" applyAlignment="1">
      <alignment horizontal="left" vertical="center" indent="1"/>
    </xf>
    <xf numFmtId="169" fontId="10" fillId="10" borderId="7" xfId="9" applyNumberFormat="1" applyFont="1" applyFill="1" applyBorder="1"/>
    <xf numFmtId="0" fontId="23" fillId="7" borderId="22" xfId="9" applyFont="1" applyFill="1" applyBorder="1" applyAlignment="1">
      <alignment horizontal="center" vertical="center"/>
    </xf>
    <xf numFmtId="0" fontId="23" fillId="3" borderId="14" xfId="9" applyFont="1" applyFill="1" applyBorder="1" applyAlignment="1">
      <alignment vertical="center"/>
    </xf>
    <xf numFmtId="0" fontId="10" fillId="10" borderId="14" xfId="9" applyFont="1" applyFill="1" applyBorder="1"/>
    <xf numFmtId="0" fontId="23" fillId="3" borderId="5" xfId="9" applyFont="1" applyFill="1" applyBorder="1" applyAlignment="1">
      <alignment horizontal="left" vertical="center"/>
    </xf>
    <xf numFmtId="0" fontId="23" fillId="3" borderId="8" xfId="9" applyFont="1" applyFill="1" applyBorder="1" applyAlignment="1">
      <alignment vertical="center"/>
    </xf>
    <xf numFmtId="0" fontId="23" fillId="3" borderId="5" xfId="9" applyFont="1" applyFill="1" applyBorder="1" applyAlignment="1">
      <alignment vertical="center"/>
    </xf>
    <xf numFmtId="0" fontId="23" fillId="7" borderId="34" xfId="9" applyFont="1" applyFill="1" applyBorder="1"/>
    <xf numFmtId="0" fontId="23" fillId="7" borderId="24" xfId="9" applyFont="1" applyFill="1" applyBorder="1" applyAlignment="1">
      <alignment horizontal="center" vertical="center"/>
    </xf>
    <xf numFmtId="169" fontId="23" fillId="7" borderId="24" xfId="9" applyNumberFormat="1" applyFont="1" applyFill="1" applyBorder="1"/>
    <xf numFmtId="169" fontId="23" fillId="7" borderId="25" xfId="9" applyNumberFormat="1" applyFont="1" applyFill="1" applyBorder="1"/>
    <xf numFmtId="169" fontId="10" fillId="0" borderId="28" xfId="11" applyNumberFormat="1" applyFont="1" applyFill="1" applyBorder="1"/>
    <xf numFmtId="169" fontId="10" fillId="0" borderId="41" xfId="11" applyNumberFormat="1" applyFont="1" applyFill="1" applyBorder="1"/>
    <xf numFmtId="169" fontId="10" fillId="3" borderId="3" xfId="11" applyNumberFormat="1" applyFont="1" applyFill="1" applyBorder="1"/>
    <xf numFmtId="169" fontId="10" fillId="3" borderId="37" xfId="11" applyNumberFormat="1" applyFont="1" applyFill="1" applyBorder="1"/>
    <xf numFmtId="0" fontId="23" fillId="3" borderId="7" xfId="9" applyFont="1" applyFill="1" applyBorder="1" applyAlignment="1">
      <alignment horizontal="left" vertical="center" indent="1"/>
    </xf>
    <xf numFmtId="0" fontId="23" fillId="3" borderId="30" xfId="9" applyFont="1" applyFill="1" applyBorder="1" applyAlignment="1">
      <alignment horizontal="left" vertical="center" indent="1"/>
    </xf>
    <xf numFmtId="0" fontId="20" fillId="17" borderId="22" xfId="0" applyFont="1" applyFill="1" applyBorder="1" applyAlignment="1">
      <alignment horizontal="left" indent="1"/>
    </xf>
    <xf numFmtId="0" fontId="13" fillId="0" borderId="14" xfId="0" applyFont="1" applyBorder="1"/>
    <xf numFmtId="167" fontId="22" fillId="0" borderId="14" xfId="6" applyNumberFormat="1" applyFont="1" applyBorder="1"/>
    <xf numFmtId="0" fontId="13" fillId="0" borderId="5" xfId="0" applyFont="1" applyBorder="1"/>
    <xf numFmtId="41" fontId="13" fillId="8" borderId="5" xfId="0" applyNumberFormat="1" applyFont="1" applyFill="1" applyBorder="1"/>
    <xf numFmtId="169" fontId="13" fillId="0" borderId="5" xfId="0" applyNumberFormat="1" applyFont="1" applyBorder="1"/>
    <xf numFmtId="166" fontId="13" fillId="0" borderId="5" xfId="0" applyNumberFormat="1" applyFont="1" applyBorder="1"/>
    <xf numFmtId="169" fontId="22" fillId="0" borderId="5" xfId="0" applyNumberFormat="1" applyFont="1" applyBorder="1"/>
    <xf numFmtId="0" fontId="13" fillId="0" borderId="7" xfId="0" applyFont="1" applyBorder="1"/>
    <xf numFmtId="169" fontId="13" fillId="0" borderId="7" xfId="0" applyNumberFormat="1" applyFont="1" applyBorder="1"/>
    <xf numFmtId="0" fontId="13" fillId="3" borderId="14" xfId="0" applyFont="1" applyFill="1" applyBorder="1"/>
    <xf numFmtId="169" fontId="13" fillId="0" borderId="14" xfId="0" applyNumberFormat="1" applyFont="1" applyBorder="1"/>
    <xf numFmtId="169" fontId="22" fillId="0" borderId="14" xfId="0" applyNumberFormat="1" applyFont="1" applyBorder="1"/>
    <xf numFmtId="169" fontId="45" fillId="0" borderId="14" xfId="0" applyNumberFormat="1" applyFont="1" applyBorder="1"/>
    <xf numFmtId="0" fontId="13" fillId="3" borderId="5" xfId="0" applyFont="1" applyFill="1" applyBorder="1"/>
    <xf numFmtId="167" fontId="13" fillId="0" borderId="5" xfId="6" applyNumberFormat="1" applyFont="1" applyBorder="1"/>
    <xf numFmtId="0" fontId="13" fillId="3" borderId="7" xfId="0" applyFont="1" applyFill="1" applyBorder="1"/>
    <xf numFmtId="0" fontId="20" fillId="17" borderId="22" xfId="0" applyFont="1" applyFill="1" applyBorder="1" applyAlignment="1">
      <alignment horizontal="center"/>
    </xf>
    <xf numFmtId="0" fontId="13" fillId="10" borderId="14" xfId="0" applyFont="1" applyFill="1" applyBorder="1"/>
    <xf numFmtId="0" fontId="13" fillId="10" borderId="5" xfId="0" applyFont="1" applyFill="1" applyBorder="1"/>
    <xf numFmtId="167" fontId="21" fillId="0" borderId="5" xfId="6" applyNumberFormat="1" applyFont="1" applyBorder="1"/>
    <xf numFmtId="0" fontId="13" fillId="10" borderId="7" xfId="0" applyFont="1" applyFill="1" applyBorder="1"/>
    <xf numFmtId="0" fontId="13" fillId="0" borderId="43" xfId="0" applyFont="1" applyBorder="1"/>
    <xf numFmtId="169" fontId="13" fillId="0" borderId="28" xfId="0" applyNumberFormat="1" applyFont="1" applyBorder="1"/>
    <xf numFmtId="169" fontId="13" fillId="0" borderId="41" xfId="0" applyNumberFormat="1" applyFont="1" applyBorder="1"/>
    <xf numFmtId="0" fontId="13" fillId="0" borderId="9" xfId="0" applyFont="1" applyBorder="1"/>
    <xf numFmtId="169" fontId="13" fillId="0" borderId="6" xfId="0" applyNumberFormat="1" applyFont="1" applyBorder="1"/>
    <xf numFmtId="0" fontId="13" fillId="0" borderId="10" xfId="0" applyFont="1" applyBorder="1"/>
    <xf numFmtId="169" fontId="13" fillId="0" borderId="3" xfId="0" applyNumberFormat="1" applyFont="1" applyBorder="1"/>
    <xf numFmtId="169" fontId="13" fillId="0" borderId="37" xfId="0" applyNumberFormat="1" applyFont="1" applyBorder="1"/>
    <xf numFmtId="0" fontId="13" fillId="0" borderId="14" xfId="0" applyFont="1" applyBorder="1" applyAlignment="1">
      <alignment horizontal="left" indent="1"/>
    </xf>
    <xf numFmtId="41" fontId="13" fillId="8" borderId="14" xfId="0" applyNumberFormat="1" applyFont="1" applyFill="1" applyBorder="1"/>
    <xf numFmtId="0" fontId="13" fillId="0" borderId="5" xfId="0" applyFont="1" applyBorder="1" applyAlignment="1">
      <alignment horizontal="left" indent="1"/>
    </xf>
    <xf numFmtId="167" fontId="10" fillId="0" borderId="5" xfId="0" applyNumberFormat="1" applyFont="1" applyBorder="1"/>
    <xf numFmtId="0" fontId="13" fillId="0" borderId="7" xfId="0" applyFont="1" applyBorder="1" applyAlignment="1">
      <alignment horizontal="left" indent="1"/>
    </xf>
    <xf numFmtId="0" fontId="44" fillId="0" borderId="14" xfId="0" applyFont="1" applyBorder="1" applyAlignment="1">
      <alignment horizontal="left" indent="3"/>
    </xf>
    <xf numFmtId="169" fontId="44" fillId="0" borderId="14" xfId="0" applyNumberFormat="1" applyFont="1" applyBorder="1"/>
    <xf numFmtId="0" fontId="44" fillId="0" borderId="5" xfId="0" applyFont="1" applyBorder="1" applyAlignment="1">
      <alignment horizontal="left" indent="3"/>
    </xf>
    <xf numFmtId="169" fontId="44" fillId="0" borderId="5" xfId="0" applyNumberFormat="1" applyFont="1" applyBorder="1"/>
    <xf numFmtId="0" fontId="10" fillId="0" borderId="5" xfId="0" applyFont="1" applyBorder="1" applyAlignment="1">
      <alignment horizontal="left" indent="1"/>
    </xf>
    <xf numFmtId="0" fontId="10" fillId="10" borderId="5" xfId="0" applyFont="1" applyFill="1" applyBorder="1" applyAlignment="1">
      <alignment horizontal="left" indent="1"/>
    </xf>
    <xf numFmtId="0" fontId="10" fillId="10" borderId="7" xfId="0" applyFont="1" applyFill="1" applyBorder="1" applyAlignment="1">
      <alignment horizontal="left" indent="1"/>
    </xf>
    <xf numFmtId="0" fontId="20" fillId="0" borderId="5" xfId="0" applyFont="1" applyBorder="1"/>
    <xf numFmtId="169" fontId="20" fillId="0" borderId="5" xfId="0" applyNumberFormat="1" applyFont="1" applyBorder="1"/>
    <xf numFmtId="0" fontId="20" fillId="0" borderId="7" xfId="0" applyFont="1" applyBorder="1"/>
    <xf numFmtId="169" fontId="20" fillId="0" borderId="7" xfId="0" applyNumberFormat="1" applyFont="1" applyBorder="1"/>
    <xf numFmtId="0" fontId="23" fillId="17" borderId="22" xfId="0" applyFont="1" applyFill="1" applyBorder="1"/>
    <xf numFmtId="0" fontId="13" fillId="0" borderId="18" xfId="0" applyFont="1" applyBorder="1" applyAlignment="1">
      <alignment horizontal="center"/>
    </xf>
    <xf numFmtId="171" fontId="13" fillId="0" borderId="8" xfId="0" applyNumberFormat="1" applyFont="1" applyBorder="1"/>
    <xf numFmtId="172" fontId="22" fillId="0" borderId="8" xfId="0" applyNumberFormat="1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167" fontId="21" fillId="0" borderId="8" xfId="6" applyNumberFormat="1" applyFont="1" applyFill="1" applyBorder="1" applyAlignment="1">
      <alignment horizontal="center"/>
    </xf>
    <xf numFmtId="171" fontId="13" fillId="0" borderId="5" xfId="0" applyNumberFormat="1" applyFont="1" applyBorder="1"/>
    <xf numFmtId="167" fontId="13" fillId="0" borderId="5" xfId="0" applyNumberFormat="1" applyFont="1" applyBorder="1"/>
    <xf numFmtId="0" fontId="13" fillId="10" borderId="5" xfId="0" applyFont="1" applyFill="1" applyBorder="1" applyAlignment="1">
      <alignment horizontal="center"/>
    </xf>
    <xf numFmtId="0" fontId="13" fillId="0" borderId="30" xfId="0" applyFont="1" applyBorder="1"/>
    <xf numFmtId="0" fontId="13" fillId="10" borderId="30" xfId="0" applyFont="1" applyFill="1" applyBorder="1" applyAlignment="1">
      <alignment horizontal="center"/>
    </xf>
    <xf numFmtId="169" fontId="13" fillId="0" borderId="30" xfId="0" applyNumberFormat="1" applyFont="1" applyBorder="1"/>
    <xf numFmtId="0" fontId="13" fillId="0" borderId="5" xfId="0" applyFont="1" applyBorder="1" applyAlignment="1">
      <alignment horizontal="center"/>
    </xf>
    <xf numFmtId="0" fontId="13" fillId="10" borderId="7" xfId="0" applyFont="1" applyFill="1" applyBorder="1" applyAlignment="1">
      <alignment horizontal="center"/>
    </xf>
    <xf numFmtId="0" fontId="7" fillId="7" borderId="22" xfId="0" applyFont="1" applyFill="1" applyBorder="1"/>
    <xf numFmtId="169" fontId="20" fillId="7" borderId="22" xfId="0" applyNumberFormat="1" applyFont="1" applyFill="1" applyBorder="1"/>
    <xf numFmtId="169" fontId="10" fillId="0" borderId="5" xfId="0" applyNumberFormat="1" applyFont="1" applyBorder="1"/>
    <xf numFmtId="169" fontId="45" fillId="0" borderId="5" xfId="0" applyNumberFormat="1" applyFont="1" applyBorder="1"/>
    <xf numFmtId="169" fontId="22" fillId="0" borderId="7" xfId="0" applyNumberFormat="1" applyFont="1" applyBorder="1"/>
    <xf numFmtId="0" fontId="20" fillId="7" borderId="22" xfId="0" applyFont="1" applyFill="1" applyBorder="1"/>
    <xf numFmtId="0" fontId="10" fillId="0" borderId="14" xfId="0" applyFont="1" applyBorder="1"/>
    <xf numFmtId="171" fontId="13" fillId="0" borderId="14" xfId="0" applyNumberFormat="1" applyFont="1" applyBorder="1"/>
    <xf numFmtId="0" fontId="10" fillId="0" borderId="5" xfId="0" applyFont="1" applyBorder="1"/>
    <xf numFmtId="10" fontId="13" fillId="0" borderId="5" xfId="6" applyNumberFormat="1" applyFont="1" applyFill="1" applyBorder="1"/>
    <xf numFmtId="10" fontId="13" fillId="10" borderId="5" xfId="6" applyNumberFormat="1" applyFont="1" applyFill="1" applyBorder="1"/>
    <xf numFmtId="0" fontId="10" fillId="0" borderId="7" xfId="0" applyFont="1" applyBorder="1"/>
    <xf numFmtId="10" fontId="13" fillId="0" borderId="7" xfId="6" applyNumberFormat="1" applyFont="1" applyFill="1" applyBorder="1"/>
    <xf numFmtId="0" fontId="23" fillId="5" borderId="0" xfId="0" applyFont="1" applyFill="1"/>
    <xf numFmtId="0" fontId="10" fillId="5" borderId="0" xfId="0" applyFont="1" applyFill="1"/>
    <xf numFmtId="0" fontId="9" fillId="17" borderId="22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41" fontId="0" fillId="0" borderId="14" xfId="0" applyNumberFormat="1" applyBorder="1"/>
    <xf numFmtId="0" fontId="0" fillId="6" borderId="14" xfId="0" applyFill="1" applyBorder="1"/>
    <xf numFmtId="0" fontId="0" fillId="0" borderId="5" xfId="0" applyBorder="1" applyAlignment="1">
      <alignment horizontal="center"/>
    </xf>
    <xf numFmtId="41" fontId="0" fillId="0" borderId="5" xfId="0" applyNumberFormat="1" applyBorder="1"/>
    <xf numFmtId="0" fontId="0" fillId="0" borderId="7" xfId="0" applyBorder="1" applyAlignment="1">
      <alignment horizontal="center"/>
    </xf>
    <xf numFmtId="41" fontId="0" fillId="0" borderId="7" xfId="0" applyNumberFormat="1" applyBorder="1"/>
    <xf numFmtId="0" fontId="0" fillId="10" borderId="14" xfId="0" applyFill="1" applyBorder="1"/>
    <xf numFmtId="167" fontId="0" fillId="0" borderId="5" xfId="6" applyNumberFormat="1" applyFont="1" applyBorder="1" applyAlignment="1">
      <alignment horizontal="center"/>
    </xf>
    <xf numFmtId="167" fontId="0" fillId="0" borderId="7" xfId="6" applyNumberFormat="1" applyFont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9" fillId="17" borderId="22" xfId="0" applyFont="1" applyFill="1" applyBorder="1" applyAlignment="1">
      <alignment horizontal="center" vertical="center"/>
    </xf>
    <xf numFmtId="0" fontId="9" fillId="17" borderId="22" xfId="0" applyFont="1" applyFill="1" applyBorder="1" applyAlignment="1">
      <alignment horizontal="center" vertical="center" wrapText="1"/>
    </xf>
    <xf numFmtId="0" fontId="56" fillId="0" borderId="14" xfId="0" applyFont="1" applyBorder="1" applyAlignment="1">
      <alignment vertical="center"/>
    </xf>
    <xf numFmtId="10" fontId="56" fillId="0" borderId="14" xfId="0" applyNumberFormat="1" applyFont="1" applyBorder="1" applyAlignment="1">
      <alignment horizontal="right" vertical="center"/>
    </xf>
    <xf numFmtId="10" fontId="56" fillId="0" borderId="14" xfId="0" applyNumberFormat="1" applyFont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10" fontId="56" fillId="0" borderId="5" xfId="0" applyNumberFormat="1" applyFont="1" applyBorder="1" applyAlignment="1">
      <alignment horizontal="right" vertical="center"/>
    </xf>
    <xf numFmtId="10" fontId="56" fillId="0" borderId="5" xfId="0" applyNumberFormat="1" applyFont="1" applyBorder="1" applyAlignment="1">
      <alignment horizontal="right" vertical="center" wrapText="1"/>
    </xf>
    <xf numFmtId="0" fontId="0" fillId="10" borderId="5" xfId="0" applyFill="1" applyBorder="1"/>
    <xf numFmtId="0" fontId="57" fillId="0" borderId="5" xfId="0" applyFont="1" applyBorder="1" applyAlignment="1">
      <alignment vertical="center"/>
    </xf>
    <xf numFmtId="10" fontId="57" fillId="0" borderId="5" xfId="0" applyNumberFormat="1" applyFont="1" applyBorder="1" applyAlignment="1">
      <alignment horizontal="right" vertical="center"/>
    </xf>
    <xf numFmtId="10" fontId="57" fillId="0" borderId="5" xfId="0" applyNumberFormat="1" applyFont="1" applyBorder="1" applyAlignment="1">
      <alignment horizontal="right" vertical="center" wrapText="1"/>
    </xf>
    <xf numFmtId="0" fontId="72" fillId="0" borderId="5" xfId="0" applyFont="1" applyBorder="1" applyAlignment="1">
      <alignment vertical="center"/>
    </xf>
    <xf numFmtId="9" fontId="70" fillId="0" borderId="5" xfId="0" applyNumberFormat="1" applyFont="1" applyBorder="1"/>
    <xf numFmtId="10" fontId="0" fillId="10" borderId="5" xfId="0" applyNumberFormat="1" applyFill="1" applyBorder="1"/>
    <xf numFmtId="0" fontId="57" fillId="0" borderId="7" xfId="0" applyFont="1" applyBorder="1" applyAlignment="1">
      <alignment vertical="center"/>
    </xf>
    <xf numFmtId="10" fontId="3" fillId="0" borderId="7" xfId="0" applyNumberFormat="1" applyFont="1" applyBorder="1"/>
    <xf numFmtId="10" fontId="3" fillId="10" borderId="7" xfId="0" applyNumberFormat="1" applyFont="1" applyFill="1" applyBorder="1"/>
    <xf numFmtId="0" fontId="10" fillId="17" borderId="0" xfId="0" applyFont="1" applyFill="1"/>
    <xf numFmtId="0" fontId="23" fillId="17" borderId="0" xfId="0" applyFont="1" applyFill="1" applyAlignment="1">
      <alignment horizontal="center"/>
    </xf>
    <xf numFmtId="15" fontId="23" fillId="17" borderId="0" xfId="0" applyNumberFormat="1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6" fillId="17" borderId="0" xfId="0" applyFont="1" applyFill="1" applyAlignment="1">
      <alignment horizontal="center" vertical="center"/>
    </xf>
    <xf numFmtId="0" fontId="6" fillId="17" borderId="0" xfId="0" applyFont="1" applyFill="1" applyAlignment="1">
      <alignment horizontal="right"/>
    </xf>
    <xf numFmtId="0" fontId="14" fillId="17" borderId="0" xfId="0" applyFont="1" applyFill="1"/>
    <xf numFmtId="0" fontId="14" fillId="17" borderId="0" xfId="0" applyFont="1" applyFill="1" applyAlignment="1">
      <alignment horizontal="center"/>
    </xf>
    <xf numFmtId="0" fontId="6" fillId="17" borderId="0" xfId="0" applyFont="1" applyFill="1" applyAlignment="1">
      <alignment horizontal="centerContinuous"/>
    </xf>
    <xf numFmtId="3" fontId="6" fillId="17" borderId="0" xfId="0" applyNumberFormat="1" applyFont="1" applyFill="1" applyAlignment="1">
      <alignment horizontal="right"/>
    </xf>
    <xf numFmtId="3" fontId="6" fillId="17" borderId="0" xfId="0" applyNumberFormat="1" applyFont="1" applyFill="1"/>
    <xf numFmtId="3" fontId="14" fillId="17" borderId="0" xfId="0" applyNumberFormat="1" applyFont="1" applyFill="1"/>
    <xf numFmtId="168" fontId="14" fillId="17" borderId="0" xfId="0" applyNumberFormat="1" applyFont="1" applyFill="1" applyAlignment="1">
      <alignment horizontal="center"/>
    </xf>
    <xf numFmtId="0" fontId="6" fillId="17" borderId="0" xfId="0" applyFont="1" applyFill="1"/>
    <xf numFmtId="0" fontId="9" fillId="17" borderId="0" xfId="0" applyFont="1" applyFill="1"/>
    <xf numFmtId="168" fontId="6" fillId="17" borderId="0" xfId="0" applyNumberFormat="1" applyFont="1" applyFill="1" applyAlignment="1">
      <alignment horizontal="center"/>
    </xf>
    <xf numFmtId="43" fontId="6" fillId="17" borderId="0" xfId="7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3" fontId="6" fillId="7" borderId="0" xfId="0" applyNumberFormat="1" applyFont="1" applyFill="1"/>
    <xf numFmtId="3" fontId="14" fillId="7" borderId="0" xfId="0" applyNumberFormat="1" applyFont="1" applyFill="1"/>
    <xf numFmtId="168" fontId="14" fillId="7" borderId="0" xfId="0" applyNumberFormat="1" applyFont="1" applyFill="1" applyAlignment="1">
      <alignment horizontal="center"/>
    </xf>
    <xf numFmtId="0" fontId="14" fillId="7" borderId="0" xfId="0" applyFont="1" applyFill="1"/>
    <xf numFmtId="0" fontId="54" fillId="7" borderId="0" xfId="0" applyFont="1" applyFill="1"/>
    <xf numFmtId="0" fontId="6" fillId="7" borderId="0" xfId="0" applyFont="1" applyFill="1" applyAlignment="1">
      <alignment horizontal="center"/>
    </xf>
    <xf numFmtId="168" fontId="6" fillId="7" borderId="0" xfId="0" applyNumberFormat="1" applyFont="1" applyFill="1" applyAlignment="1">
      <alignment horizontal="center"/>
    </xf>
    <xf numFmtId="0" fontId="55" fillId="7" borderId="0" xfId="0" applyFont="1" applyFill="1"/>
    <xf numFmtId="0" fontId="6" fillId="7" borderId="0" xfId="0" applyFont="1" applyFill="1"/>
    <xf numFmtId="0" fontId="6" fillId="17" borderId="48" xfId="0" applyFont="1" applyFill="1" applyBorder="1"/>
    <xf numFmtId="0" fontId="6" fillId="17" borderId="35" xfId="0" applyFont="1" applyFill="1" applyBorder="1"/>
    <xf numFmtId="3" fontId="6" fillId="17" borderId="35" xfId="0" applyNumberFormat="1" applyFont="1" applyFill="1" applyBorder="1"/>
    <xf numFmtId="0" fontId="6" fillId="7" borderId="11" xfId="0" applyFont="1" applyFill="1" applyBorder="1"/>
    <xf numFmtId="0" fontId="6" fillId="7" borderId="12" xfId="0" applyFont="1" applyFill="1" applyBorder="1"/>
    <xf numFmtId="43" fontId="6" fillId="7" borderId="12" xfId="7" applyFont="1" applyFill="1" applyBorder="1"/>
    <xf numFmtId="43" fontId="6" fillId="7" borderId="42" xfId="7" applyFont="1" applyFill="1" applyBorder="1"/>
    <xf numFmtId="0" fontId="0" fillId="0" borderId="7" xfId="0" applyBorder="1"/>
    <xf numFmtId="166" fontId="0" fillId="0" borderId="7" xfId="3" applyFont="1" applyBorder="1"/>
    <xf numFmtId="0" fontId="9" fillId="17" borderId="22" xfId="0" applyFont="1" applyFill="1" applyBorder="1" applyAlignment="1">
      <alignment horizontal="center" wrapText="1"/>
    </xf>
    <xf numFmtId="0" fontId="0" fillId="0" borderId="21" xfId="0" applyBorder="1"/>
    <xf numFmtId="166" fontId="0" fillId="0" borderId="21" xfId="3" applyFont="1" applyBorder="1"/>
    <xf numFmtId="0" fontId="3" fillId="7" borderId="22" xfId="0" applyFont="1" applyFill="1" applyBorder="1"/>
    <xf numFmtId="166" fontId="3" fillId="7" borderId="22" xfId="3" applyFont="1" applyFill="1" applyBorder="1"/>
    <xf numFmtId="14" fontId="0" fillId="0" borderId="7" xfId="0" applyNumberFormat="1" applyBorder="1" applyAlignment="1">
      <alignment horizontal="center"/>
    </xf>
    <xf numFmtId="166" fontId="0" fillId="0" borderId="7" xfId="0" applyNumberFormat="1" applyBorder="1"/>
    <xf numFmtId="2" fontId="0" fillId="0" borderId="7" xfId="0" applyNumberFormat="1" applyBorder="1" applyAlignment="1">
      <alignment horizontal="right"/>
    </xf>
    <xf numFmtId="14" fontId="0" fillId="0" borderId="21" xfId="0" applyNumberFormat="1" applyBorder="1" applyAlignment="1">
      <alignment horizontal="center"/>
    </xf>
    <xf numFmtId="166" fontId="0" fillId="0" borderId="21" xfId="0" applyNumberFormat="1" applyBorder="1"/>
    <xf numFmtId="2" fontId="0" fillId="0" borderId="21" xfId="0" applyNumberFormat="1" applyBorder="1" applyAlignment="1">
      <alignment horizontal="right"/>
    </xf>
    <xf numFmtId="0" fontId="9" fillId="7" borderId="22" xfId="0" applyFont="1" applyFill="1" applyBorder="1"/>
    <xf numFmtId="166" fontId="9" fillId="7" borderId="22" xfId="0" applyNumberFormat="1" applyFont="1" applyFill="1" applyBorder="1"/>
    <xf numFmtId="0" fontId="74" fillId="17" borderId="22" xfId="0" applyFont="1" applyFill="1" applyBorder="1" applyAlignment="1">
      <alignment horizontal="left" vertical="center" wrapText="1" indent="1"/>
    </xf>
    <xf numFmtId="0" fontId="74" fillId="17" borderId="22" xfId="0" applyFont="1" applyFill="1" applyBorder="1" applyAlignment="1">
      <alignment horizontal="center" vertical="center" wrapText="1"/>
    </xf>
    <xf numFmtId="0" fontId="66" fillId="10" borderId="14" xfId="0" applyFont="1" applyFill="1" applyBorder="1" applyAlignment="1">
      <alignment horizontal="left" vertical="center" wrapText="1" indent="1"/>
    </xf>
    <xf numFmtId="175" fontId="66" fillId="10" borderId="14" xfId="0" applyNumberFormat="1" applyFont="1" applyFill="1" applyBorder="1" applyAlignment="1">
      <alignment horizontal="center" vertical="center" wrapText="1"/>
    </xf>
    <xf numFmtId="0" fontId="66" fillId="10" borderId="5" xfId="0" applyFont="1" applyFill="1" applyBorder="1" applyAlignment="1">
      <alignment horizontal="left" vertical="center" wrapText="1" indent="1"/>
    </xf>
    <xf numFmtId="175" fontId="66" fillId="10" borderId="5" xfId="0" applyNumberFormat="1" applyFont="1" applyFill="1" applyBorder="1" applyAlignment="1">
      <alignment horizontal="center" vertical="center" wrapText="1"/>
    </xf>
    <xf numFmtId="0" fontId="66" fillId="10" borderId="30" xfId="0" applyFont="1" applyFill="1" applyBorder="1" applyAlignment="1">
      <alignment horizontal="left" vertical="center" wrapText="1" indent="1"/>
    </xf>
    <xf numFmtId="175" fontId="66" fillId="10" borderId="30" xfId="0" applyNumberFormat="1" applyFont="1" applyFill="1" applyBorder="1" applyAlignment="1">
      <alignment horizontal="center" vertical="center" wrapText="1"/>
    </xf>
    <xf numFmtId="175" fontId="67" fillId="10" borderId="5" xfId="0" applyNumberFormat="1" applyFont="1" applyFill="1" applyBorder="1" applyAlignment="1">
      <alignment vertical="top" wrapText="1"/>
    </xf>
    <xf numFmtId="175" fontId="67" fillId="10" borderId="30" xfId="0" applyNumberFormat="1" applyFont="1" applyFill="1" applyBorder="1" applyAlignment="1">
      <alignment horizontal="center" vertical="top" wrapText="1"/>
    </xf>
    <xf numFmtId="0" fontId="0" fillId="12" borderId="47" xfId="0" applyFill="1" applyBorder="1"/>
    <xf numFmtId="0" fontId="15" fillId="5" borderId="0" xfId="0" applyFont="1" applyFill="1"/>
    <xf numFmtId="0" fontId="4" fillId="5" borderId="0" xfId="0" applyFont="1" applyFill="1"/>
    <xf numFmtId="0" fontId="9" fillId="17" borderId="22" xfId="12" applyFont="1" applyFill="1" applyBorder="1" applyAlignment="1">
      <alignment horizontal="centerContinuous"/>
    </xf>
    <xf numFmtId="0" fontId="9" fillId="7" borderId="22" xfId="12" applyFont="1" applyFill="1" applyBorder="1" applyAlignment="1">
      <alignment horizontal="left" indent="1"/>
    </xf>
    <xf numFmtId="0" fontId="15" fillId="7" borderId="22" xfId="0" applyFont="1" applyFill="1" applyBorder="1"/>
    <xf numFmtId="41" fontId="9" fillId="7" borderId="22" xfId="12" applyNumberFormat="1" applyFont="1" applyFill="1" applyBorder="1"/>
    <xf numFmtId="0" fontId="5" fillId="0" borderId="14" xfId="12" applyFont="1" applyBorder="1" applyAlignment="1">
      <alignment horizontal="left"/>
    </xf>
    <xf numFmtId="0" fontId="4" fillId="0" borderId="14" xfId="0" applyFont="1" applyBorder="1"/>
    <xf numFmtId="41" fontId="18" fillId="0" borderId="14" xfId="12" applyNumberFormat="1" applyFont="1" applyBorder="1"/>
    <xf numFmtId="0" fontId="9" fillId="17" borderId="22" xfId="12" applyFont="1" applyFill="1" applyBorder="1" applyAlignment="1">
      <alignment horizontal="center" vertical="top" wrapText="1"/>
    </xf>
    <xf numFmtId="0" fontId="9" fillId="7" borderId="22" xfId="12" applyFont="1" applyFill="1" applyBorder="1" applyAlignment="1">
      <alignment horizontal="left" vertical="top" wrapText="1" indent="1"/>
    </xf>
    <xf numFmtId="181" fontId="9" fillId="7" borderId="22" xfId="12" applyNumberFormat="1" applyFont="1" applyFill="1" applyBorder="1" applyAlignment="1">
      <alignment horizontal="right" vertical="top" wrapText="1"/>
    </xf>
    <xf numFmtId="0" fontId="61" fillId="15" borderId="14" xfId="12" applyFont="1" applyFill="1" applyBorder="1" applyAlignment="1">
      <alignment horizontal="left" vertical="top" wrapText="1"/>
    </xf>
    <xf numFmtId="181" fontId="18" fillId="15" borderId="14" xfId="12" applyNumberFormat="1" applyFont="1" applyFill="1" applyBorder="1" applyAlignment="1">
      <alignment horizontal="right" vertical="top" wrapText="1"/>
    </xf>
    <xf numFmtId="0" fontId="61" fillId="15" borderId="5" xfId="12" applyFont="1" applyFill="1" applyBorder="1" applyAlignment="1">
      <alignment horizontal="left" vertical="top" wrapText="1"/>
    </xf>
    <xf numFmtId="181" fontId="18" fillId="15" borderId="5" xfId="12" applyNumberFormat="1" applyFont="1" applyFill="1" applyBorder="1" applyAlignment="1">
      <alignment horizontal="right" vertical="top" wrapText="1"/>
    </xf>
    <xf numFmtId="0" fontId="61" fillId="15" borderId="30" xfId="12" applyFont="1" applyFill="1" applyBorder="1" applyAlignment="1">
      <alignment horizontal="left" vertical="top" wrapText="1"/>
    </xf>
    <xf numFmtId="181" fontId="18" fillId="15" borderId="30" xfId="12" applyNumberFormat="1" applyFont="1" applyFill="1" applyBorder="1" applyAlignment="1">
      <alignment horizontal="right" vertical="top" wrapText="1"/>
    </xf>
    <xf numFmtId="0" fontId="9" fillId="5" borderId="0" xfId="0" applyFont="1" applyFill="1"/>
    <xf numFmtId="0" fontId="5" fillId="5" borderId="0" xfId="0" applyFont="1" applyFill="1"/>
    <xf numFmtId="0" fontId="9" fillId="17" borderId="22" xfId="0" applyFont="1" applyFill="1" applyBorder="1" applyAlignment="1">
      <alignment horizontal="left" indent="1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6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/>
    </xf>
    <xf numFmtId="3" fontId="18" fillId="0" borderId="5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171" fontId="18" fillId="0" borderId="5" xfId="0" applyNumberFormat="1" applyFont="1" applyBorder="1" applyAlignment="1">
      <alignment horizontal="right" vertical="center" wrapText="1"/>
    </xf>
    <xf numFmtId="171" fontId="56" fillId="0" borderId="5" xfId="0" applyNumberFormat="1" applyFont="1" applyBorder="1" applyAlignment="1">
      <alignment horizontal="right" vertical="center" wrapText="1"/>
    </xf>
    <xf numFmtId="9" fontId="56" fillId="0" borderId="5" xfId="6" applyFont="1" applyBorder="1" applyAlignment="1">
      <alignment horizontal="right" vertical="center" wrapText="1"/>
    </xf>
    <xf numFmtId="0" fontId="9" fillId="7" borderId="22" xfId="0" applyFont="1" applyFill="1" applyBorder="1" applyAlignment="1">
      <alignment horizontal="justify" vertical="center" wrapText="1"/>
    </xf>
    <xf numFmtId="3" fontId="9" fillId="7" borderId="22" xfId="0" applyNumberFormat="1" applyFont="1" applyFill="1" applyBorder="1" applyAlignment="1">
      <alignment horizontal="center" vertical="center" wrapText="1"/>
    </xf>
    <xf numFmtId="171" fontId="9" fillId="7" borderId="22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41" fontId="1" fillId="10" borderId="7" xfId="0" applyNumberFormat="1" applyFont="1" applyFill="1" applyBorder="1" applyAlignment="1">
      <alignment horizontal="right" vertical="center"/>
    </xf>
    <xf numFmtId="4" fontId="23" fillId="17" borderId="0" xfId="0" applyNumberFormat="1" applyFont="1" applyFill="1" applyAlignment="1">
      <alignment horizontal="center"/>
    </xf>
    <xf numFmtId="15" fontId="23" fillId="17" borderId="1" xfId="0" applyNumberFormat="1" applyFont="1" applyFill="1" applyBorder="1" applyAlignment="1">
      <alignment horizontal="center"/>
    </xf>
    <xf numFmtId="0" fontId="23" fillId="17" borderId="1" xfId="0" applyFont="1" applyFill="1" applyBorder="1" applyAlignment="1">
      <alignment horizontal="center"/>
    </xf>
    <xf numFmtId="17" fontId="23" fillId="17" borderId="1" xfId="0" applyNumberFormat="1" applyFont="1" applyFill="1" applyBorder="1" applyAlignment="1">
      <alignment horizontal="center"/>
    </xf>
    <xf numFmtId="0" fontId="29" fillId="17" borderId="22" xfId="4" applyFont="1" applyFill="1" applyBorder="1" applyAlignment="1">
      <alignment horizontal="center"/>
    </xf>
    <xf numFmtId="3" fontId="9" fillId="0" borderId="14" xfId="4" applyNumberFormat="1" applyFont="1" applyBorder="1"/>
    <xf numFmtId="3" fontId="9" fillId="0" borderId="5" xfId="4" applyNumberFormat="1" applyFont="1" applyBorder="1"/>
    <xf numFmtId="3" fontId="29" fillId="7" borderId="22" xfId="4" applyNumberFormat="1" applyFont="1" applyFill="1" applyBorder="1"/>
    <xf numFmtId="10" fontId="0" fillId="0" borderId="0" xfId="6" applyNumberFormat="1" applyFont="1"/>
    <xf numFmtId="1" fontId="18" fillId="0" borderId="0" xfId="0" applyNumberFormat="1" applyFont="1" applyAlignment="1">
      <alignment horizontal="right" vertical="center"/>
    </xf>
    <xf numFmtId="0" fontId="0" fillId="0" borderId="0" xfId="0" applyAlignment="1">
      <alignment horizontal="justify" vertical="center"/>
    </xf>
    <xf numFmtId="180" fontId="5" fillId="0" borderId="0" xfId="13" applyNumberFormat="1" applyFont="1" applyFill="1" applyBorder="1" applyAlignment="1">
      <alignment vertical="center"/>
    </xf>
    <xf numFmtId="1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center" vertical="center"/>
    </xf>
    <xf numFmtId="179" fontId="5" fillId="0" borderId="0" xfId="0" quotePrefix="1" applyNumberFormat="1" applyFont="1" applyAlignment="1">
      <alignment horizontal="center" vertical="center"/>
    </xf>
    <xf numFmtId="179" fontId="18" fillId="0" borderId="0" xfId="13" applyNumberFormat="1" applyFont="1" applyFill="1" applyBorder="1" applyAlignment="1">
      <alignment vertical="center"/>
    </xf>
    <xf numFmtId="0" fontId="9" fillId="0" borderId="0" xfId="0" applyFont="1" applyAlignment="1">
      <alignment horizontal="justify" vertical="center"/>
    </xf>
    <xf numFmtId="180" fontId="9" fillId="0" borderId="0" xfId="13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70" fillId="0" borderId="0" xfId="0" applyFont="1" applyAlignment="1">
      <alignment horizontal="left" vertical="center" indent="2"/>
    </xf>
    <xf numFmtId="0" fontId="70" fillId="0" borderId="0" xfId="0" applyFont="1" applyAlignment="1">
      <alignment horizontal="center"/>
    </xf>
    <xf numFmtId="179" fontId="71" fillId="0" borderId="0" xfId="13" applyNumberFormat="1" applyFont="1" applyFill="1" applyBorder="1" applyAlignment="1">
      <alignment vertical="center"/>
    </xf>
    <xf numFmtId="179" fontId="9" fillId="0" borderId="0" xfId="0" quotePrefix="1" applyNumberFormat="1" applyFont="1" applyAlignment="1">
      <alignment horizontal="center" vertical="center"/>
    </xf>
    <xf numFmtId="180" fontId="0" fillId="0" borderId="0" xfId="0" applyNumberFormat="1"/>
    <xf numFmtId="171" fontId="9" fillId="0" borderId="0" xfId="0" applyNumberFormat="1" applyFont="1" applyAlignment="1">
      <alignment horizontal="right" vertical="center" wrapText="1"/>
    </xf>
    <xf numFmtId="179" fontId="4" fillId="0" borderId="0" xfId="0" applyNumberFormat="1" applyFont="1"/>
    <xf numFmtId="0" fontId="9" fillId="0" borderId="0" xfId="0" applyFont="1" applyAlignment="1">
      <alignment horizontal="center"/>
    </xf>
    <xf numFmtId="169" fontId="1" fillId="0" borderId="0" xfId="0" applyNumberFormat="1" applyFont="1"/>
    <xf numFmtId="169" fontId="18" fillId="0" borderId="0" xfId="0" applyNumberFormat="1" applyFont="1"/>
    <xf numFmtId="0" fontId="3" fillId="0" borderId="49" xfId="0" applyFont="1" applyBorder="1" applyAlignment="1">
      <alignment wrapText="1"/>
    </xf>
    <xf numFmtId="0" fontId="3" fillId="0" borderId="50" xfId="0" applyFont="1" applyBorder="1" applyAlignment="1">
      <alignment wrapText="1"/>
    </xf>
    <xf numFmtId="0" fontId="3" fillId="0" borderId="50" xfId="0" applyFont="1" applyBorder="1" applyAlignment="1">
      <alignment horizontal="right"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 applyAlignment="1">
      <alignment horizontal="right" wrapText="1"/>
    </xf>
    <xf numFmtId="0" fontId="0" fillId="16" borderId="51" xfId="0" applyFill="1" applyBorder="1" applyAlignment="1">
      <alignment vertical="top" wrapText="1"/>
    </xf>
    <xf numFmtId="0" fontId="0" fillId="16" borderId="52" xfId="0" applyFill="1" applyBorder="1" applyAlignment="1">
      <alignment vertical="top" wrapText="1"/>
    </xf>
    <xf numFmtId="0" fontId="0" fillId="16" borderId="52" xfId="0" applyFill="1" applyBorder="1" applyAlignment="1">
      <alignment horizontal="right" wrapText="1"/>
    </xf>
    <xf numFmtId="0" fontId="0" fillId="16" borderId="51" xfId="0" applyFill="1" applyBorder="1" applyAlignment="1">
      <alignment wrapText="1"/>
    </xf>
    <xf numFmtId="0" fontId="0" fillId="16" borderId="52" xfId="0" applyFill="1" applyBorder="1" applyAlignment="1">
      <alignment wrapText="1"/>
    </xf>
    <xf numFmtId="0" fontId="0" fillId="0" borderId="51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4" fontId="0" fillId="0" borderId="52" xfId="0" applyNumberFormat="1" applyBorder="1" applyAlignment="1">
      <alignment horizontal="right" wrapText="1"/>
    </xf>
    <xf numFmtId="4" fontId="0" fillId="16" borderId="52" xfId="0" applyNumberFormat="1" applyFill="1" applyBorder="1" applyAlignment="1">
      <alignment horizontal="right" wrapText="1"/>
    </xf>
    <xf numFmtId="4" fontId="0" fillId="0" borderId="53" xfId="0" applyNumberFormat="1" applyBorder="1" applyAlignment="1">
      <alignment horizontal="right" wrapText="1"/>
    </xf>
    <xf numFmtId="4" fontId="0" fillId="0" borderId="22" xfId="0" applyNumberFormat="1" applyBorder="1" applyAlignment="1">
      <alignment horizontal="right" wrapText="1"/>
    </xf>
    <xf numFmtId="1" fontId="5" fillId="0" borderId="0" xfId="12" applyNumberFormat="1" applyFont="1"/>
    <xf numFmtId="10" fontId="10" fillId="0" borderId="0" xfId="0" applyNumberFormat="1" applyFont="1"/>
    <xf numFmtId="14" fontId="0" fillId="0" borderId="0" xfId="0" applyNumberFormat="1"/>
    <xf numFmtId="0" fontId="0" fillId="0" borderId="8" xfId="0" applyBorder="1" applyAlignment="1">
      <alignment vertical="center"/>
    </xf>
    <xf numFmtId="0" fontId="13" fillId="0" borderId="8" xfId="0" applyFont="1" applyBorder="1" applyAlignment="1">
      <alignment wrapText="1"/>
    </xf>
    <xf numFmtId="0" fontId="75" fillId="16" borderId="8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right" wrapText="1"/>
    </xf>
    <xf numFmtId="0" fontId="0" fillId="15" borderId="8" xfId="0" applyFill="1" applyBorder="1" applyAlignment="1">
      <alignment horizontal="right" wrapText="1"/>
    </xf>
    <xf numFmtId="0" fontId="0" fillId="15" borderId="8" xfId="0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15" borderId="8" xfId="0" applyFont="1" applyFill="1" applyBorder="1" applyAlignment="1">
      <alignment vertical="top" wrapText="1"/>
    </xf>
    <xf numFmtId="0" fontId="0" fillId="15" borderId="8" xfId="0" applyFill="1" applyBorder="1" applyAlignment="1">
      <alignment wrapText="1"/>
    </xf>
    <xf numFmtId="0" fontId="0" fillId="16" borderId="8" xfId="0" applyFill="1" applyBorder="1" applyAlignment="1">
      <alignment horizontal="center" wrapText="1"/>
    </xf>
    <xf numFmtId="4" fontId="0" fillId="0" borderId="0" xfId="0" applyNumberFormat="1"/>
    <xf numFmtId="0" fontId="13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5" fillId="0" borderId="0" xfId="0" applyFont="1"/>
    <xf numFmtId="164" fontId="18" fillId="0" borderId="14" xfId="12" applyNumberFormat="1" applyFont="1" applyBorder="1"/>
    <xf numFmtId="169" fontId="45" fillId="0" borderId="0" xfId="9" applyNumberFormat="1" applyFont="1"/>
    <xf numFmtId="168" fontId="47" fillId="0" borderId="0" xfId="0" applyNumberFormat="1" applyFont="1" applyAlignment="1">
      <alignment horizontal="center"/>
    </xf>
    <xf numFmtId="0" fontId="20" fillId="17" borderId="46" xfId="0" applyFont="1" applyFill="1" applyBorder="1" applyAlignment="1">
      <alignment horizontal="left" indent="1"/>
    </xf>
    <xf numFmtId="0" fontId="20" fillId="17" borderId="46" xfId="0" applyFont="1" applyFill="1" applyBorder="1" applyAlignment="1">
      <alignment horizontal="center"/>
    </xf>
    <xf numFmtId="3" fontId="0" fillId="0" borderId="8" xfId="0" applyNumberFormat="1" applyBorder="1"/>
    <xf numFmtId="0" fontId="3" fillId="0" borderId="8" xfId="0" applyFont="1" applyBorder="1" applyAlignment="1">
      <alignment horizontal="center"/>
    </xf>
    <xf numFmtId="0" fontId="78" fillId="0" borderId="54" xfId="0" applyFont="1" applyBorder="1" applyAlignment="1">
      <alignment horizontal="right" wrapText="1"/>
    </xf>
    <xf numFmtId="0" fontId="80" fillId="0" borderId="54" xfId="0" applyFont="1" applyBorder="1" applyAlignment="1">
      <alignment horizontal="right" wrapText="1"/>
    </xf>
    <xf numFmtId="0" fontId="81" fillId="0" borderId="54" xfId="0" applyFont="1" applyBorder="1" applyAlignment="1">
      <alignment horizontal="right" wrapText="1"/>
    </xf>
    <xf numFmtId="0" fontId="76" fillId="18" borderId="55" xfId="0" applyFont="1" applyFill="1" applyBorder="1" applyAlignment="1">
      <alignment horizontal="right" wrapText="1"/>
    </xf>
    <xf numFmtId="0" fontId="76" fillId="18" borderId="56" xfId="0" applyFont="1" applyFill="1" applyBorder="1" applyAlignment="1">
      <alignment horizontal="right" wrapText="1"/>
    </xf>
    <xf numFmtId="0" fontId="78" fillId="0" borderId="58" xfId="0" applyFont="1" applyBorder="1" applyAlignment="1">
      <alignment horizontal="right" wrapText="1"/>
    </xf>
    <xf numFmtId="0" fontId="79" fillId="0" borderId="57" xfId="0" applyFont="1" applyBorder="1" applyAlignment="1">
      <alignment wrapText="1"/>
    </xf>
    <xf numFmtId="0" fontId="80" fillId="0" borderId="58" xfId="0" applyFont="1" applyBorder="1" applyAlignment="1">
      <alignment horizontal="right" wrapText="1"/>
    </xf>
    <xf numFmtId="0" fontId="13" fillId="0" borderId="57" xfId="0" applyFont="1" applyBorder="1" applyAlignment="1">
      <alignment wrapText="1"/>
    </xf>
    <xf numFmtId="0" fontId="81" fillId="0" borderId="58" xfId="0" applyFont="1" applyBorder="1" applyAlignment="1">
      <alignment horizontal="right" wrapText="1"/>
    </xf>
    <xf numFmtId="0" fontId="82" fillId="0" borderId="57" xfId="0" applyFont="1" applyBorder="1" applyAlignment="1">
      <alignment wrapText="1"/>
    </xf>
    <xf numFmtId="0" fontId="83" fillId="0" borderId="57" xfId="0" applyFont="1" applyBorder="1" applyAlignment="1">
      <alignment wrapText="1"/>
    </xf>
    <xf numFmtId="0" fontId="75" fillId="0" borderId="57" xfId="0" applyFont="1" applyBorder="1" applyAlignment="1">
      <alignment wrapText="1"/>
    </xf>
    <xf numFmtId="0" fontId="84" fillId="0" borderId="57" xfId="0" applyFont="1" applyBorder="1" applyAlignment="1">
      <alignment wrapText="1"/>
    </xf>
    <xf numFmtId="0" fontId="85" fillId="0" borderId="57" xfId="0" applyFont="1" applyBorder="1" applyAlignment="1">
      <alignment wrapText="1"/>
    </xf>
    <xf numFmtId="0" fontId="0" fillId="0" borderId="57" xfId="0" applyBorder="1" applyAlignment="1">
      <alignment wrapText="1"/>
    </xf>
    <xf numFmtId="0" fontId="10" fillId="0" borderId="27" xfId="4" applyFont="1" applyBorder="1"/>
    <xf numFmtId="0" fontId="10" fillId="0" borderId="31" xfId="4" applyFont="1" applyBorder="1"/>
    <xf numFmtId="0" fontId="9" fillId="0" borderId="48" xfId="4" applyFont="1" applyBorder="1" applyAlignment="1">
      <alignment horizontal="right"/>
    </xf>
    <xf numFmtId="14" fontId="54" fillId="0" borderId="0" xfId="0" applyNumberFormat="1" applyFont="1"/>
    <xf numFmtId="0" fontId="8" fillId="0" borderId="0" xfId="4"/>
    <xf numFmtId="0" fontId="75" fillId="16" borderId="0" xfId="0" applyFont="1" applyFill="1" applyAlignment="1">
      <alignment horizontal="center" wrapText="1"/>
    </xf>
    <xf numFmtId="3" fontId="2" fillId="0" borderId="0" xfId="0" applyNumberFormat="1" applyFont="1"/>
    <xf numFmtId="10" fontId="0" fillId="0" borderId="0" xfId="0" applyNumberFormat="1"/>
    <xf numFmtId="9" fontId="0" fillId="0" borderId="0" xfId="0" applyNumberFormat="1"/>
    <xf numFmtId="10" fontId="3" fillId="7" borderId="22" xfId="0" applyNumberFormat="1" applyFont="1" applyFill="1" applyBorder="1" applyAlignment="1">
      <alignment horizontal="center"/>
    </xf>
    <xf numFmtId="15" fontId="23" fillId="0" borderId="0" xfId="0" applyNumberFormat="1" applyFont="1" applyAlignment="1">
      <alignment horizontal="left"/>
    </xf>
    <xf numFmtId="0" fontId="86" fillId="0" borderId="0" xfId="0" applyFont="1"/>
    <xf numFmtId="0" fontId="0" fillId="5" borderId="0" xfId="0" applyFill="1"/>
    <xf numFmtId="0" fontId="0" fillId="19" borderId="0" xfId="0" applyFill="1"/>
    <xf numFmtId="0" fontId="0" fillId="20" borderId="0" xfId="0" applyFill="1"/>
    <xf numFmtId="10" fontId="0" fillId="16" borderId="0" xfId="6" applyNumberFormat="1" applyFont="1" applyFill="1"/>
    <xf numFmtId="3" fontId="0" fillId="16" borderId="0" xfId="0" applyNumberFormat="1" applyFill="1"/>
    <xf numFmtId="182" fontId="0" fillId="0" borderId="0" xfId="6" applyNumberFormat="1" applyFont="1"/>
    <xf numFmtId="182" fontId="0" fillId="0" borderId="0" xfId="0" applyNumberFormat="1"/>
    <xf numFmtId="3" fontId="0" fillId="21" borderId="0" xfId="0" applyNumberFormat="1" applyFill="1"/>
    <xf numFmtId="0" fontId="3" fillId="0" borderId="7" xfId="0" applyFont="1" applyBorder="1" applyAlignment="1">
      <alignment horizontal="center"/>
    </xf>
    <xf numFmtId="3" fontId="0" fillId="0" borderId="7" xfId="0" applyNumberFormat="1" applyBorder="1"/>
    <xf numFmtId="3" fontId="0" fillId="0" borderId="8" xfId="0" applyNumberFormat="1" applyBorder="1" applyAlignment="1">
      <alignment horizontal="right" wrapText="1"/>
    </xf>
    <xf numFmtId="3" fontId="0" fillId="15" borderId="8" xfId="0" applyNumberFormat="1" applyFill="1" applyBorder="1" applyAlignment="1">
      <alignment horizontal="right" wrapText="1"/>
    </xf>
    <xf numFmtId="0" fontId="81" fillId="0" borderId="0" xfId="0" applyFont="1"/>
    <xf numFmtId="0" fontId="3" fillId="19" borderId="0" xfId="0" applyFont="1" applyFill="1"/>
    <xf numFmtId="3" fontId="0" fillId="19" borderId="0" xfId="0" applyNumberFormat="1" applyFill="1"/>
    <xf numFmtId="3" fontId="3" fillId="19" borderId="0" xfId="0" applyNumberFormat="1" applyFont="1" applyFill="1"/>
    <xf numFmtId="3" fontId="2" fillId="19" borderId="0" xfId="0" applyNumberFormat="1" applyFont="1" applyFill="1"/>
    <xf numFmtId="0" fontId="3" fillId="20" borderId="0" xfId="0" applyFont="1" applyFill="1"/>
    <xf numFmtId="3" fontId="0" fillId="20" borderId="0" xfId="0" applyNumberFormat="1" applyFill="1"/>
    <xf numFmtId="3" fontId="3" fillId="20" borderId="0" xfId="0" applyNumberFormat="1" applyFont="1" applyFill="1"/>
    <xf numFmtId="0" fontId="3" fillId="9" borderId="0" xfId="0" applyFont="1" applyFill="1"/>
    <xf numFmtId="3" fontId="0" fillId="9" borderId="0" xfId="0" applyNumberFormat="1" applyFill="1"/>
    <xf numFmtId="3" fontId="3" fillId="9" borderId="0" xfId="0" applyNumberFormat="1" applyFont="1" applyFill="1"/>
    <xf numFmtId="0" fontId="0" fillId="9" borderId="0" xfId="0" applyFill="1"/>
    <xf numFmtId="0" fontId="3" fillId="0" borderId="26" xfId="0" applyFont="1" applyBorder="1"/>
    <xf numFmtId="0" fontId="0" fillId="0" borderId="26" xfId="0" applyBorder="1"/>
    <xf numFmtId="0" fontId="0" fillId="0" borderId="3" xfId="0" applyBorder="1"/>
    <xf numFmtId="3" fontId="0" fillId="0" borderId="3" xfId="0" applyNumberFormat="1" applyBorder="1"/>
    <xf numFmtId="0" fontId="88" fillId="0" borderId="0" xfId="0" applyFont="1" applyAlignment="1">
      <alignment horizontal="left" vertical="center" indent="1"/>
    </xf>
    <xf numFmtId="0" fontId="0" fillId="9" borderId="8" xfId="0" applyFill="1" applyBorder="1"/>
    <xf numFmtId="0" fontId="23" fillId="19" borderId="0" xfId="0" applyFont="1" applyFill="1" applyAlignment="1">
      <alignment horizontal="center"/>
    </xf>
    <xf numFmtId="3" fontId="10" fillId="19" borderId="0" xfId="0" applyNumberFormat="1" applyFont="1" applyFill="1"/>
    <xf numFmtId="0" fontId="10" fillId="19" borderId="0" xfId="0" applyFont="1" applyFill="1"/>
    <xf numFmtId="0" fontId="23" fillId="9" borderId="0" xfId="0" applyFont="1" applyFill="1" applyAlignment="1">
      <alignment horizontal="center"/>
    </xf>
    <xf numFmtId="3" fontId="10" fillId="9" borderId="0" xfId="0" applyNumberFormat="1" applyFont="1" applyFill="1"/>
    <xf numFmtId="0" fontId="10" fillId="9" borderId="0" xfId="0" applyFont="1" applyFill="1"/>
    <xf numFmtId="3" fontId="89" fillId="9" borderId="0" xfId="0" applyNumberFormat="1" applyFont="1" applyFill="1"/>
    <xf numFmtId="3" fontId="45" fillId="9" borderId="0" xfId="0" applyNumberFormat="1" applyFont="1" applyFill="1"/>
    <xf numFmtId="3" fontId="10" fillId="0" borderId="0" xfId="0" applyNumberFormat="1" applyFont="1" applyAlignment="1">
      <alignment horizontal="right"/>
    </xf>
    <xf numFmtId="3" fontId="90" fillId="0" borderId="0" xfId="0" applyNumberFormat="1" applyFont="1"/>
    <xf numFmtId="4" fontId="90" fillId="0" borderId="0" xfId="0" applyNumberFormat="1" applyFont="1"/>
    <xf numFmtId="183" fontId="10" fillId="0" borderId="0" xfId="0" applyNumberFormat="1" applyFont="1"/>
    <xf numFmtId="10" fontId="0" fillId="0" borderId="0" xfId="6" applyNumberFormat="1" applyFont="1" applyFill="1"/>
    <xf numFmtId="10" fontId="36" fillId="0" borderId="0" xfId="0" applyNumberFormat="1" applyFont="1" applyAlignment="1">
      <alignment horizontal="center"/>
    </xf>
    <xf numFmtId="0" fontId="5" fillId="20" borderId="0" xfId="0" applyFont="1" applyFill="1"/>
    <xf numFmtId="0" fontId="14" fillId="22" borderId="0" xfId="0" applyFont="1" applyFill="1" applyAlignment="1">
      <alignment horizontal="left"/>
    </xf>
    <xf numFmtId="0" fontId="14" fillId="20" borderId="0" xfId="0" applyFont="1" applyFill="1" applyAlignment="1">
      <alignment horizontal="left"/>
    </xf>
    <xf numFmtId="3" fontId="49" fillId="22" borderId="0" xfId="0" applyNumberFormat="1" applyFont="1" applyFill="1"/>
    <xf numFmtId="0" fontId="14" fillId="22" borderId="0" xfId="0" applyFont="1" applyFill="1"/>
    <xf numFmtId="0" fontId="5" fillId="0" borderId="27" xfId="0" applyFont="1" applyBorder="1"/>
    <xf numFmtId="3" fontId="5" fillId="0" borderId="31" xfId="0" applyNumberFormat="1" applyFont="1" applyBorder="1"/>
    <xf numFmtId="3" fontId="5" fillId="0" borderId="1" xfId="0" applyNumberFormat="1" applyFont="1" applyBorder="1"/>
    <xf numFmtId="3" fontId="5" fillId="0" borderId="32" xfId="0" applyNumberFormat="1" applyFont="1" applyBorder="1"/>
    <xf numFmtId="4" fontId="5" fillId="0" borderId="27" xfId="0" applyNumberFormat="1" applyFont="1" applyBorder="1"/>
    <xf numFmtId="4" fontId="5" fillId="0" borderId="29" xfId="0" applyNumberFormat="1" applyFont="1" applyBorder="1"/>
    <xf numFmtId="4" fontId="9" fillId="5" borderId="38" xfId="0" applyNumberFormat="1" applyFont="1" applyFill="1" applyBorder="1"/>
    <xf numFmtId="0" fontId="9" fillId="5" borderId="28" xfId="0" applyFont="1" applyFill="1" applyBorder="1"/>
    <xf numFmtId="0" fontId="9" fillId="5" borderId="39" xfId="0" applyFont="1" applyFill="1" applyBorder="1"/>
    <xf numFmtId="0" fontId="9" fillId="5" borderId="27" xfId="0" applyFont="1" applyFill="1" applyBorder="1"/>
    <xf numFmtId="0" fontId="9" fillId="5" borderId="31" xfId="0" applyFont="1" applyFill="1" applyBorder="1"/>
    <xf numFmtId="0" fontId="9" fillId="5" borderId="38" xfId="0" applyFont="1" applyFill="1" applyBorder="1"/>
    <xf numFmtId="4" fontId="9" fillId="5" borderId="27" xfId="0" applyNumberFormat="1" applyFont="1" applyFill="1" applyBorder="1"/>
    <xf numFmtId="3" fontId="91" fillId="9" borderId="0" xfId="0" applyNumberFormat="1" applyFont="1" applyFill="1"/>
    <xf numFmtId="3" fontId="22" fillId="9" borderId="0" xfId="0" applyNumberFormat="1" applyFont="1" applyFill="1"/>
    <xf numFmtId="0" fontId="9" fillId="5" borderId="48" xfId="0" applyFont="1" applyFill="1" applyBorder="1" applyAlignment="1">
      <alignment horizontal="center"/>
    </xf>
    <xf numFmtId="0" fontId="9" fillId="5" borderId="35" xfId="0" applyFont="1" applyFill="1" applyBorder="1"/>
    <xf numFmtId="0" fontId="9" fillId="5" borderId="40" xfId="0" applyFont="1" applyFill="1" applyBorder="1" applyAlignment="1">
      <alignment horizontal="center"/>
    </xf>
    <xf numFmtId="0" fontId="5" fillId="10" borderId="27" xfId="0" applyFont="1" applyFill="1" applyBorder="1" applyAlignment="1">
      <alignment horizontal="center"/>
    </xf>
    <xf numFmtId="0" fontId="5" fillId="10" borderId="0" xfId="0" applyFont="1" applyFill="1"/>
    <xf numFmtId="3" fontId="5" fillId="10" borderId="0" xfId="0" applyNumberFormat="1" applyFont="1" applyFill="1"/>
    <xf numFmtId="3" fontId="5" fillId="10" borderId="31" xfId="0" applyNumberFormat="1" applyFont="1" applyFill="1" applyBorder="1"/>
    <xf numFmtId="0" fontId="5" fillId="10" borderId="29" xfId="0" applyFont="1" applyFill="1" applyBorder="1" applyAlignment="1">
      <alignment horizontal="center"/>
    </xf>
    <xf numFmtId="0" fontId="5" fillId="10" borderId="1" xfId="0" applyFont="1" applyFill="1" applyBorder="1"/>
    <xf numFmtId="3" fontId="5" fillId="10" borderId="1" xfId="0" applyNumberFormat="1" applyFont="1" applyFill="1" applyBorder="1"/>
    <xf numFmtId="3" fontId="5" fillId="10" borderId="32" xfId="0" applyNumberFormat="1" applyFont="1" applyFill="1" applyBorder="1"/>
    <xf numFmtId="3" fontId="5" fillId="10" borderId="39" xfId="0" applyNumberFormat="1" applyFont="1" applyFill="1" applyBorder="1"/>
    <xf numFmtId="0" fontId="10" fillId="10" borderId="28" xfId="0" applyFont="1" applyFill="1" applyBorder="1"/>
    <xf numFmtId="0" fontId="10" fillId="10" borderId="0" xfId="0" applyFont="1" applyFill="1"/>
    <xf numFmtId="0" fontId="10" fillId="10" borderId="1" xfId="0" applyFont="1" applyFill="1" applyBorder="1"/>
    <xf numFmtId="0" fontId="10" fillId="10" borderId="38" xfId="0" applyFont="1" applyFill="1" applyBorder="1" applyAlignment="1">
      <alignment horizontal="center"/>
    </xf>
    <xf numFmtId="0" fontId="10" fillId="10" borderId="27" xfId="0" applyFont="1" applyFill="1" applyBorder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23" fillId="5" borderId="38" xfId="0" applyFont="1" applyFill="1" applyBorder="1" applyAlignment="1">
      <alignment horizontal="left"/>
    </xf>
    <xf numFmtId="3" fontId="5" fillId="0" borderId="28" xfId="0" applyNumberFormat="1" applyFont="1" applyBorder="1"/>
    <xf numFmtId="3" fontId="5" fillId="0" borderId="39" xfId="0" applyNumberFormat="1" applyFont="1" applyBorder="1"/>
    <xf numFmtId="0" fontId="23" fillId="5" borderId="27" xfId="0" applyFont="1" applyFill="1" applyBorder="1" applyAlignment="1">
      <alignment horizontal="left"/>
    </xf>
    <xf numFmtId="0" fontId="9" fillId="5" borderId="29" xfId="0" applyFont="1" applyFill="1" applyBorder="1" applyAlignment="1">
      <alignment horizontal="left"/>
    </xf>
    <xf numFmtId="0" fontId="9" fillId="5" borderId="48" xfId="0" applyFont="1" applyFill="1" applyBorder="1" applyAlignment="1">
      <alignment horizontal="left"/>
    </xf>
    <xf numFmtId="3" fontId="9" fillId="0" borderId="35" xfId="0" applyNumberFormat="1" applyFont="1" applyBorder="1"/>
    <xf numFmtId="3" fontId="9" fillId="0" borderId="40" xfId="0" applyNumberFormat="1" applyFont="1" applyBorder="1"/>
    <xf numFmtId="3" fontId="5" fillId="0" borderId="38" xfId="0" applyNumberFormat="1" applyFont="1" applyBorder="1"/>
    <xf numFmtId="3" fontId="5" fillId="0" borderId="27" xfId="0" applyNumberFormat="1" applyFont="1" applyBorder="1"/>
    <xf numFmtId="3" fontId="9" fillId="0" borderId="48" xfId="0" applyNumberFormat="1" applyFont="1" applyBorder="1"/>
    <xf numFmtId="0" fontId="7" fillId="12" borderId="22" xfId="0" applyFont="1" applyFill="1" applyBorder="1"/>
    <xf numFmtId="0" fontId="8" fillId="0" borderId="13" xfId="0" applyFont="1" applyBorder="1"/>
    <xf numFmtId="0" fontId="8" fillId="0" borderId="59" xfId="0" applyFont="1" applyBorder="1"/>
    <xf numFmtId="0" fontId="8" fillId="0" borderId="60" xfId="0" applyFont="1" applyBorder="1"/>
    <xf numFmtId="0" fontId="76" fillId="18" borderId="62" xfId="0" applyFont="1" applyFill="1" applyBorder="1" applyAlignment="1">
      <alignment horizontal="right" wrapText="1"/>
    </xf>
    <xf numFmtId="0" fontId="77" fillId="0" borderId="63" xfId="0" applyFont="1" applyBorder="1" applyAlignment="1">
      <alignment wrapText="1"/>
    </xf>
    <xf numFmtId="0" fontId="76" fillId="18" borderId="22" xfId="0" applyFont="1" applyFill="1" applyBorder="1" applyAlignment="1">
      <alignment horizontal="center" wrapText="1"/>
    </xf>
    <xf numFmtId="0" fontId="29" fillId="0" borderId="35" xfId="4" applyFont="1" applyBorder="1" applyAlignment="1">
      <alignment horizontal="right"/>
    </xf>
    <xf numFmtId="0" fontId="29" fillId="0" borderId="40" xfId="4" applyFont="1" applyBorder="1" applyAlignment="1">
      <alignment horizontal="right"/>
    </xf>
    <xf numFmtId="3" fontId="80" fillId="0" borderId="54" xfId="0" applyNumberFormat="1" applyFont="1" applyBorder="1" applyAlignment="1">
      <alignment horizontal="right" wrapText="1"/>
    </xf>
    <xf numFmtId="3" fontId="80" fillId="0" borderId="58" xfId="0" applyNumberFormat="1" applyFont="1" applyBorder="1" applyAlignment="1">
      <alignment horizontal="right" wrapText="1"/>
    </xf>
    <xf numFmtId="3" fontId="81" fillId="0" borderId="54" xfId="0" applyNumberFormat="1" applyFont="1" applyBorder="1" applyAlignment="1">
      <alignment horizontal="right" wrapText="1"/>
    </xf>
    <xf numFmtId="3" fontId="81" fillId="0" borderId="58" xfId="0" applyNumberFormat="1" applyFont="1" applyBorder="1" applyAlignment="1">
      <alignment horizontal="right" wrapText="1"/>
    </xf>
    <xf numFmtId="4" fontId="10" fillId="0" borderId="28" xfId="0" applyNumberFormat="1" applyFont="1" applyBorder="1"/>
    <xf numFmtId="0" fontId="9" fillId="5" borderId="27" xfId="0" applyFont="1" applyFill="1" applyBorder="1" applyAlignment="1">
      <alignment horizontal="left"/>
    </xf>
    <xf numFmtId="0" fontId="9" fillId="5" borderId="38" xfId="0" applyFont="1" applyFill="1" applyBorder="1" applyAlignment="1">
      <alignment horizontal="left"/>
    </xf>
    <xf numFmtId="0" fontId="9" fillId="5" borderId="48" xfId="0" applyFont="1" applyFill="1" applyBorder="1"/>
    <xf numFmtId="0" fontId="9" fillId="5" borderId="40" xfId="0" applyFont="1" applyFill="1" applyBorder="1"/>
    <xf numFmtId="0" fontId="20" fillId="17" borderId="22" xfId="9" applyFont="1" applyFill="1" applyBorder="1" applyAlignment="1">
      <alignment horizontal="center" wrapText="1"/>
    </xf>
    <xf numFmtId="184" fontId="5" fillId="0" borderId="0" xfId="12" applyNumberFormat="1" applyFont="1"/>
    <xf numFmtId="41" fontId="1" fillId="10" borderId="0" xfId="0" applyNumberFormat="1" applyFont="1" applyFill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185" fontId="0" fillId="0" borderId="0" xfId="0" applyNumberFormat="1"/>
    <xf numFmtId="167" fontId="3" fillId="12" borderId="47" xfId="6" applyNumberFormat="1" applyFont="1" applyFill="1" applyBorder="1" applyAlignment="1">
      <alignment horizontal="center"/>
    </xf>
    <xf numFmtId="175" fontId="0" fillId="0" borderId="0" xfId="0" applyNumberFormat="1"/>
    <xf numFmtId="173" fontId="10" fillId="3" borderId="24" xfId="11" applyNumberFormat="1" applyFont="1" applyFill="1" applyBorder="1" applyAlignment="1">
      <alignment horizontal="center" vertical="center"/>
    </xf>
    <xf numFmtId="173" fontId="10" fillId="3" borderId="25" xfId="11" applyNumberFormat="1" applyFont="1" applyFill="1" applyBorder="1" applyAlignment="1">
      <alignment horizontal="center" vertical="center"/>
    </xf>
    <xf numFmtId="167" fontId="56" fillId="0" borderId="5" xfId="6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13" fillId="0" borderId="11" xfId="0" applyFont="1" applyBorder="1"/>
    <xf numFmtId="169" fontId="13" fillId="0" borderId="12" xfId="0" applyNumberFormat="1" applyFont="1" applyBorder="1"/>
    <xf numFmtId="169" fontId="13" fillId="0" borderId="42" xfId="0" applyNumberFormat="1" applyFont="1" applyBorder="1"/>
    <xf numFmtId="167" fontId="0" fillId="0" borderId="5" xfId="6" applyNumberFormat="1" applyFont="1" applyFill="1" applyBorder="1" applyAlignment="1">
      <alignment horizontal="center"/>
    </xf>
    <xf numFmtId="41" fontId="0" fillId="0" borderId="0" xfId="0" applyNumberFormat="1"/>
    <xf numFmtId="0" fontId="23" fillId="7" borderId="22" xfId="9" applyFont="1" applyFill="1" applyBorder="1" applyAlignment="1">
      <alignment horizontal="center"/>
    </xf>
    <xf numFmtId="0" fontId="10" fillId="10" borderId="6" xfId="9" applyFont="1" applyFill="1" applyBorder="1" applyAlignment="1">
      <alignment horizontal="center" vertical="center"/>
    </xf>
    <xf numFmtId="4" fontId="67" fillId="0" borderId="65" xfId="0" applyNumberFormat="1" applyFont="1" applyBorder="1" applyAlignment="1">
      <alignment horizontal="center" vertical="center"/>
    </xf>
    <xf numFmtId="187" fontId="0" fillId="0" borderId="0" xfId="0" applyNumberFormat="1"/>
    <xf numFmtId="186" fontId="0" fillId="0" borderId="0" xfId="0" applyNumberFormat="1"/>
    <xf numFmtId="3" fontId="67" fillId="0" borderId="65" xfId="0" applyNumberFormat="1" applyFont="1" applyBorder="1" applyAlignment="1">
      <alignment horizontal="center" vertical="center"/>
    </xf>
    <xf numFmtId="4" fontId="67" fillId="0" borderId="67" xfId="0" applyNumberFormat="1" applyFont="1" applyBorder="1" applyAlignment="1">
      <alignment horizontal="center" vertical="center"/>
    </xf>
    <xf numFmtId="0" fontId="67" fillId="0" borderId="65" xfId="0" applyFont="1" applyBorder="1" applyAlignment="1">
      <alignment horizontal="left" vertical="center"/>
    </xf>
    <xf numFmtId="0" fontId="67" fillId="0" borderId="67" xfId="0" applyFont="1" applyBorder="1" applyAlignment="1">
      <alignment horizontal="left" vertical="center"/>
    </xf>
    <xf numFmtId="3" fontId="67" fillId="0" borderId="67" xfId="0" applyNumberFormat="1" applyFont="1" applyBorder="1" applyAlignment="1">
      <alignment horizontal="center" vertical="center"/>
    </xf>
    <xf numFmtId="0" fontId="67" fillId="0" borderId="69" xfId="0" applyFont="1" applyBorder="1" applyAlignment="1">
      <alignment horizontal="left" vertical="center"/>
    </xf>
    <xf numFmtId="3" fontId="67" fillId="0" borderId="69" xfId="0" applyNumberFormat="1" applyFont="1" applyBorder="1" applyAlignment="1">
      <alignment horizontal="center" vertical="center"/>
    </xf>
    <xf numFmtId="4" fontId="67" fillId="0" borderId="69" xfId="0" applyNumberFormat="1" applyFont="1" applyBorder="1" applyAlignment="1">
      <alignment horizontal="center" vertical="center"/>
    </xf>
    <xf numFmtId="10" fontId="67" fillId="0" borderId="8" xfId="6" applyNumberFormat="1" applyFont="1" applyFill="1" applyBorder="1" applyAlignment="1">
      <alignment horizontal="center" vertical="center"/>
    </xf>
    <xf numFmtId="9" fontId="0" fillId="0" borderId="8" xfId="6" applyFont="1" applyBorder="1" applyAlignment="1">
      <alignment horizontal="center" vertical="center"/>
    </xf>
    <xf numFmtId="1" fontId="0" fillId="0" borderId="0" xfId="0" applyNumberFormat="1"/>
    <xf numFmtId="0" fontId="95" fillId="0" borderId="0" xfId="0" applyFont="1" applyAlignment="1">
      <alignment vertical="center"/>
    </xf>
    <xf numFmtId="0" fontId="92" fillId="17" borderId="48" xfId="0" applyFont="1" applyFill="1" applyBorder="1" applyAlignment="1">
      <alignment vertical="center"/>
    </xf>
    <xf numFmtId="0" fontId="92" fillId="17" borderId="35" xfId="0" applyFont="1" applyFill="1" applyBorder="1" applyAlignment="1">
      <alignment vertical="center"/>
    </xf>
    <xf numFmtId="0" fontId="92" fillId="17" borderId="40" xfId="0" applyFont="1" applyFill="1" applyBorder="1" applyAlignment="1">
      <alignment vertical="center"/>
    </xf>
    <xf numFmtId="0" fontId="20" fillId="17" borderId="22" xfId="9" applyFont="1" applyFill="1" applyBorder="1" applyAlignment="1">
      <alignment horizontal="center" vertical="center" wrapText="1"/>
    </xf>
    <xf numFmtId="0" fontId="20" fillId="17" borderId="46" xfId="9" applyFont="1" applyFill="1" applyBorder="1" applyAlignment="1">
      <alignment horizontal="center"/>
    </xf>
    <xf numFmtId="0" fontId="29" fillId="5" borderId="0" xfId="0" applyFont="1" applyFill="1"/>
    <xf numFmtId="0" fontId="5" fillId="0" borderId="34" xfId="0" applyFont="1" applyBorder="1" applyAlignment="1">
      <alignment vertical="center"/>
    </xf>
    <xf numFmtId="0" fontId="5" fillId="0" borderId="24" xfId="0" applyFont="1" applyBorder="1" applyAlignment="1">
      <alignment horizontal="center"/>
    </xf>
    <xf numFmtId="41" fontId="1" fillId="10" borderId="24" xfId="0" applyNumberFormat="1" applyFont="1" applyFill="1" applyBorder="1" applyAlignment="1">
      <alignment horizontal="right" vertical="center"/>
    </xf>
    <xf numFmtId="0" fontId="5" fillId="0" borderId="0" xfId="4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9" fontId="58" fillId="0" borderId="0" xfId="3" applyNumberFormat="1" applyFont="1" applyAlignment="1">
      <alignment horizontal="center"/>
    </xf>
    <xf numFmtId="43" fontId="9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/>
    </xf>
    <xf numFmtId="173" fontId="10" fillId="3" borderId="70" xfId="11" applyNumberFormat="1" applyFont="1" applyFill="1" applyBorder="1" applyAlignment="1">
      <alignment horizontal="center" vertical="center"/>
    </xf>
    <xf numFmtId="0" fontId="10" fillId="3" borderId="35" xfId="9" applyFont="1" applyFill="1" applyBorder="1" applyAlignment="1">
      <alignment vertical="center"/>
    </xf>
    <xf numFmtId="0" fontId="13" fillId="17" borderId="40" xfId="9" applyFont="1" applyFill="1" applyBorder="1"/>
    <xf numFmtId="0" fontId="15" fillId="2" borderId="0" xfId="0" applyFont="1" applyFill="1" applyAlignment="1">
      <alignment horizontal="center" vertical="center" wrapText="1"/>
    </xf>
    <xf numFmtId="170" fontId="1" fillId="0" borderId="0" xfId="0" applyNumberFormat="1" applyFont="1" applyAlignment="1">
      <alignment horizontal="center"/>
    </xf>
    <xf numFmtId="15" fontId="24" fillId="2" borderId="0" xfId="0" applyNumberFormat="1" applyFont="1" applyFill="1" applyAlignment="1">
      <alignment horizontal="center"/>
    </xf>
    <xf numFmtId="4" fontId="24" fillId="2" borderId="0" xfId="0" applyNumberFormat="1" applyFont="1" applyFill="1" applyAlignment="1">
      <alignment horizontal="center" vertical="center" wrapText="1"/>
    </xf>
    <xf numFmtId="17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center" vertical="center" wrapText="1"/>
    </xf>
    <xf numFmtId="41" fontId="5" fillId="0" borderId="0" xfId="0" applyNumberFormat="1" applyFont="1"/>
    <xf numFmtId="0" fontId="23" fillId="12" borderId="0" xfId="0" applyFont="1" applyFill="1"/>
    <xf numFmtId="41" fontId="20" fillId="12" borderId="0" xfId="0" applyNumberFormat="1" applyFont="1" applyFill="1"/>
    <xf numFmtId="174" fontId="10" fillId="0" borderId="0" xfId="9" applyNumberFormat="1" applyFont="1"/>
    <xf numFmtId="0" fontId="3" fillId="0" borderId="8" xfId="0" applyFont="1" applyBorder="1"/>
    <xf numFmtId="3" fontId="3" fillId="0" borderId="8" xfId="0" applyNumberFormat="1" applyFont="1" applyBorder="1"/>
    <xf numFmtId="3" fontId="0" fillId="0" borderId="32" xfId="0" applyNumberFormat="1" applyBorder="1"/>
    <xf numFmtId="3" fontId="0" fillId="0" borderId="1" xfId="0" applyNumberFormat="1" applyBorder="1"/>
    <xf numFmtId="3" fontId="0" fillId="0" borderId="29" xfId="0" applyNumberFormat="1" applyBorder="1"/>
    <xf numFmtId="0" fontId="96" fillId="0" borderId="29" xfId="0" applyFont="1" applyBorder="1"/>
    <xf numFmtId="3" fontId="0" fillId="0" borderId="31" xfId="0" applyNumberFormat="1" applyBorder="1"/>
    <xf numFmtId="3" fontId="0" fillId="0" borderId="27" xfId="0" applyNumberFormat="1" applyBorder="1"/>
    <xf numFmtId="0" fontId="96" fillId="0" borderId="27" xfId="0" applyFont="1" applyBorder="1"/>
    <xf numFmtId="3" fontId="3" fillId="0" borderId="39" xfId="0" applyNumberFormat="1" applyFont="1" applyBorder="1"/>
    <xf numFmtId="3" fontId="3" fillId="0" borderId="28" xfId="0" applyNumberFormat="1" applyFont="1" applyBorder="1"/>
    <xf numFmtId="3" fontId="3" fillId="0" borderId="38" xfId="0" applyNumberFormat="1" applyFont="1" applyBorder="1"/>
    <xf numFmtId="0" fontId="3" fillId="0" borderId="38" xfId="0" applyFont="1" applyBorder="1"/>
    <xf numFmtId="3" fontId="0" fillId="23" borderId="1" xfId="0" applyNumberFormat="1" applyFill="1" applyBorder="1"/>
    <xf numFmtId="3" fontId="0" fillId="23" borderId="0" xfId="0" applyNumberFormat="1" applyFill="1"/>
    <xf numFmtId="0" fontId="4" fillId="24" borderId="31" xfId="0" applyFont="1" applyFill="1" applyBorder="1" applyAlignment="1">
      <alignment horizontal="center"/>
    </xf>
    <xf numFmtId="0" fontId="4" fillId="24" borderId="0" xfId="0" applyFont="1" applyFill="1" applyAlignment="1">
      <alignment horizontal="center"/>
    </xf>
    <xf numFmtId="0" fontId="4" fillId="24" borderId="27" xfId="0" applyFont="1" applyFill="1" applyBorder="1" applyAlignment="1">
      <alignment horizontal="center"/>
    </xf>
    <xf numFmtId="0" fontId="4" fillId="24" borderId="28" xfId="0" applyFont="1" applyFill="1" applyBorder="1" applyAlignment="1">
      <alignment horizontal="centerContinuous" vertical="center"/>
    </xf>
    <xf numFmtId="0" fontId="4" fillId="24" borderId="39" xfId="0" applyFont="1" applyFill="1" applyBorder="1" applyAlignment="1">
      <alignment horizontal="centerContinuous" vertical="center"/>
    </xf>
    <xf numFmtId="0" fontId="4" fillId="24" borderId="38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left" indent="1"/>
    </xf>
    <xf numFmtId="0" fontId="3" fillId="0" borderId="8" xfId="0" applyFont="1" applyBorder="1" applyAlignment="1">
      <alignment horizontal="left" indent="1"/>
    </xf>
    <xf numFmtId="0" fontId="3" fillId="0" borderId="75" xfId="0" applyFont="1" applyBorder="1" applyAlignment="1">
      <alignment horizontal="left"/>
    </xf>
    <xf numFmtId="0" fontId="3" fillId="0" borderId="0" xfId="0" applyFont="1" applyAlignment="1">
      <alignment horizontal="left"/>
    </xf>
    <xf numFmtId="9" fontId="0" fillId="0" borderId="0" xfId="6" applyFont="1" applyBorder="1"/>
    <xf numFmtId="3" fontId="0" fillId="26" borderId="0" xfId="0" applyNumberFormat="1" applyFill="1"/>
    <xf numFmtId="0" fontId="0" fillId="0" borderId="0" xfId="0" applyAlignment="1">
      <alignment horizontal="left" indent="1"/>
    </xf>
    <xf numFmtId="3" fontId="2" fillId="26" borderId="0" xfId="0" applyNumberFormat="1" applyFont="1" applyFill="1"/>
    <xf numFmtId="3" fontId="0" fillId="26" borderId="8" xfId="0" applyNumberFormat="1" applyFill="1" applyBorder="1"/>
    <xf numFmtId="0" fontId="4" fillId="13" borderId="8" xfId="0" applyFont="1" applyFill="1" applyBorder="1" applyAlignment="1">
      <alignment horizontal="centerContinuous"/>
    </xf>
    <xf numFmtId="0" fontId="4" fillId="13" borderId="8" xfId="0" applyFont="1" applyFill="1" applyBorder="1" applyAlignment="1">
      <alignment horizontal="center" vertical="center" wrapText="1"/>
    </xf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21" borderId="0" xfId="0" applyFont="1" applyFill="1"/>
    <xf numFmtId="0" fontId="97" fillId="16" borderId="0" xfId="0" applyFont="1" applyFill="1"/>
    <xf numFmtId="3" fontId="97" fillId="16" borderId="0" xfId="0" applyNumberFormat="1" applyFont="1" applyFill="1"/>
    <xf numFmtId="3" fontId="97" fillId="0" borderId="0" xfId="0" applyNumberFormat="1" applyFont="1"/>
    <xf numFmtId="3" fontId="101" fillId="0" borderId="21" xfId="4" applyNumberFormat="1" applyFont="1" applyBorder="1"/>
    <xf numFmtId="3" fontId="101" fillId="0" borderId="74" xfId="4" applyNumberFormat="1" applyFont="1" applyBorder="1"/>
    <xf numFmtId="3" fontId="102" fillId="0" borderId="5" xfId="4" applyNumberFormat="1" applyFont="1" applyBorder="1"/>
    <xf numFmtId="3" fontId="99" fillId="0" borderId="0" xfId="0" applyNumberFormat="1" applyFont="1"/>
    <xf numFmtId="3" fontId="99" fillId="0" borderId="5" xfId="4" applyNumberFormat="1" applyFont="1" applyBorder="1"/>
    <xf numFmtId="3" fontId="99" fillId="0" borderId="6" xfId="4" applyNumberFormat="1" applyFont="1" applyBorder="1"/>
    <xf numFmtId="3" fontId="103" fillId="0" borderId="5" xfId="4" applyNumberFormat="1" applyFont="1" applyBorder="1"/>
    <xf numFmtId="3" fontId="103" fillId="0" borderId="6" xfId="4" applyNumberFormat="1" applyFont="1" applyBorder="1"/>
    <xf numFmtId="3" fontId="97" fillId="0" borderId="5" xfId="0" applyNumberFormat="1" applyFont="1" applyBorder="1"/>
    <xf numFmtId="3" fontId="103" fillId="0" borderId="0" xfId="4" applyNumberFormat="1" applyFont="1"/>
    <xf numFmtId="3" fontId="102" fillId="0" borderId="0" xfId="4" applyNumberFormat="1" applyFont="1"/>
    <xf numFmtId="0" fontId="104" fillId="0" borderId="0" xfId="5" applyFont="1"/>
    <xf numFmtId="3" fontId="101" fillId="0" borderId="5" xfId="4" applyNumberFormat="1" applyFont="1" applyBorder="1"/>
    <xf numFmtId="3" fontId="101" fillId="0" borderId="0" xfId="4" applyNumberFormat="1" applyFont="1"/>
    <xf numFmtId="3" fontId="98" fillId="0" borderId="0" xfId="0" applyNumberFormat="1" applyFont="1"/>
    <xf numFmtId="0" fontId="97" fillId="0" borderId="0" xfId="0" applyFont="1" applyAlignment="1">
      <alignment horizontal="left"/>
    </xf>
    <xf numFmtId="4" fontId="97" fillId="0" borderId="0" xfId="0" applyNumberFormat="1" applyFont="1"/>
    <xf numFmtId="4" fontId="97" fillId="0" borderId="5" xfId="0" applyNumberFormat="1" applyFont="1" applyBorder="1"/>
    <xf numFmtId="3" fontId="102" fillId="0" borderId="6" xfId="4" applyNumberFormat="1" applyFont="1" applyBorder="1"/>
    <xf numFmtId="3" fontId="102" fillId="0" borderId="5" xfId="5" applyNumberFormat="1" applyFont="1" applyBorder="1" applyAlignment="1">
      <alignment horizontal="right"/>
    </xf>
    <xf numFmtId="3" fontId="102" fillId="0" borderId="5" xfId="5" applyNumberFormat="1" applyFont="1" applyBorder="1"/>
    <xf numFmtId="3" fontId="105" fillId="0" borderId="5" xfId="5" applyNumberFormat="1" applyFont="1" applyBorder="1"/>
    <xf numFmtId="3" fontId="105" fillId="0" borderId="5" xfId="4" applyNumberFormat="1" applyFont="1" applyBorder="1"/>
    <xf numFmtId="3" fontId="103" fillId="0" borderId="5" xfId="4" applyNumberFormat="1" applyFont="1" applyBorder="1" applyAlignment="1">
      <alignment horizontal="right"/>
    </xf>
    <xf numFmtId="0" fontId="106" fillId="25" borderId="0" xfId="4" applyFont="1" applyFill="1" applyAlignment="1">
      <alignment horizontal="center"/>
    </xf>
    <xf numFmtId="3" fontId="106" fillId="25" borderId="8" xfId="4" applyNumberFormat="1" applyFont="1" applyFill="1" applyBorder="1"/>
    <xf numFmtId="4" fontId="107" fillId="0" borderId="0" xfId="4" applyNumberFormat="1" applyFont="1"/>
    <xf numFmtId="4" fontId="108" fillId="0" borderId="0" xfId="4" applyNumberFormat="1" applyFont="1"/>
    <xf numFmtId="4" fontId="109" fillId="0" borderId="0" xfId="4" applyNumberFormat="1" applyFont="1"/>
    <xf numFmtId="0" fontId="103" fillId="0" borderId="0" xfId="0" applyFont="1" applyAlignment="1">
      <alignment horizontal="left"/>
    </xf>
    <xf numFmtId="0" fontId="103" fillId="0" borderId="0" xfId="4" applyFont="1"/>
    <xf numFmtId="0" fontId="105" fillId="0" borderId="0" xfId="4" applyFont="1"/>
    <xf numFmtId="0" fontId="105" fillId="0" borderId="0" xfId="5" applyFont="1"/>
    <xf numFmtId="0" fontId="103" fillId="0" borderId="0" xfId="5" applyFont="1"/>
    <xf numFmtId="0" fontId="99" fillId="0" borderId="0" xfId="5" applyFont="1"/>
    <xf numFmtId="4" fontId="99" fillId="0" borderId="0" xfId="4" applyNumberFormat="1" applyFont="1"/>
    <xf numFmtId="0" fontId="106" fillId="25" borderId="11" xfId="4" applyFont="1" applyFill="1" applyBorder="1" applyAlignment="1">
      <alignment horizontal="center"/>
    </xf>
    <xf numFmtId="0" fontId="104" fillId="0" borderId="0" xfId="4" applyFont="1"/>
    <xf numFmtId="3" fontId="110" fillId="0" borderId="5" xfId="4" applyNumberFormat="1" applyFont="1" applyBorder="1"/>
    <xf numFmtId="0" fontId="109" fillId="0" borderId="0" xfId="4" applyFont="1"/>
    <xf numFmtId="0" fontId="99" fillId="0" borderId="0" xfId="4" applyFont="1"/>
    <xf numFmtId="0" fontId="103" fillId="0" borderId="0" xfId="0" applyFont="1"/>
    <xf numFmtId="0" fontId="106" fillId="25" borderId="0" xfId="4" applyFont="1" applyFill="1"/>
    <xf numFmtId="3" fontId="106" fillId="25" borderId="21" xfId="4" applyNumberFormat="1" applyFont="1" applyFill="1" applyBorder="1"/>
    <xf numFmtId="3" fontId="106" fillId="25" borderId="0" xfId="4" applyNumberFormat="1" applyFont="1" applyFill="1"/>
    <xf numFmtId="3" fontId="99" fillId="0" borderId="0" xfId="4" applyNumberFormat="1" applyFont="1"/>
    <xf numFmtId="3" fontId="110" fillId="0" borderId="0" xfId="4" applyNumberFormat="1" applyFont="1"/>
    <xf numFmtId="3" fontId="102" fillId="0" borderId="0" xfId="5" applyNumberFormat="1" applyFont="1" applyAlignment="1">
      <alignment horizontal="right"/>
    </xf>
    <xf numFmtId="3" fontId="102" fillId="0" borderId="0" xfId="5" applyNumberFormat="1" applyFont="1"/>
    <xf numFmtId="3" fontId="105" fillId="0" borderId="0" xfId="5" applyNumberFormat="1" applyFont="1"/>
    <xf numFmtId="3" fontId="105" fillId="0" borderId="0" xfId="4" applyNumberFormat="1" applyFont="1"/>
    <xf numFmtId="3" fontId="103" fillId="0" borderId="0" xfId="4" applyNumberFormat="1" applyFont="1" applyAlignment="1">
      <alignment horizontal="right"/>
    </xf>
    <xf numFmtId="0" fontId="70" fillId="0" borderId="0" xfId="0" applyFont="1"/>
    <xf numFmtId="0" fontId="44" fillId="0" borderId="8" xfId="0" applyFont="1" applyBorder="1"/>
    <xf numFmtId="3" fontId="44" fillId="0" borderId="8" xfId="0" applyNumberFormat="1" applyFont="1" applyBorder="1"/>
    <xf numFmtId="0" fontId="15" fillId="13" borderId="8" xfId="0" applyFont="1" applyFill="1" applyBorder="1" applyAlignment="1">
      <alignment horizontal="center"/>
    </xf>
    <xf numFmtId="0" fontId="69" fillId="26" borderId="0" xfId="0" applyFont="1" applyFill="1"/>
    <xf numFmtId="0" fontId="0" fillId="26" borderId="0" xfId="0" applyFill="1"/>
    <xf numFmtId="3" fontId="99" fillId="16" borderId="0" xfId="0" applyNumberFormat="1" applyFont="1" applyFill="1"/>
    <xf numFmtId="0" fontId="14" fillId="16" borderId="0" xfId="0" applyFont="1" applyFill="1" applyAlignment="1">
      <alignment horizontal="left"/>
    </xf>
    <xf numFmtId="0" fontId="14" fillId="0" borderId="0" xfId="0" applyFont="1" applyAlignment="1">
      <alignment horizontal="right"/>
    </xf>
    <xf numFmtId="4" fontId="14" fillId="0" borderId="0" xfId="0" applyNumberFormat="1" applyFont="1"/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94" fillId="16" borderId="0" xfId="0" applyFont="1" applyFill="1" applyAlignment="1">
      <alignment horizontal="center" vertical="center"/>
    </xf>
    <xf numFmtId="1" fontId="9" fillId="17" borderId="82" xfId="0" applyNumberFormat="1" applyFont="1" applyFill="1" applyBorder="1" applyAlignment="1">
      <alignment horizontal="center" vertical="center" wrapText="1"/>
    </xf>
    <xf numFmtId="0" fontId="9" fillId="17" borderId="82" xfId="0" applyFont="1" applyFill="1" applyBorder="1" applyAlignment="1">
      <alignment horizontal="center" vertical="center"/>
    </xf>
    <xf numFmtId="1" fontId="9" fillId="17" borderId="83" xfId="0" applyNumberFormat="1" applyFont="1" applyFill="1" applyBorder="1" applyAlignment="1">
      <alignment horizontal="center" vertical="center" wrapText="1"/>
    </xf>
    <xf numFmtId="0" fontId="1" fillId="0" borderId="0" xfId="14" applyFont="1"/>
    <xf numFmtId="3" fontId="20" fillId="12" borderId="22" xfId="7" applyNumberFormat="1" applyFont="1" applyFill="1" applyBorder="1"/>
    <xf numFmtId="3" fontId="13" fillId="0" borderId="5" xfId="7" applyNumberFormat="1" applyFont="1" applyBorder="1"/>
    <xf numFmtId="3" fontId="8" fillId="0" borderId="30" xfId="7" applyNumberFormat="1" applyFont="1" applyBorder="1" applyAlignment="1">
      <alignment horizontal="right"/>
    </xf>
    <xf numFmtId="3" fontId="13" fillId="0" borderId="14" xfId="7" applyNumberFormat="1" applyFont="1" applyBorder="1"/>
    <xf numFmtId="3" fontId="3" fillId="0" borderId="0" xfId="14" applyNumberFormat="1" applyFont="1"/>
    <xf numFmtId="0" fontId="3" fillId="0" borderId="0" xfId="14" applyFont="1"/>
    <xf numFmtId="167" fontId="3" fillId="12" borderId="73" xfId="15" applyNumberFormat="1" applyFont="1" applyFill="1" applyBorder="1" applyAlignment="1">
      <alignment horizontal="right"/>
    </xf>
    <xf numFmtId="167" fontId="3" fillId="12" borderId="71" xfId="15" applyNumberFormat="1" applyFont="1" applyFill="1" applyBorder="1" applyAlignment="1">
      <alignment horizontal="right"/>
    </xf>
    <xf numFmtId="3" fontId="3" fillId="12" borderId="71" xfId="14" applyNumberFormat="1" applyFont="1" applyFill="1" applyBorder="1"/>
    <xf numFmtId="0" fontId="3" fillId="12" borderId="70" xfId="14" applyFont="1" applyFill="1" applyBorder="1" applyAlignment="1">
      <alignment horizontal="left"/>
    </xf>
    <xf numFmtId="167" fontId="1" fillId="0" borderId="9" xfId="15" applyNumberFormat="1" applyFont="1" applyBorder="1" applyAlignment="1">
      <alignment horizontal="right"/>
    </xf>
    <xf numFmtId="167" fontId="1" fillId="0" borderId="5" xfId="15" applyNumberFormat="1" applyFont="1" applyBorder="1" applyAlignment="1">
      <alignment horizontal="right"/>
    </xf>
    <xf numFmtId="3" fontId="1" fillId="0" borderId="5" xfId="14" applyNumberFormat="1" applyFont="1" applyBorder="1"/>
    <xf numFmtId="186" fontId="1" fillId="0" borderId="5" xfId="14" applyNumberFormat="1" applyFont="1" applyBorder="1"/>
    <xf numFmtId="0" fontId="1" fillId="0" borderId="59" xfId="14" applyFont="1" applyBorder="1"/>
    <xf numFmtId="167" fontId="1" fillId="0" borderId="84" xfId="15" applyNumberFormat="1" applyFont="1" applyBorder="1" applyAlignment="1">
      <alignment horizontal="right"/>
    </xf>
    <xf numFmtId="167" fontId="1" fillId="0" borderId="85" xfId="15" applyNumberFormat="1" applyFont="1" applyBorder="1" applyAlignment="1">
      <alignment horizontal="right"/>
    </xf>
    <xf numFmtId="3" fontId="1" fillId="0" borderId="85" xfId="14" applyNumberFormat="1" applyFont="1" applyBorder="1"/>
    <xf numFmtId="0" fontId="1" fillId="0" borderId="86" xfId="14" applyFont="1" applyBorder="1"/>
    <xf numFmtId="0" fontId="69" fillId="0" borderId="0" xfId="14" applyFont="1"/>
    <xf numFmtId="9" fontId="1" fillId="0" borderId="0" xfId="6" applyFont="1"/>
    <xf numFmtId="3" fontId="1" fillId="0" borderId="0" xfId="14" applyNumberFormat="1" applyFont="1"/>
    <xf numFmtId="167" fontId="3" fillId="0" borderId="25" xfId="14" applyNumberFormat="1" applyFont="1" applyBorder="1" applyAlignment="1">
      <alignment horizontal="right"/>
    </xf>
    <xf numFmtId="167" fontId="3" fillId="0" borderId="24" xfId="14" applyNumberFormat="1" applyFont="1" applyBorder="1" applyAlignment="1">
      <alignment horizontal="right"/>
    </xf>
    <xf numFmtId="3" fontId="3" fillId="0" borderId="24" xfId="14" applyNumberFormat="1" applyFont="1" applyBorder="1" applyAlignment="1">
      <alignment horizontal="right"/>
    </xf>
    <xf numFmtId="0" fontId="3" fillId="0" borderId="24" xfId="14" applyFont="1" applyBorder="1"/>
    <xf numFmtId="3" fontId="3" fillId="0" borderId="24" xfId="14" applyNumberFormat="1" applyFont="1" applyBorder="1"/>
    <xf numFmtId="0" fontId="1" fillId="0" borderId="24" xfId="14" applyFont="1" applyBorder="1"/>
    <xf numFmtId="0" fontId="9" fillId="17" borderId="34" xfId="0" applyFont="1" applyFill="1" applyBorder="1" applyAlignment="1">
      <alignment horizontal="center" vertical="center" wrapText="1"/>
    </xf>
    <xf numFmtId="188" fontId="3" fillId="0" borderId="24" xfId="6" applyNumberFormat="1" applyFont="1" applyBorder="1"/>
    <xf numFmtId="3" fontId="1" fillId="0" borderId="0" xfId="14" applyNumberFormat="1" applyFont="1" applyAlignment="1">
      <alignment horizontal="right"/>
    </xf>
    <xf numFmtId="167" fontId="1" fillId="0" borderId="0" xfId="15" applyNumberFormat="1" applyFont="1"/>
    <xf numFmtId="188" fontId="1" fillId="0" borderId="0" xfId="6" applyNumberFormat="1" applyFont="1"/>
    <xf numFmtId="3" fontId="3" fillId="12" borderId="71" xfId="14" applyNumberFormat="1" applyFont="1" applyFill="1" applyBorder="1" applyAlignment="1">
      <alignment horizontal="right"/>
    </xf>
    <xf numFmtId="3" fontId="1" fillId="0" borderId="5" xfId="14" applyNumberFormat="1" applyFont="1" applyBorder="1" applyAlignment="1">
      <alignment horizontal="right"/>
    </xf>
    <xf numFmtId="0" fontId="1" fillId="0" borderId="5" xfId="14" applyFont="1" applyBorder="1"/>
    <xf numFmtId="9" fontId="2" fillId="0" borderId="0" xfId="14" applyNumberFormat="1" applyFont="1"/>
    <xf numFmtId="0" fontId="2" fillId="0" borderId="0" xfId="14" applyFont="1"/>
    <xf numFmtId="3" fontId="1" fillId="0" borderId="85" xfId="14" applyNumberFormat="1" applyFont="1" applyBorder="1" applyAlignment="1">
      <alignment horizontal="right"/>
    </xf>
    <xf numFmtId="0" fontId="1" fillId="0" borderId="0" xfId="14" applyFont="1" applyAlignment="1">
      <alignment horizontal="center" vertical="center" wrapText="1"/>
    </xf>
    <xf numFmtId="0" fontId="1" fillId="0" borderId="0" xfId="0" applyFont="1" applyAlignment="1">
      <alignment horizontal="centerContinuous" vertical="center"/>
    </xf>
    <xf numFmtId="189" fontId="0" fillId="0" borderId="0" xfId="0" applyNumberFormat="1"/>
    <xf numFmtId="3" fontId="0" fillId="0" borderId="67" xfId="0" applyNumberFormat="1" applyBorder="1" applyAlignment="1">
      <alignment horizontal="left" vertical="center" wrapText="1"/>
    </xf>
    <xf numFmtId="186" fontId="5" fillId="0" borderId="67" xfId="0" applyNumberFormat="1" applyFont="1" applyBorder="1" applyAlignment="1">
      <alignment horizontal="center" vertical="center"/>
    </xf>
    <xf numFmtId="3" fontId="0" fillId="0" borderId="65" xfId="0" applyNumberFormat="1" applyBorder="1" applyAlignment="1">
      <alignment horizontal="left" vertical="center" wrapText="1"/>
    </xf>
    <xf numFmtId="3" fontId="5" fillId="0" borderId="65" xfId="0" applyNumberFormat="1" applyFont="1" applyBorder="1" applyAlignment="1">
      <alignment horizontal="center" vertical="center"/>
    </xf>
    <xf numFmtId="4" fontId="5" fillId="0" borderId="65" xfId="0" applyNumberFormat="1" applyFont="1" applyBorder="1" applyAlignment="1">
      <alignment horizontal="center" vertical="center"/>
    </xf>
    <xf numFmtId="3" fontId="0" fillId="0" borderId="65" xfId="0" applyNumberFormat="1" applyBorder="1" applyAlignment="1">
      <alignment horizontal="left" vertical="center"/>
    </xf>
    <xf numFmtId="3" fontId="0" fillId="0" borderId="69" xfId="0" applyNumberFormat="1" applyBorder="1" applyAlignment="1">
      <alignment horizontal="left" vertical="center" wrapText="1"/>
    </xf>
    <xf numFmtId="3" fontId="5" fillId="0" borderId="68" xfId="0" applyNumberFormat="1" applyFont="1" applyBorder="1" applyAlignment="1">
      <alignment horizontal="center" vertical="center"/>
    </xf>
    <xf numFmtId="3" fontId="0" fillId="0" borderId="68" xfId="0" applyNumberFormat="1" applyBorder="1" applyAlignment="1">
      <alignment horizontal="left" vertical="center"/>
    </xf>
    <xf numFmtId="4" fontId="5" fillId="0" borderId="67" xfId="0" applyNumberFormat="1" applyFont="1" applyBorder="1" applyAlignment="1">
      <alignment horizontal="center" vertical="center"/>
    </xf>
    <xf numFmtId="3" fontId="5" fillId="0" borderId="67" xfId="0" applyNumberFormat="1" applyFont="1" applyBorder="1" applyAlignment="1">
      <alignment horizontal="center" vertical="center"/>
    </xf>
    <xf numFmtId="3" fontId="5" fillId="0" borderId="66" xfId="0" applyNumberFormat="1" applyFont="1" applyBorder="1" applyAlignment="1">
      <alignment horizontal="center" vertical="center"/>
    </xf>
    <xf numFmtId="3" fontId="0" fillId="0" borderId="66" xfId="0" applyNumberFormat="1" applyBorder="1" applyAlignment="1">
      <alignment horizontal="left" vertical="center" wrapText="1"/>
    </xf>
    <xf numFmtId="186" fontId="5" fillId="0" borderId="65" xfId="0" applyNumberFormat="1" applyFont="1" applyBorder="1" applyAlignment="1">
      <alignment horizontal="center" vertical="center"/>
    </xf>
    <xf numFmtId="186" fontId="5" fillId="0" borderId="69" xfId="0" applyNumberFormat="1" applyFont="1" applyBorder="1" applyAlignment="1">
      <alignment horizontal="center" vertical="center"/>
    </xf>
    <xf numFmtId="3" fontId="0" fillId="0" borderId="69" xfId="0" applyNumberFormat="1" applyBorder="1" applyAlignment="1">
      <alignment horizontal="left" vertical="center"/>
    </xf>
    <xf numFmtId="0" fontId="112" fillId="13" borderId="87" xfId="0" applyFont="1" applyFill="1" applyBorder="1" applyAlignment="1">
      <alignment horizontal="center" vertical="center"/>
    </xf>
    <xf numFmtId="43" fontId="0" fillId="0" borderId="0" xfId="7" applyFont="1"/>
    <xf numFmtId="3" fontId="0" fillId="0" borderId="0" xfId="0" applyNumberFormat="1" applyAlignment="1">
      <alignment horizontal="center" vertical="center"/>
    </xf>
    <xf numFmtId="3" fontId="67" fillId="0" borderId="0" xfId="0" applyNumberFormat="1" applyFont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0" fillId="0" borderId="65" xfId="0" applyNumberFormat="1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3" fontId="2" fillId="0" borderId="65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190" fontId="0" fillId="0" borderId="0" xfId="0" applyNumberFormat="1"/>
    <xf numFmtId="171" fontId="3" fillId="0" borderId="0" xfId="7" applyNumberFormat="1" applyFont="1"/>
    <xf numFmtId="3" fontId="93" fillId="0" borderId="61" xfId="0" applyNumberFormat="1" applyFont="1" applyBorder="1" applyAlignment="1">
      <alignment horizontal="center" vertical="center"/>
    </xf>
    <xf numFmtId="0" fontId="93" fillId="0" borderId="60" xfId="0" applyFont="1" applyBorder="1" applyAlignment="1">
      <alignment horizontal="left" vertical="center"/>
    </xf>
    <xf numFmtId="0" fontId="113" fillId="13" borderId="87" xfId="0" applyFont="1" applyFill="1" applyBorder="1" applyAlignment="1">
      <alignment horizontal="center" vertical="center"/>
    </xf>
    <xf numFmtId="3" fontId="3" fillId="0" borderId="69" xfId="0" applyNumberFormat="1" applyFont="1" applyBorder="1" applyAlignment="1">
      <alignment horizontal="center" vertical="center"/>
    </xf>
    <xf numFmtId="0" fontId="3" fillId="0" borderId="69" xfId="0" applyFont="1" applyBorder="1" applyAlignment="1">
      <alignment horizontal="left" vertical="center"/>
    </xf>
    <xf numFmtId="10" fontId="0" fillId="0" borderId="8" xfId="6" applyNumberFormat="1" applyFont="1" applyFill="1" applyBorder="1" applyAlignment="1">
      <alignment horizontal="center" vertical="center"/>
    </xf>
    <xf numFmtId="9" fontId="3" fillId="0" borderId="0" xfId="6" applyFont="1" applyBorder="1" applyAlignment="1">
      <alignment horizontal="center" vertical="center"/>
    </xf>
    <xf numFmtId="3" fontId="0" fillId="0" borderId="66" xfId="0" applyNumberFormat="1" applyBorder="1" applyAlignment="1">
      <alignment horizontal="center" vertical="center"/>
    </xf>
    <xf numFmtId="0" fontId="0" fillId="0" borderId="66" xfId="0" applyBorder="1" applyAlignment="1">
      <alignment horizontal="left" vertical="center"/>
    </xf>
    <xf numFmtId="3" fontId="0" fillId="0" borderId="69" xfId="0" applyNumberFormat="1" applyBorder="1" applyAlignment="1">
      <alignment horizontal="center" vertical="center"/>
    </xf>
    <xf numFmtId="0" fontId="0" fillId="0" borderId="69" xfId="0" applyBorder="1" applyAlignment="1">
      <alignment horizontal="left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4" fontId="0" fillId="0" borderId="67" xfId="0" applyNumberFormat="1" applyBorder="1" applyAlignment="1">
      <alignment horizontal="center" vertical="center"/>
    </xf>
    <xf numFmtId="3" fontId="0" fillId="0" borderId="67" xfId="0" applyNumberFormat="1" applyBorder="1" applyAlignment="1">
      <alignment horizontal="center" vertical="center"/>
    </xf>
    <xf numFmtId="0" fontId="0" fillId="0" borderId="67" xfId="0" applyBorder="1" applyAlignment="1">
      <alignment horizontal="left" vertical="center"/>
    </xf>
    <xf numFmtId="4" fontId="0" fillId="0" borderId="65" xfId="0" applyNumberFormat="1" applyBorder="1" applyAlignment="1">
      <alignment horizontal="center" vertical="center"/>
    </xf>
    <xf numFmtId="4" fontId="0" fillId="0" borderId="69" xfId="0" applyNumberFormat="1" applyBorder="1" applyAlignment="1">
      <alignment horizontal="center" vertical="center"/>
    </xf>
    <xf numFmtId="191" fontId="0" fillId="0" borderId="0" xfId="0" applyNumberFormat="1"/>
    <xf numFmtId="3" fontId="0" fillId="0" borderId="64" xfId="0" applyNumberFormat="1" applyBorder="1" applyAlignment="1">
      <alignment horizontal="center" vertical="center"/>
    </xf>
    <xf numFmtId="0" fontId="0" fillId="0" borderId="64" xfId="0" applyBorder="1" applyAlignment="1">
      <alignment horizontal="left" vertical="center"/>
    </xf>
    <xf numFmtId="0" fontId="114" fillId="17" borderId="22" xfId="0" applyFont="1" applyFill="1" applyBorder="1" applyAlignment="1">
      <alignment horizontal="center" vertical="center"/>
    </xf>
    <xf numFmtId="0" fontId="2" fillId="16" borderId="0" xfId="0" applyFont="1" applyFill="1"/>
    <xf numFmtId="0" fontId="3" fillId="0" borderId="7" xfId="0" applyFont="1" applyBorder="1"/>
    <xf numFmtId="0" fontId="0" fillId="0" borderId="67" xfId="0" applyBorder="1"/>
    <xf numFmtId="0" fontId="0" fillId="0" borderId="65" xfId="0" applyBorder="1"/>
    <xf numFmtId="0" fontId="0" fillId="0" borderId="68" xfId="0" applyBorder="1"/>
    <xf numFmtId="0" fontId="0" fillId="0" borderId="8" xfId="0" applyBorder="1" applyAlignment="1">
      <alignment horizontal="centerContinuous"/>
    </xf>
    <xf numFmtId="0" fontId="3" fillId="0" borderId="8" xfId="0" applyFont="1" applyBorder="1" applyAlignment="1">
      <alignment horizontal="centerContinuous" vertical="center"/>
    </xf>
    <xf numFmtId="0" fontId="114" fillId="17" borderId="46" xfId="0" applyFont="1" applyFill="1" applyBorder="1" applyAlignment="1">
      <alignment horizontal="center" vertical="center"/>
    </xf>
    <xf numFmtId="0" fontId="0" fillId="0" borderId="66" xfId="0" applyBorder="1"/>
    <xf numFmtId="0" fontId="114" fillId="17" borderId="40" xfId="0" applyFont="1" applyFill="1" applyBorder="1" applyAlignment="1">
      <alignment vertical="center"/>
    </xf>
    <xf numFmtId="0" fontId="114" fillId="17" borderId="35" xfId="0" applyFont="1" applyFill="1" applyBorder="1" applyAlignment="1">
      <alignment vertical="center"/>
    </xf>
    <xf numFmtId="0" fontId="114" fillId="17" borderId="48" xfId="0" applyFont="1" applyFill="1" applyBorder="1" applyAlignment="1">
      <alignment vertical="center"/>
    </xf>
    <xf numFmtId="3" fontId="0" fillId="0" borderId="5" xfId="0" applyNumberFormat="1" applyBorder="1" applyAlignment="1">
      <alignment horizontal="center" vertical="center"/>
    </xf>
    <xf numFmtId="0" fontId="0" fillId="0" borderId="69" xfId="0" applyBorder="1"/>
    <xf numFmtId="0" fontId="0" fillId="0" borderId="5" xfId="0" applyBorder="1"/>
    <xf numFmtId="3" fontId="0" fillId="0" borderId="8" xfId="0" applyNumberFormat="1" applyBorder="1" applyAlignment="1">
      <alignment horizontal="center"/>
    </xf>
    <xf numFmtId="0" fontId="3" fillId="0" borderId="7" xfId="0" applyFont="1" applyBorder="1" applyAlignment="1">
      <alignment horizontal="left"/>
    </xf>
    <xf numFmtId="3" fontId="0" fillId="0" borderId="7" xfId="0" applyNumberFormat="1" applyBorder="1" applyAlignment="1">
      <alignment horizontal="center"/>
    </xf>
    <xf numFmtId="3" fontId="3" fillId="9" borderId="8" xfId="0" applyNumberFormat="1" applyFont="1" applyFill="1" applyBorder="1" applyAlignment="1">
      <alignment horizontal="center"/>
    </xf>
    <xf numFmtId="0" fontId="3" fillId="9" borderId="42" xfId="0" applyFont="1" applyFill="1" applyBorder="1" applyAlignment="1">
      <alignment horizontal="center" vertical="center"/>
    </xf>
    <xf numFmtId="3" fontId="0" fillId="9" borderId="8" xfId="0" applyNumberFormat="1" applyFill="1" applyBorder="1" applyAlignment="1">
      <alignment horizontal="center"/>
    </xf>
    <xf numFmtId="0" fontId="0" fillId="9" borderId="42" xfId="0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" fontId="5" fillId="9" borderId="8" xfId="0" applyNumberFormat="1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0" fontId="0" fillId="0" borderId="37" xfId="0" applyNumberFormat="1" applyBorder="1" applyAlignment="1">
      <alignment horizontal="center" vertical="center"/>
    </xf>
    <xf numFmtId="10" fontId="0" fillId="0" borderId="88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0" fontId="0" fillId="0" borderId="72" xfId="0" applyNumberFormat="1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112" fillId="13" borderId="89" xfId="0" applyFont="1" applyFill="1" applyBorder="1" applyAlignment="1">
      <alignment vertical="center"/>
    </xf>
    <xf numFmtId="0" fontId="112" fillId="13" borderId="90" xfId="0" applyFont="1" applyFill="1" applyBorder="1" applyAlignment="1">
      <alignment vertical="center"/>
    </xf>
    <xf numFmtId="0" fontId="112" fillId="13" borderId="91" xfId="0" applyFont="1" applyFill="1" applyBorder="1" applyAlignment="1">
      <alignment vertical="center"/>
    </xf>
    <xf numFmtId="10" fontId="3" fillId="0" borderId="67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left" vertical="center"/>
    </xf>
    <xf numFmtId="10" fontId="3" fillId="0" borderId="66" xfId="0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left" vertical="center"/>
    </xf>
    <xf numFmtId="10" fontId="0" fillId="0" borderId="65" xfId="0" applyNumberFormat="1" applyBorder="1" applyAlignment="1">
      <alignment horizontal="center" vertical="center"/>
    </xf>
    <xf numFmtId="10" fontId="0" fillId="0" borderId="69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10" fontId="3" fillId="0" borderId="66" xfId="6" applyNumberFormat="1" applyFont="1" applyBorder="1" applyAlignment="1">
      <alignment horizontal="center" vertical="center"/>
    </xf>
    <xf numFmtId="10" fontId="0" fillId="0" borderId="65" xfId="6" applyNumberFormat="1" applyFont="1" applyBorder="1" applyAlignment="1">
      <alignment horizontal="center" vertical="center"/>
    </xf>
    <xf numFmtId="10" fontId="0" fillId="0" borderId="68" xfId="0" applyNumberFormat="1" applyBorder="1" applyAlignment="1">
      <alignment horizontal="center" vertical="center"/>
    </xf>
    <xf numFmtId="10" fontId="0" fillId="0" borderId="68" xfId="6" applyNumberFormat="1" applyFont="1" applyBorder="1" applyAlignment="1">
      <alignment horizontal="center" vertical="center"/>
    </xf>
    <xf numFmtId="0" fontId="0" fillId="0" borderId="68" xfId="0" applyBorder="1" applyAlignment="1">
      <alignment horizontal="left" vertical="center"/>
    </xf>
    <xf numFmtId="0" fontId="112" fillId="13" borderId="0" xfId="0" applyFont="1" applyFill="1" applyAlignment="1">
      <alignment horizontal="center" vertical="center"/>
    </xf>
    <xf numFmtId="0" fontId="112" fillId="13" borderId="92" xfId="0" applyFont="1" applyFill="1" applyBorder="1" applyAlignment="1">
      <alignment horizontal="center" vertical="center"/>
    </xf>
    <xf numFmtId="9" fontId="0" fillId="0" borderId="67" xfId="0" applyNumberFormat="1" applyBorder="1" applyAlignment="1">
      <alignment horizontal="center"/>
    </xf>
    <xf numFmtId="0" fontId="0" fillId="0" borderId="93" xfId="0" applyBorder="1"/>
    <xf numFmtId="10" fontId="0" fillId="0" borderId="67" xfId="6" applyNumberFormat="1" applyFon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67" xfId="0" applyNumberFormat="1" applyBorder="1" applyAlignment="1">
      <alignment horizontal="center" vertical="center"/>
    </xf>
    <xf numFmtId="9" fontId="0" fillId="0" borderId="65" xfId="0" applyNumberFormat="1" applyBorder="1" applyAlignment="1">
      <alignment horizontal="center"/>
    </xf>
    <xf numFmtId="0" fontId="0" fillId="0" borderId="94" xfId="0" applyBorder="1"/>
    <xf numFmtId="9" fontId="0" fillId="0" borderId="68" xfId="0" applyNumberFormat="1" applyBorder="1" applyAlignment="1">
      <alignment horizontal="center"/>
    </xf>
    <xf numFmtId="0" fontId="0" fillId="0" borderId="95" xfId="0" applyBorder="1"/>
    <xf numFmtId="0" fontId="112" fillId="13" borderId="96" xfId="0" applyFont="1" applyFill="1" applyBorder="1" applyAlignment="1">
      <alignment horizontal="center" vertical="center"/>
    </xf>
    <xf numFmtId="0" fontId="94" fillId="16" borderId="0" xfId="0" applyFont="1" applyFill="1" applyAlignment="1">
      <alignment vertical="center"/>
    </xf>
    <xf numFmtId="0" fontId="115" fillId="0" borderId="0" xfId="0" applyFont="1"/>
    <xf numFmtId="3" fontId="5" fillId="0" borderId="14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/>
    </xf>
    <xf numFmtId="1" fontId="2" fillId="16" borderId="0" xfId="0" applyNumberFormat="1" applyFont="1" applyFill="1"/>
    <xf numFmtId="3" fontId="115" fillId="0" borderId="39" xfId="0" applyNumberFormat="1" applyFont="1" applyBorder="1"/>
    <xf numFmtId="3" fontId="2" fillId="0" borderId="31" xfId="0" applyNumberFormat="1" applyFont="1" applyBorder="1"/>
    <xf numFmtId="3" fontId="2" fillId="0" borderId="32" xfId="0" applyNumberFormat="1" applyFont="1" applyBorder="1"/>
    <xf numFmtId="4" fontId="45" fillId="0" borderId="0" xfId="0" applyNumberFormat="1" applyFont="1"/>
    <xf numFmtId="192" fontId="7" fillId="0" borderId="0" xfId="0" applyNumberFormat="1" applyFont="1"/>
    <xf numFmtId="167" fontId="0" fillId="0" borderId="0" xfId="6" applyNumberFormat="1" applyFont="1" applyAlignment="1">
      <alignment horizontal="center"/>
    </xf>
    <xf numFmtId="0" fontId="96" fillId="0" borderId="0" xfId="0" applyFont="1"/>
    <xf numFmtId="0" fontId="10" fillId="22" borderId="0" xfId="0" applyFont="1" applyFill="1"/>
    <xf numFmtId="4" fontId="10" fillId="22" borderId="0" xfId="0" applyNumberFormat="1" applyFont="1" applyFill="1"/>
    <xf numFmtId="3" fontId="10" fillId="22" borderId="0" xfId="0" applyNumberFormat="1" applyFont="1" applyFill="1"/>
    <xf numFmtId="0" fontId="45" fillId="19" borderId="40" xfId="0" applyFont="1" applyFill="1" applyBorder="1" applyAlignment="1">
      <alignment horizontal="center"/>
    </xf>
    <xf numFmtId="0" fontId="10" fillId="19" borderId="48" xfId="0" applyFont="1" applyFill="1" applyBorder="1" applyAlignment="1">
      <alignment wrapText="1"/>
    </xf>
    <xf numFmtId="0" fontId="0" fillId="22" borderId="0" xfId="0" applyFill="1" applyAlignment="1">
      <alignment horizontal="left" indent="1"/>
    </xf>
    <xf numFmtId="0" fontId="9" fillId="5" borderId="2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9" fillId="0" borderId="27" xfId="0" applyFont="1" applyBorder="1"/>
    <xf numFmtId="3" fontId="9" fillId="0" borderId="0" xfId="0" applyNumberFormat="1" applyFont="1"/>
    <xf numFmtId="3" fontId="9" fillId="0" borderId="31" xfId="0" applyNumberFormat="1" applyFont="1" applyBorder="1"/>
    <xf numFmtId="0" fontId="9" fillId="0" borderId="29" xfId="0" applyFont="1" applyBorder="1"/>
    <xf numFmtId="3" fontId="9" fillId="0" borderId="1" xfId="0" applyNumberFormat="1" applyFont="1" applyBorder="1"/>
    <xf numFmtId="3" fontId="9" fillId="0" borderId="32" xfId="0" applyNumberFormat="1" applyFont="1" applyBorder="1"/>
    <xf numFmtId="43" fontId="13" fillId="0" borderId="7" xfId="0" applyNumberFormat="1" applyFont="1" applyBorder="1"/>
    <xf numFmtId="41" fontId="13" fillId="8" borderId="5" xfId="0" applyNumberFormat="1" applyFont="1" applyFill="1" applyBorder="1" applyAlignment="1">
      <alignment horizontal="right"/>
    </xf>
    <xf numFmtId="169" fontId="13" fillId="0" borderId="5" xfId="0" applyNumberFormat="1" applyFont="1" applyBorder="1" applyAlignment="1">
      <alignment horizontal="right"/>
    </xf>
    <xf numFmtId="169" fontId="10" fillId="0" borderId="5" xfId="0" applyNumberFormat="1" applyFont="1" applyBorder="1" applyAlignment="1">
      <alignment horizontal="right"/>
    </xf>
    <xf numFmtId="169" fontId="13" fillId="0" borderId="7" xfId="0" applyNumberFormat="1" applyFont="1" applyBorder="1" applyAlignment="1">
      <alignment horizontal="right"/>
    </xf>
    <xf numFmtId="185" fontId="3" fillId="0" borderId="61" xfId="0" applyNumberFormat="1" applyFont="1" applyBorder="1"/>
    <xf numFmtId="185" fontId="3" fillId="0" borderId="30" xfId="0" applyNumberFormat="1" applyFont="1" applyBorder="1"/>
    <xf numFmtId="3" fontId="3" fillId="0" borderId="30" xfId="0" applyNumberFormat="1" applyFont="1" applyBorder="1"/>
    <xf numFmtId="0" fontId="3" fillId="0" borderId="30" xfId="0" applyFont="1" applyBorder="1"/>
    <xf numFmtId="0" fontId="6" fillId="0" borderId="60" xfId="0" applyFont="1" applyBorder="1" applyAlignment="1">
      <alignment horizontal="left"/>
    </xf>
    <xf numFmtId="0" fontId="9" fillId="17" borderId="98" xfId="0" applyFont="1" applyFill="1" applyBorder="1" applyAlignment="1">
      <alignment horizontal="center"/>
    </xf>
    <xf numFmtId="0" fontId="9" fillId="17" borderId="14" xfId="0" applyFont="1" applyFill="1" applyBorder="1" applyAlignment="1">
      <alignment horizontal="center"/>
    </xf>
    <xf numFmtId="0" fontId="9" fillId="17" borderId="13" xfId="0" applyFont="1" applyFill="1" applyBorder="1" applyAlignment="1">
      <alignment horizontal="center"/>
    </xf>
    <xf numFmtId="3" fontId="0" fillId="0" borderId="61" xfId="0" applyNumberFormat="1" applyBorder="1"/>
    <xf numFmtId="3" fontId="0" fillId="0" borderId="30" xfId="0" applyNumberFormat="1" applyBorder="1"/>
    <xf numFmtId="0" fontId="0" fillId="0" borderId="30" xfId="0" applyBorder="1"/>
    <xf numFmtId="0" fontId="0" fillId="0" borderId="60" xfId="0" applyBorder="1" applyAlignment="1">
      <alignment horizontal="left" indent="1"/>
    </xf>
    <xf numFmtId="3" fontId="0" fillId="0" borderId="99" xfId="0" applyNumberFormat="1" applyBorder="1"/>
    <xf numFmtId="3" fontId="0" fillId="0" borderId="5" xfId="0" applyNumberFormat="1" applyBorder="1"/>
    <xf numFmtId="0" fontId="0" fillId="0" borderId="59" xfId="0" applyBorder="1" applyAlignment="1">
      <alignment horizontal="left" indent="1"/>
    </xf>
    <xf numFmtId="3" fontId="3" fillId="0" borderId="99" xfId="0" applyNumberFormat="1" applyFont="1" applyBorder="1"/>
    <xf numFmtId="3" fontId="3" fillId="0" borderId="5" xfId="0" applyNumberFormat="1" applyFont="1" applyBorder="1"/>
    <xf numFmtId="0" fontId="3" fillId="0" borderId="5" xfId="0" applyFont="1" applyBorder="1"/>
    <xf numFmtId="0" fontId="6" fillId="0" borderId="59" xfId="0" applyFont="1" applyBorder="1" applyAlignment="1">
      <alignment horizontal="left"/>
    </xf>
    <xf numFmtId="3" fontId="9" fillId="7" borderId="61" xfId="0" applyNumberFormat="1" applyFont="1" applyFill="1" applyBorder="1"/>
    <xf numFmtId="3" fontId="9" fillId="7" borderId="30" xfId="0" applyNumberFormat="1" applyFont="1" applyFill="1" applyBorder="1"/>
    <xf numFmtId="3" fontId="9" fillId="7" borderId="60" xfId="0" applyNumberFormat="1" applyFont="1" applyFill="1" applyBorder="1"/>
    <xf numFmtId="0" fontId="0" fillId="0" borderId="59" xfId="0" applyBorder="1"/>
    <xf numFmtId="0" fontId="9" fillId="17" borderId="14" xfId="0" applyFont="1" applyFill="1" applyBorder="1" applyAlignment="1">
      <alignment horizontal="right"/>
    </xf>
    <xf numFmtId="0" fontId="9" fillId="17" borderId="99" xfId="0" applyFont="1" applyFill="1" applyBorder="1" applyAlignment="1">
      <alignment horizontal="center"/>
    </xf>
    <xf numFmtId="0" fontId="9" fillId="17" borderId="5" xfId="0" applyFont="1" applyFill="1" applyBorder="1" applyAlignment="1">
      <alignment horizontal="center"/>
    </xf>
    <xf numFmtId="0" fontId="9" fillId="17" borderId="59" xfId="0" applyFont="1" applyFill="1" applyBorder="1" applyAlignment="1">
      <alignment horizontal="center"/>
    </xf>
    <xf numFmtId="3" fontId="49" fillId="0" borderId="5" xfId="0" applyNumberFormat="1" applyFont="1" applyBorder="1"/>
    <xf numFmtId="10" fontId="2" fillId="0" borderId="8" xfId="6" applyNumberFormat="1" applyFont="1" applyBorder="1"/>
    <xf numFmtId="0" fontId="0" fillId="0" borderId="10" xfId="0" applyBorder="1"/>
    <xf numFmtId="0" fontId="3" fillId="0" borderId="36" xfId="0" applyFont="1" applyBorder="1"/>
    <xf numFmtId="0" fontId="3" fillId="0" borderId="26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171" fontId="10" fillId="0" borderId="5" xfId="0" applyNumberFormat="1" applyFont="1" applyBorder="1"/>
    <xf numFmtId="0" fontId="10" fillId="3" borderId="43" xfId="8" applyFont="1" applyFill="1" applyBorder="1"/>
    <xf numFmtId="0" fontId="10" fillId="3" borderId="10" xfId="8" applyFont="1" applyFill="1" applyBorder="1"/>
    <xf numFmtId="0" fontId="10" fillId="3" borderId="9" xfId="8" applyFont="1" applyFill="1" applyBorder="1"/>
    <xf numFmtId="0" fontId="10" fillId="12" borderId="14" xfId="9" applyFont="1" applyFill="1" applyBorder="1"/>
    <xf numFmtId="0" fontId="10" fillId="12" borderId="14" xfId="9" applyFont="1" applyFill="1" applyBorder="1" applyAlignment="1">
      <alignment horizontal="center"/>
    </xf>
    <xf numFmtId="169" fontId="10" fillId="12" borderId="14" xfId="11" applyNumberFormat="1" applyFont="1" applyFill="1" applyBorder="1"/>
    <xf numFmtId="0" fontId="10" fillId="12" borderId="5" xfId="9" applyFont="1" applyFill="1" applyBorder="1"/>
    <xf numFmtId="0" fontId="10" fillId="12" borderId="5" xfId="9" applyFont="1" applyFill="1" applyBorder="1" applyAlignment="1">
      <alignment horizontal="center"/>
    </xf>
    <xf numFmtId="169" fontId="10" fillId="12" borderId="5" xfId="11" applyNumberFormat="1" applyFont="1" applyFill="1" applyBorder="1"/>
    <xf numFmtId="0" fontId="46" fillId="23" borderId="0" xfId="0" applyFont="1" applyFill="1" applyAlignment="1">
      <alignment horizontal="centerContinuous"/>
    </xf>
    <xf numFmtId="170" fontId="14" fillId="0" borderId="0" xfId="0" applyNumberFormat="1" applyFont="1"/>
    <xf numFmtId="0" fontId="20" fillId="17" borderId="46" xfId="9" applyFont="1" applyFill="1" applyBorder="1" applyAlignment="1">
      <alignment horizontal="left" indent="1"/>
    </xf>
    <xf numFmtId="0" fontId="10" fillId="3" borderId="34" xfId="9" applyFont="1" applyFill="1" applyBorder="1"/>
    <xf numFmtId="0" fontId="10" fillId="0" borderId="35" xfId="9" applyFont="1" applyBorder="1"/>
    <xf numFmtId="166" fontId="10" fillId="26" borderId="24" xfId="11" applyFont="1" applyFill="1" applyBorder="1"/>
    <xf numFmtId="166" fontId="10" fillId="26" borderId="25" xfId="11" applyFont="1" applyFill="1" applyBorder="1"/>
    <xf numFmtId="0" fontId="10" fillId="3" borderId="20" xfId="9" applyFont="1" applyFill="1" applyBorder="1" applyAlignment="1">
      <alignment horizontal="center"/>
    </xf>
    <xf numFmtId="10" fontId="21" fillId="10" borderId="21" xfId="9" applyNumberFormat="1" applyFont="1" applyFill="1" applyBorder="1" applyAlignment="1">
      <alignment horizontal="center"/>
    </xf>
    <xf numFmtId="0" fontId="10" fillId="3" borderId="60" xfId="9" applyFont="1" applyFill="1" applyBorder="1"/>
    <xf numFmtId="0" fontId="10" fillId="0" borderId="1" xfId="9" applyFont="1" applyBorder="1"/>
    <xf numFmtId="166" fontId="10" fillId="26" borderId="30" xfId="11" applyFont="1" applyFill="1" applyBorder="1"/>
    <xf numFmtId="166" fontId="10" fillId="26" borderId="61" xfId="11" applyFont="1" applyFill="1" applyBorder="1"/>
    <xf numFmtId="0" fontId="10" fillId="3" borderId="35" xfId="9" applyFont="1" applyFill="1" applyBorder="1" applyAlignment="1">
      <alignment horizontal="center"/>
    </xf>
    <xf numFmtId="10" fontId="21" fillId="10" borderId="35" xfId="9" applyNumberFormat="1" applyFont="1" applyFill="1" applyBorder="1" applyAlignment="1">
      <alignment horizontal="center"/>
    </xf>
    <xf numFmtId="10" fontId="45" fillId="10" borderId="24" xfId="10" applyNumberFormat="1" applyFont="1" applyFill="1" applyBorder="1" applyAlignment="1">
      <alignment horizontal="center"/>
    </xf>
    <xf numFmtId="10" fontId="45" fillId="10" borderId="25" xfId="10" applyNumberFormat="1" applyFont="1" applyFill="1" applyBorder="1" applyAlignment="1">
      <alignment horizontal="center"/>
    </xf>
    <xf numFmtId="0" fontId="6" fillId="26" borderId="38" xfId="0" applyFont="1" applyFill="1" applyBorder="1" applyAlignment="1">
      <alignment horizontal="centerContinuous"/>
    </xf>
    <xf numFmtId="0" fontId="6" fillId="26" borderId="28" xfId="0" applyFont="1" applyFill="1" applyBorder="1" applyAlignment="1">
      <alignment horizontal="centerContinuous"/>
    </xf>
    <xf numFmtId="0" fontId="6" fillId="26" borderId="39" xfId="0" applyFont="1" applyFill="1" applyBorder="1" applyAlignment="1">
      <alignment horizontal="centerContinuous"/>
    </xf>
    <xf numFmtId="2" fontId="14" fillId="0" borderId="27" xfId="0" applyNumberFormat="1" applyFont="1" applyBorder="1" applyAlignment="1">
      <alignment horizontal="centerContinuous"/>
    </xf>
    <xf numFmtId="2" fontId="14" fillId="0" borderId="0" xfId="0" applyNumberFormat="1" applyFont="1" applyAlignment="1">
      <alignment horizontal="centerContinuous"/>
    </xf>
    <xf numFmtId="2" fontId="14" fillId="0" borderId="31" xfId="0" applyNumberFormat="1" applyFont="1" applyBorder="1" applyAlignment="1">
      <alignment horizontal="centerContinuous"/>
    </xf>
    <xf numFmtId="0" fontId="14" fillId="26" borderId="29" xfId="0" applyFont="1" applyFill="1" applyBorder="1" applyAlignment="1">
      <alignment horizontal="centerContinuous"/>
    </xf>
    <xf numFmtId="0" fontId="14" fillId="26" borderId="1" xfId="0" applyFont="1" applyFill="1" applyBorder="1" applyAlignment="1">
      <alignment horizontal="centerContinuous"/>
    </xf>
    <xf numFmtId="0" fontId="14" fillId="26" borderId="32" xfId="0" applyFont="1" applyFill="1" applyBorder="1" applyAlignment="1">
      <alignment horizontal="centerContinuous"/>
    </xf>
    <xf numFmtId="1" fontId="2" fillId="0" borderId="0" xfId="0" applyNumberFormat="1" applyFont="1"/>
    <xf numFmtId="167" fontId="18" fillId="0" borderId="5" xfId="0" applyNumberFormat="1" applyFont="1" applyBorder="1" applyAlignment="1">
      <alignment horizontal="right" vertical="center" wrapText="1"/>
    </xf>
    <xf numFmtId="9" fontId="18" fillId="0" borderId="5" xfId="0" applyNumberFormat="1" applyFont="1" applyBorder="1" applyAlignment="1">
      <alignment horizontal="right" vertical="center" wrapText="1"/>
    </xf>
    <xf numFmtId="3" fontId="10" fillId="0" borderId="14" xfId="11" applyNumberFormat="1" applyFont="1" applyFill="1" applyBorder="1"/>
    <xf numFmtId="3" fontId="23" fillId="7" borderId="22" xfId="9" applyNumberFormat="1" applyFont="1" applyFill="1" applyBorder="1"/>
    <xf numFmtId="176" fontId="10" fillId="0" borderId="0" xfId="9" applyNumberFormat="1" applyFont="1"/>
    <xf numFmtId="3" fontId="0" fillId="20" borderId="5" xfId="0" applyNumberFormat="1" applyFill="1" applyBorder="1"/>
    <xf numFmtId="1" fontId="2" fillId="29" borderId="0" xfId="0" applyNumberFormat="1" applyFont="1" applyFill="1"/>
    <xf numFmtId="168" fontId="14" fillId="29" borderId="0" xfId="0" applyNumberFormat="1" applyFont="1" applyFill="1" applyAlignment="1">
      <alignment horizontal="center"/>
    </xf>
    <xf numFmtId="171" fontId="1" fillId="0" borderId="0" xfId="14" applyNumberFormat="1" applyFont="1"/>
    <xf numFmtId="3" fontId="3" fillId="0" borderId="0" xfId="0" applyNumberFormat="1" applyFont="1" applyAlignment="1">
      <alignment horizontal="left" vertical="center"/>
    </xf>
    <xf numFmtId="171" fontId="3" fillId="0" borderId="0" xfId="0" applyNumberFormat="1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right"/>
    </xf>
    <xf numFmtId="186" fontId="13" fillId="0" borderId="0" xfId="0" applyNumberFormat="1" applyFont="1" applyAlignment="1">
      <alignment horizontal="right"/>
    </xf>
    <xf numFmtId="0" fontId="20" fillId="17" borderId="8" xfId="0" applyFont="1" applyFill="1" applyBorder="1" applyAlignment="1">
      <alignment horizontal="center"/>
    </xf>
    <xf numFmtId="0" fontId="20" fillId="17" borderId="8" xfId="0" applyFont="1" applyFill="1" applyBorder="1"/>
    <xf numFmtId="3" fontId="13" fillId="0" borderId="8" xfId="0" applyNumberFormat="1" applyFont="1" applyBorder="1"/>
    <xf numFmtId="3" fontId="13" fillId="0" borderId="8" xfId="0" applyNumberFormat="1" applyFont="1" applyBorder="1" applyAlignment="1">
      <alignment horizontal="right"/>
    </xf>
    <xf numFmtId="0" fontId="13" fillId="0" borderId="0" xfId="0" applyFont="1" applyAlignment="1">
      <alignment horizontal="centerContinuous" vertical="center"/>
    </xf>
    <xf numFmtId="0" fontId="13" fillId="3" borderId="0" xfId="0" applyFont="1" applyFill="1" applyAlignment="1">
      <alignment horizontal="right"/>
    </xf>
    <xf numFmtId="186" fontId="13" fillId="3" borderId="0" xfId="0" applyNumberFormat="1" applyFont="1" applyFill="1" applyAlignment="1">
      <alignment horizontal="right"/>
    </xf>
    <xf numFmtId="0" fontId="23" fillId="17" borderId="83" xfId="0" applyFont="1" applyFill="1" applyBorder="1" applyAlignment="1">
      <alignment horizontal="center" vertical="center"/>
    </xf>
    <xf numFmtId="4" fontId="23" fillId="17" borderId="83" xfId="0" applyNumberFormat="1" applyFont="1" applyFill="1" applyBorder="1" applyAlignment="1">
      <alignment horizontal="right"/>
    </xf>
    <xf numFmtId="186" fontId="23" fillId="17" borderId="83" xfId="0" applyNumberFormat="1" applyFont="1" applyFill="1" applyBorder="1" applyAlignment="1">
      <alignment horizontal="right" wrapText="1"/>
    </xf>
    <xf numFmtId="4" fontId="23" fillId="17" borderId="83" xfId="0" applyNumberFormat="1" applyFont="1" applyFill="1" applyBorder="1" applyAlignment="1">
      <alignment horizontal="center" vertical="center"/>
    </xf>
    <xf numFmtId="1" fontId="23" fillId="17" borderId="83" xfId="0" applyNumberFormat="1" applyFont="1" applyFill="1" applyBorder="1" applyAlignment="1">
      <alignment horizontal="center" vertical="center" wrapText="1"/>
    </xf>
    <xf numFmtId="0" fontId="23" fillId="17" borderId="82" xfId="0" applyFont="1" applyFill="1" applyBorder="1" applyAlignment="1">
      <alignment horizontal="center" vertical="center"/>
    </xf>
    <xf numFmtId="4" fontId="23" fillId="17" borderId="82" xfId="0" applyNumberFormat="1" applyFont="1" applyFill="1" applyBorder="1" applyAlignment="1">
      <alignment horizontal="right"/>
    </xf>
    <xf numFmtId="186" fontId="23" fillId="17" borderId="82" xfId="0" applyNumberFormat="1" applyFont="1" applyFill="1" applyBorder="1" applyAlignment="1">
      <alignment horizontal="right"/>
    </xf>
    <xf numFmtId="4" fontId="23" fillId="17" borderId="82" xfId="0" applyNumberFormat="1" applyFont="1" applyFill="1" applyBorder="1" applyAlignment="1">
      <alignment horizontal="center" vertical="center"/>
    </xf>
    <xf numFmtId="1" fontId="23" fillId="17" borderId="82" xfId="0" applyNumberFormat="1" applyFont="1" applyFill="1" applyBorder="1" applyAlignment="1">
      <alignment horizontal="center" vertical="center" wrapText="1"/>
    </xf>
    <xf numFmtId="0" fontId="20" fillId="27" borderId="81" xfId="0" applyFont="1" applyFill="1" applyBorder="1" applyAlignment="1">
      <alignment wrapText="1"/>
    </xf>
    <xf numFmtId="0" fontId="23" fillId="27" borderId="80" xfId="0" applyFont="1" applyFill="1" applyBorder="1" applyAlignment="1">
      <alignment wrapText="1"/>
    </xf>
    <xf numFmtId="0" fontId="23" fillId="27" borderId="80" xfId="0" applyFont="1" applyFill="1" applyBorder="1" applyAlignment="1">
      <alignment vertical="center" wrapText="1"/>
    </xf>
    <xf numFmtId="4" fontId="23" fillId="27" borderId="80" xfId="0" applyNumberFormat="1" applyFont="1" applyFill="1" applyBorder="1" applyAlignment="1">
      <alignment wrapText="1"/>
    </xf>
    <xf numFmtId="186" fontId="23" fillId="27" borderId="80" xfId="0" applyNumberFormat="1" applyFont="1" applyFill="1" applyBorder="1" applyAlignment="1">
      <alignment wrapText="1"/>
    </xf>
    <xf numFmtId="4" fontId="23" fillId="27" borderId="80" xfId="0" applyNumberFormat="1" applyFont="1" applyFill="1" applyBorder="1" applyAlignment="1">
      <alignment vertical="center" wrapText="1"/>
    </xf>
    <xf numFmtId="175" fontId="23" fillId="27" borderId="80" xfId="0" applyNumberFormat="1" applyFont="1" applyFill="1" applyBorder="1" applyAlignment="1">
      <alignment wrapText="1"/>
    </xf>
    <xf numFmtId="0" fontId="23" fillId="27" borderId="79" xfId="0" applyFont="1" applyFill="1" applyBorder="1" applyAlignment="1">
      <alignment wrapText="1"/>
    </xf>
    <xf numFmtId="0" fontId="23" fillId="9" borderId="38" xfId="0" applyFont="1" applyFill="1" applyBorder="1"/>
    <xf numFmtId="0" fontId="23" fillId="9" borderId="78" xfId="0" applyFont="1" applyFill="1" applyBorder="1"/>
    <xf numFmtId="0" fontId="23" fillId="9" borderId="28" xfId="0" applyFont="1" applyFill="1" applyBorder="1" applyAlignment="1">
      <alignment horizontal="center"/>
    </xf>
    <xf numFmtId="0" fontId="23" fillId="9" borderId="43" xfId="0" applyFont="1" applyFill="1" applyBorder="1" applyAlignment="1">
      <alignment horizontal="center"/>
    </xf>
    <xf numFmtId="4" fontId="23" fillId="9" borderId="14" xfId="0" applyNumberFormat="1" applyFont="1" applyFill="1" applyBorder="1" applyAlignment="1">
      <alignment horizontal="right"/>
    </xf>
    <xf numFmtId="186" fontId="23" fillId="9" borderId="77" xfId="0" applyNumberFormat="1" applyFont="1" applyFill="1" applyBorder="1" applyAlignment="1">
      <alignment horizontal="right"/>
    </xf>
    <xf numFmtId="4" fontId="23" fillId="9" borderId="16" xfId="0" applyNumberFormat="1" applyFont="1" applyFill="1" applyBorder="1" applyAlignment="1">
      <alignment horizontal="center"/>
    </xf>
    <xf numFmtId="175" fontId="23" fillId="9" borderId="16" xfId="0" applyNumberFormat="1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4" fontId="10" fillId="0" borderId="21" xfId="0" applyNumberFormat="1" applyFont="1" applyBorder="1" applyAlignment="1">
      <alignment horizontal="right"/>
    </xf>
    <xf numFmtId="186" fontId="10" fillId="0" borderId="26" xfId="0" applyNumberFormat="1" applyFont="1" applyBorder="1" applyAlignment="1">
      <alignment horizontal="right"/>
    </xf>
    <xf numFmtId="4" fontId="13" fillId="0" borderId="21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right"/>
    </xf>
    <xf numFmtId="9" fontId="10" fillId="0" borderId="21" xfId="6" applyFont="1" applyBorder="1" applyAlignment="1">
      <alignment horizontal="right"/>
    </xf>
    <xf numFmtId="9" fontId="10" fillId="0" borderId="36" xfId="6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" fontId="10" fillId="0" borderId="5" xfId="0" applyNumberFormat="1" applyFont="1" applyBorder="1" applyAlignment="1">
      <alignment horizontal="right"/>
    </xf>
    <xf numFmtId="186" fontId="10" fillId="0" borderId="0" xfId="0" applyNumberFormat="1" applyFont="1" applyAlignment="1">
      <alignment horizontal="right"/>
    </xf>
    <xf numFmtId="4" fontId="13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right"/>
    </xf>
    <xf numFmtId="9" fontId="10" fillId="0" borderId="5" xfId="6" applyFont="1" applyBorder="1" applyAlignment="1">
      <alignment horizontal="right"/>
    </xf>
    <xf numFmtId="9" fontId="10" fillId="0" borderId="9" xfId="6" applyFon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4" fontId="10" fillId="0" borderId="7" xfId="0" applyNumberFormat="1" applyFont="1" applyBorder="1" applyAlignment="1">
      <alignment horizontal="right"/>
    </xf>
    <xf numFmtId="186" fontId="10" fillId="0" borderId="3" xfId="0" applyNumberFormat="1" applyFont="1" applyBorder="1" applyAlignment="1">
      <alignment horizontal="right"/>
    </xf>
    <xf numFmtId="4" fontId="13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right"/>
    </xf>
    <xf numFmtId="9" fontId="10" fillId="0" borderId="7" xfId="6" applyFont="1" applyBorder="1" applyAlignment="1">
      <alignment horizontal="right"/>
    </xf>
    <xf numFmtId="9" fontId="10" fillId="0" borderId="10" xfId="6" applyFont="1" applyBorder="1" applyAlignment="1">
      <alignment horizontal="right"/>
    </xf>
    <xf numFmtId="0" fontId="13" fillId="0" borderId="9" xfId="0" applyFont="1" applyBorder="1" applyAlignment="1">
      <alignment horizontal="center"/>
    </xf>
    <xf numFmtId="4" fontId="13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4" fontId="13" fillId="0" borderId="21" xfId="0" applyNumberFormat="1" applyFont="1" applyBorder="1" applyAlignment="1">
      <alignment horizontal="right"/>
    </xf>
    <xf numFmtId="0" fontId="13" fillId="0" borderId="7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" fontId="13" fillId="0" borderId="7" xfId="0" applyNumberFormat="1" applyFont="1" applyBorder="1" applyAlignment="1">
      <alignment horizontal="right"/>
    </xf>
    <xf numFmtId="4" fontId="10" fillId="0" borderId="26" xfId="0" applyNumberFormat="1" applyFont="1" applyBorder="1" applyAlignment="1">
      <alignment horizontal="right"/>
    </xf>
    <xf numFmtId="186" fontId="10" fillId="0" borderId="36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/>
    </xf>
    <xf numFmtId="186" fontId="10" fillId="0" borderId="9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186" fontId="10" fillId="0" borderId="10" xfId="0" applyNumberFormat="1" applyFont="1" applyBorder="1" applyAlignment="1">
      <alignment horizontal="right"/>
    </xf>
    <xf numFmtId="4" fontId="13" fillId="0" borderId="3" xfId="0" applyNumberFormat="1" applyFont="1" applyBorder="1" applyAlignment="1">
      <alignment horizontal="right"/>
    </xf>
    <xf numFmtId="3" fontId="10" fillId="16" borderId="5" xfId="0" applyNumberFormat="1" applyFont="1" applyFill="1" applyBorder="1" applyAlignment="1">
      <alignment horizontal="right"/>
    </xf>
    <xf numFmtId="0" fontId="20" fillId="12" borderId="70" xfId="0" applyFont="1" applyFill="1" applyBorder="1"/>
    <xf numFmtId="0" fontId="23" fillId="12" borderId="71" xfId="0" applyFont="1" applyFill="1" applyBorder="1" applyAlignment="1">
      <alignment horizontal="center"/>
    </xf>
    <xf numFmtId="0" fontId="23" fillId="12" borderId="4" xfId="0" applyFont="1" applyFill="1" applyBorder="1" applyAlignment="1">
      <alignment horizontal="center"/>
    </xf>
    <xf numFmtId="4" fontId="23" fillId="12" borderId="4" xfId="0" applyNumberFormat="1" applyFont="1" applyFill="1" applyBorder="1" applyAlignment="1">
      <alignment horizontal="right"/>
    </xf>
    <xf numFmtId="186" fontId="23" fillId="12" borderId="73" xfId="0" applyNumberFormat="1" applyFont="1" applyFill="1" applyBorder="1" applyAlignment="1">
      <alignment horizontal="right"/>
    </xf>
    <xf numFmtId="4" fontId="13" fillId="12" borderId="71" xfId="0" applyNumberFormat="1" applyFont="1" applyFill="1" applyBorder="1" applyAlignment="1">
      <alignment horizontal="center"/>
    </xf>
    <xf numFmtId="3" fontId="23" fillId="12" borderId="71" xfId="0" applyNumberFormat="1" applyFont="1" applyFill="1" applyBorder="1" applyAlignment="1">
      <alignment horizontal="right"/>
    </xf>
    <xf numFmtId="9" fontId="23" fillId="12" borderId="71" xfId="6" applyFont="1" applyFill="1" applyBorder="1" applyAlignment="1">
      <alignment horizontal="right"/>
    </xf>
    <xf numFmtId="0" fontId="23" fillId="9" borderId="27" xfId="0" applyFont="1" applyFill="1" applyBorder="1"/>
    <xf numFmtId="0" fontId="23" fillId="9" borderId="37" xfId="0" applyFont="1" applyFill="1" applyBorder="1"/>
    <xf numFmtId="0" fontId="23" fillId="9" borderId="9" xfId="0" applyFont="1" applyFill="1" applyBorder="1" applyAlignment="1">
      <alignment horizontal="center"/>
    </xf>
    <xf numFmtId="4" fontId="23" fillId="9" borderId="5" xfId="0" applyNumberFormat="1" applyFont="1" applyFill="1" applyBorder="1" applyAlignment="1">
      <alignment horizontal="right"/>
    </xf>
    <xf numFmtId="186" fontId="23" fillId="9" borderId="3" xfId="0" applyNumberFormat="1" applyFont="1" applyFill="1" applyBorder="1" applyAlignment="1">
      <alignment horizontal="right"/>
    </xf>
    <xf numFmtId="4" fontId="23" fillId="9" borderId="7" xfId="0" applyNumberFormat="1" applyFont="1" applyFill="1" applyBorder="1" applyAlignment="1">
      <alignment horizontal="center"/>
    </xf>
    <xf numFmtId="3" fontId="23" fillId="9" borderId="7" xfId="0" applyNumberFormat="1" applyFont="1" applyFill="1" applyBorder="1" applyAlignment="1">
      <alignment horizontal="right"/>
    </xf>
    <xf numFmtId="186" fontId="13" fillId="0" borderId="36" xfId="0" applyNumberFormat="1" applyFont="1" applyBorder="1" applyAlignment="1">
      <alignment horizontal="right"/>
    </xf>
    <xf numFmtId="3" fontId="13" fillId="0" borderId="21" xfId="0" applyNumberFormat="1" applyFont="1" applyBorder="1" applyAlignment="1">
      <alignment horizontal="right"/>
    </xf>
    <xf numFmtId="9" fontId="13" fillId="0" borderId="21" xfId="6" applyFont="1" applyBorder="1" applyAlignment="1">
      <alignment horizontal="right"/>
    </xf>
    <xf numFmtId="9" fontId="13" fillId="0" borderId="36" xfId="6" applyFont="1" applyBorder="1" applyAlignment="1">
      <alignment horizontal="right"/>
    </xf>
    <xf numFmtId="186" fontId="13" fillId="0" borderId="9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9" fontId="13" fillId="0" borderId="5" xfId="6" applyFont="1" applyBorder="1" applyAlignment="1">
      <alignment horizontal="right"/>
    </xf>
    <xf numFmtId="9" fontId="13" fillId="0" borderId="9" xfId="6" applyFont="1" applyBorder="1" applyAlignment="1">
      <alignment horizontal="right"/>
    </xf>
    <xf numFmtId="186" fontId="13" fillId="0" borderId="10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9" fontId="13" fillId="0" borderId="7" xfId="6" applyFont="1" applyBorder="1" applyAlignment="1">
      <alignment horizontal="right"/>
    </xf>
    <xf numFmtId="9" fontId="13" fillId="0" borderId="10" xfId="6" applyFont="1" applyBorder="1" applyAlignment="1">
      <alignment horizontal="right"/>
    </xf>
    <xf numFmtId="0" fontId="13" fillId="0" borderId="8" xfId="0" applyFont="1" applyBorder="1" applyAlignment="1">
      <alignment horizontal="center"/>
    </xf>
    <xf numFmtId="4" fontId="10" fillId="0" borderId="12" xfId="0" applyNumberFormat="1" applyFont="1" applyBorder="1" applyAlignment="1">
      <alignment horizontal="right"/>
    </xf>
    <xf numFmtId="186" fontId="10" fillId="0" borderId="11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center"/>
    </xf>
    <xf numFmtId="9" fontId="10" fillId="0" borderId="8" xfId="6" applyFont="1" applyBorder="1"/>
    <xf numFmtId="9" fontId="10" fillId="0" borderId="5" xfId="6" applyFont="1" applyBorder="1"/>
    <xf numFmtId="4" fontId="13" fillId="0" borderId="12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center"/>
    </xf>
    <xf numFmtId="186" fontId="13" fillId="0" borderId="11" xfId="0" applyNumberFormat="1" applyFont="1" applyBorder="1" applyAlignment="1">
      <alignment horizontal="right"/>
    </xf>
    <xf numFmtId="9" fontId="10" fillId="0" borderId="8" xfId="6" applyFont="1" applyFill="1" applyBorder="1"/>
    <xf numFmtId="9" fontId="10" fillId="0" borderId="11" xfId="6" applyFont="1" applyBorder="1"/>
    <xf numFmtId="0" fontId="24" fillId="28" borderId="48" xfId="0" applyFont="1" applyFill="1" applyBorder="1" applyAlignment="1">
      <alignment horizontal="left" vertical="center" wrapText="1"/>
    </xf>
    <xf numFmtId="0" fontId="24" fillId="28" borderId="24" xfId="0" applyFont="1" applyFill="1" applyBorder="1" applyAlignment="1">
      <alignment horizontal="center"/>
    </xf>
    <xf numFmtId="0" fontId="24" fillId="28" borderId="35" xfId="0" applyFont="1" applyFill="1" applyBorder="1"/>
    <xf numFmtId="4" fontId="24" fillId="28" borderId="35" xfId="0" applyNumberFormat="1" applyFont="1" applyFill="1" applyBorder="1" applyAlignment="1">
      <alignment horizontal="right"/>
    </xf>
    <xf numFmtId="186" fontId="24" fillId="28" borderId="45" xfId="0" applyNumberFormat="1" applyFont="1" applyFill="1" applyBorder="1" applyAlignment="1">
      <alignment horizontal="right"/>
    </xf>
    <xf numFmtId="4" fontId="24" fillId="28" borderId="24" xfId="0" applyNumberFormat="1" applyFont="1" applyFill="1" applyBorder="1" applyAlignment="1">
      <alignment horizontal="center"/>
    </xf>
    <xf numFmtId="3" fontId="24" fillId="28" borderId="24" xfId="0" applyNumberFormat="1" applyFont="1" applyFill="1" applyBorder="1" applyAlignment="1">
      <alignment horizontal="right"/>
    </xf>
    <xf numFmtId="9" fontId="24" fillId="28" borderId="24" xfId="6" applyFont="1" applyFill="1" applyBorder="1" applyAlignment="1">
      <alignment horizontal="right"/>
    </xf>
    <xf numFmtId="0" fontId="23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/>
    </xf>
    <xf numFmtId="0" fontId="13" fillId="0" borderId="28" xfId="0" applyFont="1" applyBorder="1"/>
    <xf numFmtId="4" fontId="13" fillId="0" borderId="28" xfId="0" applyNumberFormat="1" applyFont="1" applyBorder="1" applyAlignment="1">
      <alignment horizontal="right"/>
    </xf>
    <xf numFmtId="186" fontId="13" fillId="0" borderId="28" xfId="0" applyNumberFormat="1" applyFont="1" applyBorder="1" applyAlignment="1">
      <alignment horizontal="right"/>
    </xf>
    <xf numFmtId="4" fontId="13" fillId="0" borderId="28" xfId="0" applyNumberFormat="1" applyFont="1" applyBorder="1" applyAlignment="1">
      <alignment horizontal="center"/>
    </xf>
    <xf numFmtId="3" fontId="13" fillId="0" borderId="28" xfId="0" applyNumberFormat="1" applyFont="1" applyBorder="1" applyAlignment="1">
      <alignment horizontal="right"/>
    </xf>
    <xf numFmtId="171" fontId="10" fillId="0" borderId="28" xfId="7" applyNumberFormat="1" applyFont="1" applyBorder="1"/>
    <xf numFmtId="9" fontId="10" fillId="0" borderId="28" xfId="6" applyFont="1" applyFill="1" applyBorder="1"/>
    <xf numFmtId="9" fontId="10" fillId="0" borderId="28" xfId="6" applyFont="1" applyBorder="1"/>
    <xf numFmtId="0" fontId="20" fillId="27" borderId="48" xfId="0" applyFont="1" applyFill="1" applyBorder="1" applyAlignment="1">
      <alignment wrapText="1"/>
    </xf>
    <xf numFmtId="0" fontId="23" fillId="27" borderId="35" xfId="0" applyFont="1" applyFill="1" applyBorder="1" applyAlignment="1">
      <alignment wrapText="1"/>
    </xf>
    <xf numFmtId="0" fontId="23" fillId="27" borderId="35" xfId="0" applyFont="1" applyFill="1" applyBorder="1" applyAlignment="1">
      <alignment vertical="center" wrapText="1"/>
    </xf>
    <xf numFmtId="4" fontId="23" fillId="27" borderId="35" xfId="0" applyNumberFormat="1" applyFont="1" applyFill="1" applyBorder="1" applyAlignment="1">
      <alignment wrapText="1"/>
    </xf>
    <xf numFmtId="186" fontId="23" fillId="27" borderId="35" xfId="0" applyNumberFormat="1" applyFont="1" applyFill="1" applyBorder="1" applyAlignment="1">
      <alignment wrapText="1"/>
    </xf>
    <xf numFmtId="4" fontId="23" fillId="27" borderId="35" xfId="0" applyNumberFormat="1" applyFont="1" applyFill="1" applyBorder="1" applyAlignment="1">
      <alignment vertical="center" wrapText="1"/>
    </xf>
    <xf numFmtId="175" fontId="23" fillId="27" borderId="35" xfId="0" applyNumberFormat="1" applyFont="1" applyFill="1" applyBorder="1" applyAlignment="1">
      <alignment wrapText="1"/>
    </xf>
    <xf numFmtId="0" fontId="23" fillId="27" borderId="40" xfId="0" applyFont="1" applyFill="1" applyBorder="1" applyAlignment="1">
      <alignment wrapText="1"/>
    </xf>
    <xf numFmtId="175" fontId="23" fillId="9" borderId="17" xfId="0" applyNumberFormat="1" applyFont="1" applyFill="1" applyBorder="1" applyAlignment="1">
      <alignment horizontal="center"/>
    </xf>
    <xf numFmtId="9" fontId="10" fillId="0" borderId="19" xfId="6" applyFont="1" applyBorder="1"/>
    <xf numFmtId="9" fontId="23" fillId="12" borderId="33" xfId="6" applyFont="1" applyFill="1" applyBorder="1" applyAlignment="1">
      <alignment horizontal="right"/>
    </xf>
    <xf numFmtId="0" fontId="13" fillId="0" borderId="35" xfId="0" applyFont="1" applyBorder="1"/>
    <xf numFmtId="0" fontId="13" fillId="0" borderId="35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4" fontId="23" fillId="0" borderId="35" xfId="0" applyNumberFormat="1" applyFont="1" applyBorder="1" applyAlignment="1">
      <alignment horizontal="right"/>
    </xf>
    <xf numFmtId="186" fontId="23" fillId="0" borderId="35" xfId="0" applyNumberFormat="1" applyFont="1" applyBorder="1" applyAlignment="1">
      <alignment horizontal="right"/>
    </xf>
    <xf numFmtId="175" fontId="13" fillId="0" borderId="35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right"/>
    </xf>
    <xf numFmtId="9" fontId="10" fillId="0" borderId="35" xfId="6" applyFont="1" applyFill="1" applyBorder="1"/>
    <xf numFmtId="3" fontId="10" fillId="0" borderId="35" xfId="7" applyNumberFormat="1" applyFont="1" applyFill="1" applyBorder="1"/>
    <xf numFmtId="3" fontId="10" fillId="0" borderId="35" xfId="7" applyNumberFormat="1" applyFont="1" applyBorder="1"/>
    <xf numFmtId="9" fontId="10" fillId="0" borderId="35" xfId="6" applyFont="1" applyBorder="1"/>
    <xf numFmtId="0" fontId="39" fillId="0" borderId="48" xfId="0" applyFont="1" applyBorder="1" applyAlignment="1">
      <alignment horizontal="left"/>
    </xf>
    <xf numFmtId="0" fontId="116" fillId="0" borderId="35" xfId="0" applyFont="1" applyBorder="1" applyAlignment="1">
      <alignment horizontal="center"/>
    </xf>
    <xf numFmtId="4" fontId="39" fillId="0" borderId="23" xfId="0" applyNumberFormat="1" applyFont="1" applyBorder="1" applyAlignment="1">
      <alignment horizontal="right"/>
    </xf>
    <xf numFmtId="186" fontId="39" fillId="0" borderId="24" xfId="0" applyNumberFormat="1" applyFont="1" applyBorder="1" applyAlignment="1">
      <alignment horizontal="right"/>
    </xf>
    <xf numFmtId="175" fontId="23" fillId="0" borderId="24" xfId="0" applyNumberFormat="1" applyFont="1" applyBorder="1" applyAlignment="1">
      <alignment horizontal="center"/>
    </xf>
    <xf numFmtId="3" fontId="39" fillId="0" borderId="24" xfId="0" applyNumberFormat="1" applyFont="1" applyBorder="1" applyAlignment="1">
      <alignment horizontal="right"/>
    </xf>
    <xf numFmtId="9" fontId="39" fillId="0" borderId="24" xfId="6" applyFont="1" applyBorder="1" applyAlignment="1">
      <alignment horizontal="right"/>
    </xf>
    <xf numFmtId="9" fontId="39" fillId="0" borderId="25" xfId="6" applyFont="1" applyBorder="1" applyAlignment="1">
      <alignment horizontal="right"/>
    </xf>
    <xf numFmtId="186" fontId="13" fillId="0" borderId="0" xfId="0" applyNumberFormat="1" applyFont="1" applyAlignment="1">
      <alignment horizontal="center"/>
    </xf>
    <xf numFmtId="0" fontId="13" fillId="17" borderId="48" xfId="0" applyFont="1" applyFill="1" applyBorder="1"/>
    <xf numFmtId="3" fontId="13" fillId="0" borderId="40" xfId="0" applyNumberFormat="1" applyFont="1" applyBorder="1"/>
    <xf numFmtId="0" fontId="45" fillId="0" borderId="0" xfId="0" applyFont="1" applyAlignment="1">
      <alignment horizontal="center"/>
    </xf>
    <xf numFmtId="4" fontId="13" fillId="0" borderId="0" xfId="0" applyNumberFormat="1" applyFont="1"/>
    <xf numFmtId="2" fontId="13" fillId="0" borderId="0" xfId="0" applyNumberFormat="1" applyFont="1"/>
    <xf numFmtId="4" fontId="45" fillId="0" borderId="26" xfId="0" applyNumberFormat="1" applyFont="1" applyBorder="1" applyAlignment="1">
      <alignment horizontal="right"/>
    </xf>
    <xf numFmtId="4" fontId="45" fillId="0" borderId="0" xfId="0" applyNumberFormat="1" applyFont="1" applyAlignment="1">
      <alignment horizontal="right"/>
    </xf>
    <xf numFmtId="9" fontId="10" fillId="0" borderId="5" xfId="6" applyFont="1" applyFill="1" applyBorder="1" applyAlignment="1">
      <alignment horizontal="right"/>
    </xf>
    <xf numFmtId="9" fontId="10" fillId="0" borderId="9" xfId="6" applyFont="1" applyFill="1" applyBorder="1" applyAlignment="1">
      <alignment horizontal="right"/>
    </xf>
    <xf numFmtId="0" fontId="45" fillId="0" borderId="5" xfId="0" applyFont="1" applyBorder="1" applyAlignment="1">
      <alignment horizontal="center"/>
    </xf>
    <xf numFmtId="186" fontId="45" fillId="0" borderId="9" xfId="0" applyNumberFormat="1" applyFont="1" applyBorder="1" applyAlignment="1">
      <alignment horizontal="right"/>
    </xf>
    <xf numFmtId="0" fontId="20" fillId="0" borderId="27" xfId="0" applyFont="1" applyBorder="1" applyAlignment="1">
      <alignment wrapText="1"/>
    </xf>
    <xf numFmtId="0" fontId="45" fillId="0" borderId="8" xfId="0" applyFont="1" applyBorder="1" applyAlignment="1">
      <alignment horizontal="center"/>
    </xf>
    <xf numFmtId="175" fontId="23" fillId="9" borderId="8" xfId="0" applyNumberFormat="1" applyFont="1" applyFill="1" applyBorder="1" applyAlignment="1">
      <alignment horizontal="center"/>
    </xf>
    <xf numFmtId="175" fontId="23" fillId="9" borderId="19" xfId="0" applyNumberFormat="1" applyFont="1" applyFill="1" applyBorder="1" applyAlignment="1">
      <alignment horizontal="center"/>
    </xf>
    <xf numFmtId="0" fontId="13" fillId="0" borderId="12" xfId="0" applyFont="1" applyBorder="1"/>
    <xf numFmtId="0" fontId="45" fillId="0" borderId="12" xfId="0" applyFont="1" applyBorder="1"/>
    <xf numFmtId="0" fontId="10" fillId="0" borderId="26" xfId="0" applyFont="1" applyBorder="1"/>
    <xf numFmtId="0" fontId="10" fillId="0" borderId="3" xfId="0" applyFont="1" applyBorder="1"/>
    <xf numFmtId="0" fontId="13" fillId="0" borderId="3" xfId="0" applyFont="1" applyBorder="1"/>
    <xf numFmtId="0" fontId="10" fillId="0" borderId="26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3" fillId="0" borderId="26" xfId="0" applyFont="1" applyBorder="1"/>
    <xf numFmtId="0" fontId="45" fillId="0" borderId="26" xfId="0" applyFont="1" applyBorder="1"/>
    <xf numFmtId="0" fontId="10" fillId="0" borderId="36" xfId="0" applyFont="1" applyBorder="1"/>
    <xf numFmtId="0" fontId="45" fillId="0" borderId="21" xfId="0" applyFont="1" applyBorder="1" applyAlignment="1">
      <alignment horizontal="center"/>
    </xf>
    <xf numFmtId="3" fontId="1" fillId="16" borderId="5" xfId="14" applyNumberFormat="1" applyFont="1" applyFill="1" applyBorder="1" applyAlignment="1">
      <alignment horizontal="right"/>
    </xf>
    <xf numFmtId="171" fontId="1" fillId="0" borderId="5" xfId="16" applyNumberFormat="1" applyFont="1" applyFill="1" applyBorder="1"/>
    <xf numFmtId="3" fontId="1" fillId="0" borderId="7" xfId="14" applyNumberFormat="1" applyFont="1" applyBorder="1"/>
    <xf numFmtId="3" fontId="1" fillId="16" borderId="5" xfId="14" applyNumberFormat="1" applyFont="1" applyFill="1" applyBorder="1"/>
    <xf numFmtId="4" fontId="3" fillId="0" borderId="8" xfId="0" applyNumberFormat="1" applyFont="1" applyBorder="1"/>
    <xf numFmtId="4" fontId="0" fillId="0" borderId="8" xfId="0" applyNumberFormat="1" applyBorder="1"/>
    <xf numFmtId="0" fontId="44" fillId="0" borderId="8" xfId="0" applyFont="1" applyBorder="1" applyAlignment="1">
      <alignment horizontal="left" indent="2"/>
    </xf>
    <xf numFmtId="4" fontId="44" fillId="0" borderId="8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114" fillId="0" borderId="0" xfId="0" applyFont="1"/>
    <xf numFmtId="3" fontId="13" fillId="16" borderId="8" xfId="0" applyNumberFormat="1" applyFont="1" applyFill="1" applyBorder="1" applyAlignment="1">
      <alignment horizontal="right"/>
    </xf>
    <xf numFmtId="0" fontId="97" fillId="0" borderId="0" xfId="0" applyFont="1" applyAlignment="1">
      <alignment horizontal="center"/>
    </xf>
    <xf numFmtId="0" fontId="117" fillId="0" borderId="0" xfId="0" applyFont="1" applyAlignment="1">
      <alignment horizontal="center"/>
    </xf>
    <xf numFmtId="3" fontId="97" fillId="0" borderId="0" xfId="0" applyNumberFormat="1" applyFont="1" applyAlignment="1">
      <alignment horizontal="left"/>
    </xf>
    <xf numFmtId="3" fontId="97" fillId="0" borderId="0" xfId="0" applyNumberFormat="1" applyFont="1" applyAlignment="1">
      <alignment horizontal="right"/>
    </xf>
    <xf numFmtId="10" fontId="97" fillId="0" borderId="0" xfId="6" applyNumberFormat="1" applyFont="1"/>
    <xf numFmtId="0" fontId="117" fillId="0" borderId="0" xfId="4" applyFont="1" applyAlignment="1">
      <alignment horizontal="center"/>
    </xf>
    <xf numFmtId="3" fontId="97" fillId="19" borderId="0" xfId="0" applyNumberFormat="1" applyFont="1" applyFill="1" applyAlignment="1">
      <alignment horizontal="right"/>
    </xf>
    <xf numFmtId="4" fontId="118" fillId="0" borderId="0" xfId="4" applyNumberFormat="1" applyFont="1" applyAlignment="1">
      <alignment horizontal="center"/>
    </xf>
    <xf numFmtId="4" fontId="119" fillId="0" borderId="0" xfId="4" applyNumberFormat="1" applyFont="1" applyAlignment="1">
      <alignment horizontal="center"/>
    </xf>
    <xf numFmtId="3" fontId="99" fillId="0" borderId="0" xfId="0" applyNumberFormat="1" applyFont="1" applyAlignment="1">
      <alignment horizontal="center"/>
    </xf>
    <xf numFmtId="0" fontId="117" fillId="19" borderId="0" xfId="4" applyFont="1" applyFill="1" applyAlignment="1">
      <alignment horizontal="center"/>
    </xf>
    <xf numFmtId="0" fontId="99" fillId="0" borderId="0" xfId="4" applyFont="1" applyAlignment="1">
      <alignment horizontal="center"/>
    </xf>
    <xf numFmtId="0" fontId="118" fillId="0" borderId="0" xfId="4" applyFont="1" applyAlignment="1">
      <alignment horizontal="center"/>
    </xf>
    <xf numFmtId="0" fontId="117" fillId="19" borderId="0" xfId="0" applyFont="1" applyFill="1" applyAlignment="1">
      <alignment horizontal="center"/>
    </xf>
    <xf numFmtId="4" fontId="102" fillId="0" borderId="0" xfId="4" applyNumberFormat="1" applyFont="1"/>
    <xf numFmtId="0" fontId="119" fillId="0" borderId="0" xfId="4" applyFont="1" applyAlignment="1">
      <alignment horizontal="center"/>
    </xf>
    <xf numFmtId="0" fontId="99" fillId="0" borderId="0" xfId="0" applyFont="1" applyAlignment="1">
      <alignment horizontal="center"/>
    </xf>
    <xf numFmtId="0" fontId="103" fillId="31" borderId="0" xfId="4" applyFont="1" applyFill="1"/>
    <xf numFmtId="0" fontId="97" fillId="31" borderId="0" xfId="0" applyFont="1" applyFill="1"/>
    <xf numFmtId="0" fontId="118" fillId="0" borderId="0" xfId="5" applyFont="1" applyAlignment="1">
      <alignment horizontal="center"/>
    </xf>
    <xf numFmtId="0" fontId="103" fillId="30" borderId="0" xfId="4" applyFont="1" applyFill="1"/>
    <xf numFmtId="0" fontId="117" fillId="0" borderId="0" xfId="5" applyFont="1" applyAlignment="1">
      <alignment horizontal="center"/>
    </xf>
    <xf numFmtId="0" fontId="105" fillId="30" borderId="0" xfId="5" applyFont="1" applyFill="1"/>
    <xf numFmtId="0" fontId="99" fillId="30" borderId="0" xfId="5" applyFont="1" applyFill="1"/>
    <xf numFmtId="0" fontId="97" fillId="22" borderId="12" xfId="0" applyFont="1" applyFill="1" applyBorder="1"/>
    <xf numFmtId="0" fontId="117" fillId="0" borderId="12" xfId="0" applyFont="1" applyBorder="1" applyAlignment="1">
      <alignment horizontal="center"/>
    </xf>
    <xf numFmtId="0" fontId="97" fillId="0" borderId="12" xfId="0" applyFont="1" applyBorder="1" applyAlignment="1">
      <alignment horizontal="center"/>
    </xf>
    <xf numFmtId="10" fontId="97" fillId="0" borderId="12" xfId="6" applyNumberFormat="1" applyFont="1" applyBorder="1"/>
    <xf numFmtId="3" fontId="97" fillId="0" borderId="12" xfId="0" applyNumberFormat="1" applyFont="1" applyBorder="1"/>
    <xf numFmtId="0" fontId="117" fillId="0" borderId="12" xfId="5" applyFont="1" applyBorder="1" applyAlignment="1">
      <alignment horizontal="center"/>
    </xf>
    <xf numFmtId="0" fontId="103" fillId="0" borderId="12" xfId="5" applyFont="1" applyBorder="1"/>
    <xf numFmtId="0" fontId="99" fillId="0" borderId="12" xfId="5" applyFont="1" applyBorder="1" applyAlignment="1">
      <alignment horizontal="center"/>
    </xf>
    <xf numFmtId="0" fontId="99" fillId="31" borderId="12" xfId="5" applyFont="1" applyFill="1" applyBorder="1"/>
    <xf numFmtId="0" fontId="97" fillId="0" borderId="3" xfId="0" applyFont="1" applyBorder="1" applyAlignment="1">
      <alignment horizontal="center"/>
    </xf>
    <xf numFmtId="10" fontId="97" fillId="0" borderId="3" xfId="6" applyNumberFormat="1" applyFont="1" applyBorder="1"/>
    <xf numFmtId="3" fontId="97" fillId="0" borderId="3" xfId="0" applyNumberFormat="1" applyFont="1" applyBorder="1"/>
    <xf numFmtId="0" fontId="117" fillId="0" borderId="3" xfId="5" applyFont="1" applyBorder="1" applyAlignment="1">
      <alignment horizontal="center"/>
    </xf>
    <xf numFmtId="0" fontId="103" fillId="0" borderId="3" xfId="5" applyFont="1" applyBorder="1"/>
    <xf numFmtId="0" fontId="97" fillId="0" borderId="26" xfId="0" applyFont="1" applyBorder="1" applyAlignment="1">
      <alignment horizontal="center"/>
    </xf>
    <xf numFmtId="10" fontId="97" fillId="0" borderId="26" xfId="6" applyNumberFormat="1" applyFont="1" applyBorder="1"/>
    <xf numFmtId="3" fontId="97" fillId="0" borderId="26" xfId="0" applyNumberFormat="1" applyFont="1" applyBorder="1"/>
    <xf numFmtId="0" fontId="117" fillId="0" borderId="26" xfId="5" applyFont="1" applyBorder="1" applyAlignment="1">
      <alignment horizontal="center"/>
    </xf>
    <xf numFmtId="0" fontId="103" fillId="0" borderId="26" xfId="5" applyFont="1" applyBorder="1"/>
    <xf numFmtId="0" fontId="103" fillId="0" borderId="0" xfId="0" applyFont="1" applyAlignment="1">
      <alignment horizontal="center"/>
    </xf>
    <xf numFmtId="0" fontId="103" fillId="0" borderId="12" xfId="0" applyFont="1" applyBorder="1"/>
    <xf numFmtId="0" fontId="100" fillId="0" borderId="0" xfId="0" applyFont="1" applyAlignment="1">
      <alignment horizontal="left"/>
    </xf>
    <xf numFmtId="0" fontId="99" fillId="0" borderId="0" xfId="0" applyFont="1" applyAlignment="1">
      <alignment horizontal="left"/>
    </xf>
    <xf numFmtId="0" fontId="100" fillId="0" borderId="0" xfId="0" applyFont="1" applyAlignment="1">
      <alignment horizontal="center"/>
    </xf>
    <xf numFmtId="0" fontId="100" fillId="0" borderId="12" xfId="0" applyFont="1" applyBorder="1" applyAlignment="1">
      <alignment horizontal="center"/>
    </xf>
    <xf numFmtId="10" fontId="100" fillId="0" borderId="12" xfId="6" applyNumberFormat="1" applyFont="1" applyBorder="1"/>
    <xf numFmtId="3" fontId="100" fillId="0" borderId="12" xfId="0" applyNumberFormat="1" applyFont="1" applyBorder="1"/>
    <xf numFmtId="0" fontId="120" fillId="0" borderId="0" xfId="0" applyFont="1"/>
    <xf numFmtId="0" fontId="120" fillId="0" borderId="0" xfId="0" applyFont="1" applyAlignment="1">
      <alignment horizontal="center"/>
    </xf>
    <xf numFmtId="0" fontId="120" fillId="0" borderId="0" xfId="0" applyFont="1" applyAlignment="1">
      <alignment horizontal="left"/>
    </xf>
    <xf numFmtId="0" fontId="99" fillId="31" borderId="0" xfId="5" applyFont="1" applyFill="1"/>
    <xf numFmtId="176" fontId="99" fillId="0" borderId="0" xfId="0" applyNumberFormat="1" applyFont="1" applyAlignment="1">
      <alignment horizontal="center"/>
    </xf>
    <xf numFmtId="0" fontId="97" fillId="0" borderId="0" xfId="0" applyFont="1" applyAlignment="1">
      <alignment horizontal="centerContinuous" vertical="center" wrapText="1"/>
    </xf>
    <xf numFmtId="0" fontId="97" fillId="0" borderId="0" xfId="0" applyFont="1" applyAlignment="1">
      <alignment horizontal="centerContinuous" vertical="center"/>
    </xf>
    <xf numFmtId="0" fontId="100" fillId="0" borderId="0" xfId="0" applyFont="1" applyAlignment="1">
      <alignment horizontal="centerContinuous" vertical="center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centerContinuous" vertical="top" wrapText="1"/>
    </xf>
    <xf numFmtId="1" fontId="103" fillId="0" borderId="0" xfId="0" applyNumberFormat="1" applyFont="1" applyAlignment="1">
      <alignment horizontal="center" wrapText="1"/>
    </xf>
    <xf numFmtId="1" fontId="97" fillId="0" borderId="0" xfId="0" applyNumberFormat="1" applyFont="1" applyAlignment="1">
      <alignment horizontal="center" wrapText="1"/>
    </xf>
    <xf numFmtId="17" fontId="121" fillId="0" borderId="0" xfId="0" applyNumberFormat="1" applyFont="1" applyAlignment="1">
      <alignment horizontal="center" wrapText="1"/>
    </xf>
    <xf numFmtId="17" fontId="121" fillId="32" borderId="11" xfId="0" applyNumberFormat="1" applyFont="1" applyFill="1" applyBorder="1" applyAlignment="1">
      <alignment horizontal="center" wrapText="1"/>
    </xf>
    <xf numFmtId="17" fontId="121" fillId="32" borderId="8" xfId="0" applyNumberFormat="1" applyFont="1" applyFill="1" applyBorder="1" applyAlignment="1">
      <alignment horizontal="center"/>
    </xf>
    <xf numFmtId="0" fontId="121" fillId="32" borderId="8" xfId="0" applyFont="1" applyFill="1" applyBorder="1" applyAlignment="1">
      <alignment horizontal="center"/>
    </xf>
    <xf numFmtId="0" fontId="117" fillId="0" borderId="8" xfId="0" applyFont="1" applyBorder="1" applyAlignment="1">
      <alignment horizontal="center" wrapText="1"/>
    </xf>
    <xf numFmtId="0" fontId="97" fillId="0" borderId="0" xfId="0" applyFont="1" applyAlignment="1">
      <alignment horizontal="centerContinuous"/>
    </xf>
    <xf numFmtId="0" fontId="117" fillId="0" borderId="0" xfId="0" applyFont="1"/>
    <xf numFmtId="9" fontId="99" fillId="0" borderId="0" xfId="0" applyNumberFormat="1" applyFont="1" applyAlignment="1">
      <alignment horizontal="center"/>
    </xf>
    <xf numFmtId="9" fontId="97" fillId="0" borderId="0" xfId="0" applyNumberFormat="1" applyFont="1" applyAlignment="1">
      <alignment horizontal="center"/>
    </xf>
    <xf numFmtId="9" fontId="103" fillId="0" borderId="0" xfId="0" applyNumberFormat="1" applyFont="1" applyAlignment="1">
      <alignment horizontal="center"/>
    </xf>
    <xf numFmtId="10" fontId="45" fillId="10" borderId="0" xfId="9" applyNumberFormat="1" applyFont="1" applyFill="1" applyAlignment="1">
      <alignment horizontal="center"/>
    </xf>
    <xf numFmtId="0" fontId="10" fillId="3" borderId="3" xfId="9" applyFont="1" applyFill="1" applyBorder="1" applyAlignment="1">
      <alignment horizontal="center"/>
    </xf>
    <xf numFmtId="0" fontId="10" fillId="0" borderId="11" xfId="9" applyFont="1" applyBorder="1"/>
    <xf numFmtId="0" fontId="10" fillId="3" borderId="12" xfId="9" applyFont="1" applyFill="1" applyBorder="1" applyAlignment="1">
      <alignment horizontal="center"/>
    </xf>
    <xf numFmtId="9" fontId="10" fillId="10" borderId="37" xfId="9" applyNumberFormat="1" applyFont="1" applyFill="1" applyBorder="1" applyAlignment="1">
      <alignment horizontal="center"/>
    </xf>
    <xf numFmtId="43" fontId="10" fillId="3" borderId="14" xfId="11" applyNumberFormat="1" applyFont="1" applyFill="1" applyBorder="1"/>
    <xf numFmtId="0" fontId="10" fillId="0" borderId="30" xfId="9" applyFont="1" applyBorder="1"/>
    <xf numFmtId="0" fontId="10" fillId="0" borderId="30" xfId="9" applyFont="1" applyBorder="1" applyAlignment="1">
      <alignment horizontal="center"/>
    </xf>
    <xf numFmtId="171" fontId="1" fillId="19" borderId="0" xfId="0" applyNumberFormat="1" applyFont="1" applyFill="1"/>
    <xf numFmtId="3" fontId="3" fillId="33" borderId="8" xfId="0" applyNumberFormat="1" applyFont="1" applyFill="1" applyBorder="1"/>
    <xf numFmtId="0" fontId="3" fillId="33" borderId="8" xfId="0" applyFont="1" applyFill="1" applyBorder="1"/>
    <xf numFmtId="3" fontId="3" fillId="7" borderId="21" xfId="0" applyNumberFormat="1" applyFont="1" applyFill="1" applyBorder="1"/>
    <xf numFmtId="0" fontId="3" fillId="7" borderId="21" xfId="0" applyFont="1" applyFill="1" applyBorder="1"/>
    <xf numFmtId="0" fontId="3" fillId="17" borderId="7" xfId="0" applyFont="1" applyFill="1" applyBorder="1" applyAlignment="1">
      <alignment horizontal="centerContinuous"/>
    </xf>
    <xf numFmtId="3" fontId="3" fillId="7" borderId="8" xfId="0" applyNumberFormat="1" applyFont="1" applyFill="1" applyBorder="1"/>
    <xf numFmtId="0" fontId="3" fillId="7" borderId="8" xfId="0" applyFont="1" applyFill="1" applyBorder="1"/>
    <xf numFmtId="0" fontId="4" fillId="13" borderId="87" xfId="0" applyFont="1" applyFill="1" applyBorder="1"/>
    <xf numFmtId="0" fontId="0" fillId="20" borderId="0" xfId="0" applyFill="1" applyAlignment="1">
      <alignment horizontal="left" indent="1"/>
    </xf>
    <xf numFmtId="3" fontId="14" fillId="0" borderId="5" xfId="4" applyNumberFormat="1" applyFont="1" applyBorder="1"/>
    <xf numFmtId="3" fontId="14" fillId="0" borderId="6" xfId="4" applyNumberFormat="1" applyFont="1" applyBorder="1"/>
    <xf numFmtId="3" fontId="0" fillId="0" borderId="9" xfId="0" applyNumberFormat="1" applyBorder="1"/>
    <xf numFmtId="0" fontId="122" fillId="0" borderId="0" xfId="4" applyFont="1"/>
    <xf numFmtId="0" fontId="123" fillId="0" borderId="0" xfId="4" applyFont="1"/>
    <xf numFmtId="3" fontId="14" fillId="0" borderId="0" xfId="4" applyNumberFormat="1" applyFont="1"/>
    <xf numFmtId="0" fontId="124" fillId="0" borderId="0" xfId="5" applyFont="1"/>
    <xf numFmtId="0" fontId="8" fillId="0" borderId="0" xfId="5"/>
    <xf numFmtId="0" fontId="125" fillId="0" borderId="0" xfId="4" applyFont="1"/>
    <xf numFmtId="0" fontId="65" fillId="0" borderId="0" xfId="5" applyFont="1"/>
    <xf numFmtId="0" fontId="82" fillId="0" borderId="0" xfId="0" applyFont="1"/>
    <xf numFmtId="0" fontId="0" fillId="0" borderId="0" xfId="0" applyAlignment="1">
      <alignment horizontal="left"/>
    </xf>
    <xf numFmtId="0" fontId="126" fillId="0" borderId="0" xfId="4" applyFont="1"/>
    <xf numFmtId="3" fontId="47" fillId="0" borderId="5" xfId="4" applyNumberFormat="1" applyFont="1" applyBorder="1"/>
    <xf numFmtId="3" fontId="47" fillId="0" borderId="0" xfId="4" applyNumberFormat="1" applyFont="1"/>
    <xf numFmtId="3" fontId="14" fillId="0" borderId="5" xfId="4" applyNumberFormat="1" applyFont="1" applyBorder="1" applyAlignment="1">
      <alignment horizontal="right"/>
    </xf>
    <xf numFmtId="3" fontId="97" fillId="26" borderId="0" xfId="0" applyNumberFormat="1" applyFont="1" applyFill="1"/>
    <xf numFmtId="3" fontId="99" fillId="26" borderId="0" xfId="0" applyNumberFormat="1" applyFont="1" applyFill="1"/>
    <xf numFmtId="3" fontId="2" fillId="0" borderId="0" xfId="14" applyNumberFormat="1" applyFont="1"/>
    <xf numFmtId="4" fontId="45" fillId="0" borderId="5" xfId="0" applyNumberFormat="1" applyFont="1" applyBorder="1" applyAlignment="1">
      <alignment horizontal="right"/>
    </xf>
    <xf numFmtId="4" fontId="45" fillId="0" borderId="12" xfId="0" applyNumberFormat="1" applyFont="1" applyBorder="1" applyAlignment="1">
      <alignment horizontal="right"/>
    </xf>
    <xf numFmtId="3" fontId="10" fillId="16" borderId="21" xfId="0" applyNumberFormat="1" applyFont="1" applyFill="1" applyBorder="1" applyAlignment="1">
      <alignment horizontal="right"/>
    </xf>
    <xf numFmtId="9" fontId="10" fillId="0" borderId="21" xfId="6" applyFont="1" applyFill="1" applyBorder="1" applyAlignment="1">
      <alignment horizontal="right"/>
    </xf>
    <xf numFmtId="3" fontId="0" fillId="34" borderId="0" xfId="0" applyNumberFormat="1" applyFill="1"/>
    <xf numFmtId="41" fontId="1" fillId="0" borderId="0" xfId="0" applyNumberFormat="1" applyFont="1" applyAlignment="1">
      <alignment horizontal="center" vertical="center"/>
    </xf>
    <xf numFmtId="4" fontId="9" fillId="7" borderId="22" xfId="0" applyNumberFormat="1" applyFont="1" applyFill="1" applyBorder="1" applyAlignment="1">
      <alignment horizontal="center" vertical="center" wrapText="1"/>
    </xf>
    <xf numFmtId="0" fontId="20" fillId="17" borderId="22" xfId="8" applyFont="1" applyFill="1" applyBorder="1"/>
    <xf numFmtId="9" fontId="10" fillId="10" borderId="42" xfId="9" applyNumberFormat="1" applyFont="1" applyFill="1" applyBorder="1" applyAlignment="1">
      <alignment horizontal="center"/>
    </xf>
    <xf numFmtId="10" fontId="90" fillId="0" borderId="8" xfId="9" applyNumberFormat="1" applyFont="1" applyBorder="1" applyAlignment="1">
      <alignment horizontal="center"/>
    </xf>
    <xf numFmtId="0" fontId="10" fillId="3" borderId="10" xfId="9" applyFont="1" applyFill="1" applyBorder="1"/>
    <xf numFmtId="41" fontId="10" fillId="0" borderId="0" xfId="8" applyNumberFormat="1" applyFont="1"/>
    <xf numFmtId="41" fontId="0" fillId="0" borderId="0" xfId="0" applyNumberFormat="1" applyAlignment="1">
      <alignment horizontal="right" vertical="center"/>
    </xf>
    <xf numFmtId="3" fontId="1" fillId="0" borderId="0" xfId="0" applyNumberFormat="1" applyFont="1"/>
    <xf numFmtId="0" fontId="5" fillId="0" borderId="9" xfId="0" applyFont="1" applyBorder="1" applyAlignment="1">
      <alignment vertical="center"/>
    </xf>
    <xf numFmtId="41" fontId="1" fillId="0" borderId="0" xfId="0" applyNumberFormat="1" applyFont="1"/>
    <xf numFmtId="43" fontId="5" fillId="0" borderId="0" xfId="0" applyNumberFormat="1" applyFont="1"/>
    <xf numFmtId="9" fontId="5" fillId="0" borderId="0" xfId="0" applyNumberFormat="1" applyFont="1"/>
    <xf numFmtId="0" fontId="23" fillId="0" borderId="0" xfId="9" applyFont="1" applyAlignment="1">
      <alignment horizontal="center"/>
    </xf>
    <xf numFmtId="0" fontId="23" fillId="0" borderId="0" xfId="9" applyFont="1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20" fillId="17" borderId="15" xfId="9" applyFont="1" applyFill="1" applyBorder="1" applyAlignment="1">
      <alignment horizontal="center" vertical="center"/>
    </xf>
    <xf numFmtId="0" fontId="20" fillId="17" borderId="16" xfId="9" applyFont="1" applyFill="1" applyBorder="1" applyAlignment="1">
      <alignment horizontal="center" vertical="center"/>
    </xf>
    <xf numFmtId="0" fontId="20" fillId="17" borderId="44" xfId="9" applyFont="1" applyFill="1" applyBorder="1" applyAlignment="1">
      <alignment horizontal="center" vertical="center"/>
    </xf>
    <xf numFmtId="0" fontId="20" fillId="17" borderId="70" xfId="9" applyFont="1" applyFill="1" applyBorder="1" applyAlignment="1">
      <alignment horizontal="center" vertical="center"/>
    </xf>
    <xf numFmtId="0" fontId="20" fillId="17" borderId="71" xfId="9" applyFont="1" applyFill="1" applyBorder="1" applyAlignment="1">
      <alignment horizontal="center" vertical="center"/>
    </xf>
    <xf numFmtId="0" fontId="20" fillId="17" borderId="73" xfId="9" applyFont="1" applyFill="1" applyBorder="1" applyAlignment="1">
      <alignment horizontal="center" vertical="center"/>
    </xf>
    <xf numFmtId="0" fontId="20" fillId="17" borderId="38" xfId="9" applyFont="1" applyFill="1" applyBorder="1" applyAlignment="1">
      <alignment horizontal="center" vertical="center"/>
    </xf>
    <xf numFmtId="0" fontId="20" fillId="17" borderId="39" xfId="9" applyFont="1" applyFill="1" applyBorder="1" applyAlignment="1">
      <alignment horizontal="center" vertical="center"/>
    </xf>
    <xf numFmtId="0" fontId="20" fillId="17" borderId="29" xfId="9" applyFont="1" applyFill="1" applyBorder="1" applyAlignment="1">
      <alignment horizontal="center" vertical="center"/>
    </xf>
    <xf numFmtId="0" fontId="20" fillId="17" borderId="32" xfId="9" applyFont="1" applyFill="1" applyBorder="1" applyAlignment="1">
      <alignment horizontal="center" vertical="center"/>
    </xf>
    <xf numFmtId="0" fontId="9" fillId="17" borderId="46" xfId="0" applyFont="1" applyFill="1" applyBorder="1" applyAlignment="1">
      <alignment horizontal="center" vertical="center"/>
    </xf>
    <xf numFmtId="0" fontId="9" fillId="17" borderId="47" xfId="0" applyFont="1" applyFill="1" applyBorder="1" applyAlignment="1">
      <alignment horizontal="center" vertical="center"/>
    </xf>
    <xf numFmtId="0" fontId="9" fillId="17" borderId="22" xfId="0" applyFont="1" applyFill="1" applyBorder="1" applyAlignment="1">
      <alignment horizontal="center" vertical="center"/>
    </xf>
    <xf numFmtId="0" fontId="9" fillId="17" borderId="22" xfId="0" applyFont="1" applyFill="1" applyBorder="1" applyAlignment="1">
      <alignment horizontal="center" vertical="center" wrapText="1"/>
    </xf>
    <xf numFmtId="0" fontId="9" fillId="17" borderId="22" xfId="0" applyFont="1" applyFill="1" applyBorder="1" applyAlignment="1">
      <alignment horizontal="center"/>
    </xf>
    <xf numFmtId="0" fontId="9" fillId="5" borderId="48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23" fillId="0" borderId="20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0" fillId="0" borderId="59" xfId="0" applyFont="1" applyBorder="1" applyAlignment="1">
      <alignment vertical="center"/>
    </xf>
    <xf numFmtId="0" fontId="20" fillId="0" borderId="76" xfId="0" applyFont="1" applyBorder="1" applyAlignment="1">
      <alignment vertical="center"/>
    </xf>
    <xf numFmtId="0" fontId="23" fillId="0" borderId="59" xfId="0" applyFont="1" applyBorder="1" applyAlignment="1">
      <alignment vertical="center" wrapText="1"/>
    </xf>
    <xf numFmtId="0" fontId="13" fillId="0" borderId="5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13" fillId="0" borderId="76" xfId="0" applyFont="1" applyBorder="1" applyAlignment="1">
      <alignment vertical="center" wrapText="1"/>
    </xf>
    <xf numFmtId="0" fontId="23" fillId="0" borderId="76" xfId="0" applyFont="1" applyBorder="1" applyAlignment="1">
      <alignment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9" fillId="17" borderId="22" xfId="12" applyFont="1" applyFill="1" applyBorder="1" applyAlignment="1">
      <alignment horizontal="center"/>
    </xf>
    <xf numFmtId="0" fontId="9" fillId="17" borderId="22" xfId="12" applyFont="1" applyFill="1" applyBorder="1" applyAlignment="1">
      <alignment horizontal="center" vertical="center" wrapText="1"/>
    </xf>
    <xf numFmtId="178" fontId="9" fillId="17" borderId="22" xfId="12" applyNumberFormat="1" applyFont="1" applyFill="1" applyBorder="1" applyAlignment="1">
      <alignment horizontal="center" vertical="top" wrapText="1"/>
    </xf>
    <xf numFmtId="0" fontId="9" fillId="17" borderId="22" xfId="12" applyFont="1" applyFill="1" applyBorder="1" applyAlignment="1">
      <alignment horizontal="center" vertical="top" wrapText="1"/>
    </xf>
    <xf numFmtId="0" fontId="9" fillId="17" borderId="48" xfId="0" applyFont="1" applyFill="1" applyBorder="1" applyAlignment="1">
      <alignment horizontal="center"/>
    </xf>
    <xf numFmtId="0" fontId="9" fillId="17" borderId="35" xfId="0" applyFont="1" applyFill="1" applyBorder="1" applyAlignment="1">
      <alignment horizontal="center"/>
    </xf>
    <xf numFmtId="0" fontId="9" fillId="17" borderId="40" xfId="0" applyFont="1" applyFill="1" applyBorder="1" applyAlignment="1">
      <alignment horizontal="center"/>
    </xf>
    <xf numFmtId="3" fontId="29" fillId="7" borderId="48" xfId="4" applyNumberFormat="1" applyFont="1" applyFill="1" applyBorder="1" applyAlignment="1">
      <alignment horizontal="left"/>
    </xf>
    <xf numFmtId="3" fontId="29" fillId="7" borderId="40" xfId="4" applyNumberFormat="1" applyFont="1" applyFill="1" applyBorder="1" applyAlignment="1">
      <alignment horizontal="left"/>
    </xf>
    <xf numFmtId="3" fontId="23" fillId="0" borderId="43" xfId="4" applyNumberFormat="1" applyFont="1" applyBorder="1" applyAlignment="1">
      <alignment horizontal="left"/>
    </xf>
    <xf numFmtId="3" fontId="23" fillId="0" borderId="41" xfId="4" applyNumberFormat="1" applyFont="1" applyBorder="1" applyAlignment="1">
      <alignment horizontal="left"/>
    </xf>
    <xf numFmtId="3" fontId="41" fillId="0" borderId="9" xfId="5" applyNumberFormat="1" applyFont="1" applyBorder="1" applyAlignment="1">
      <alignment horizontal="left"/>
    </xf>
    <xf numFmtId="3" fontId="41" fillId="0" borderId="6" xfId="5" applyNumberFormat="1" applyFont="1" applyBorder="1" applyAlignment="1">
      <alignment horizontal="left"/>
    </xf>
    <xf numFmtId="3" fontId="41" fillId="0" borderId="43" xfId="4" applyNumberFormat="1" applyFont="1" applyBorder="1" applyAlignment="1">
      <alignment horizontal="left"/>
    </xf>
    <xf numFmtId="3" fontId="41" fillId="0" borderId="41" xfId="4" applyNumberFormat="1" applyFont="1" applyBorder="1" applyAlignment="1">
      <alignment horizontal="left"/>
    </xf>
    <xf numFmtId="3" fontId="23" fillId="0" borderId="0" xfId="4" applyNumberFormat="1" applyFont="1" applyAlignment="1">
      <alignment horizontal="center"/>
    </xf>
    <xf numFmtId="0" fontId="29" fillId="17" borderId="22" xfId="4" applyFont="1" applyFill="1" applyBorder="1" applyAlignment="1">
      <alignment horizontal="center"/>
    </xf>
    <xf numFmtId="3" fontId="23" fillId="0" borderId="14" xfId="4" applyNumberFormat="1" applyFont="1" applyBorder="1" applyAlignment="1">
      <alignment horizontal="left"/>
    </xf>
    <xf numFmtId="3" fontId="10" fillId="0" borderId="5" xfId="4" applyNumberFormat="1" applyFont="1" applyBorder="1" applyAlignment="1">
      <alignment horizontal="left"/>
    </xf>
    <xf numFmtId="3" fontId="23" fillId="0" borderId="5" xfId="4" applyNumberFormat="1" applyFont="1" applyBorder="1" applyAlignment="1">
      <alignment horizontal="left"/>
    </xf>
    <xf numFmtId="0" fontId="112" fillId="13" borderId="8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94" fillId="16" borderId="0" xfId="0" applyFont="1" applyFill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14" fillId="17" borderId="48" xfId="0" applyFont="1" applyFill="1" applyBorder="1" applyAlignment="1">
      <alignment horizontal="center" vertical="center"/>
    </xf>
    <xf numFmtId="0" fontId="114" fillId="17" borderId="35" xfId="0" applyFont="1" applyFill="1" applyBorder="1" applyAlignment="1">
      <alignment horizontal="center" vertical="center"/>
    </xf>
    <xf numFmtId="0" fontId="114" fillId="17" borderId="40" xfId="0" applyFont="1" applyFill="1" applyBorder="1" applyAlignment="1">
      <alignment horizontal="center" vertical="center"/>
    </xf>
    <xf numFmtId="0" fontId="94" fillId="16" borderId="1" xfId="0" applyFont="1" applyFill="1" applyBorder="1" applyAlignment="1">
      <alignment horizontal="center" vertical="center"/>
    </xf>
    <xf numFmtId="0" fontId="94" fillId="16" borderId="97" xfId="0" applyFont="1" applyFill="1" applyBorder="1" applyAlignment="1">
      <alignment horizontal="center" vertical="center"/>
    </xf>
  </cellXfs>
  <cellStyles count="17">
    <cellStyle name="Millares" xfId="7" builtinId="3"/>
    <cellStyle name="Millares 2" xfId="3" xr:uid="{00000000-0005-0000-0000-000001000000}"/>
    <cellStyle name="Millares 3" xfId="11" xr:uid="{00000000-0005-0000-0000-000002000000}"/>
    <cellStyle name="Millares 3 2" xfId="16" xr:uid="{00000000-0005-0000-0000-000003000000}"/>
    <cellStyle name="Millares_HIDROMET_trabajo" xfId="13" xr:uid="{00000000-0005-0000-0000-000004000000}"/>
    <cellStyle name="Normal" xfId="0" builtinId="0"/>
    <cellStyle name="Normal 2" xfId="4" xr:uid="{00000000-0005-0000-0000-000006000000}"/>
    <cellStyle name="Normal 2 2" xfId="12" xr:uid="{00000000-0005-0000-0000-000007000000}"/>
    <cellStyle name="Normal 26" xfId="1" xr:uid="{00000000-0005-0000-0000-000008000000}"/>
    <cellStyle name="Normal 3" xfId="9" xr:uid="{00000000-0005-0000-0000-000009000000}"/>
    <cellStyle name="Normal 3 2" xfId="8" xr:uid="{00000000-0005-0000-0000-00000A000000}"/>
    <cellStyle name="Normal 5" xfId="14" xr:uid="{00000000-0005-0000-0000-00000B000000}"/>
    <cellStyle name="Normal_Cuentas de Balance - 19 Feb 04 2" xfId="5" xr:uid="{00000000-0005-0000-0000-00000C000000}"/>
    <cellStyle name="Output Line Items" xfId="2" xr:uid="{00000000-0005-0000-0000-00000D000000}"/>
    <cellStyle name="Porcentaje" xfId="6" builtinId="5"/>
    <cellStyle name="Porcentaje 2" xfId="10" xr:uid="{00000000-0005-0000-0000-00000F000000}"/>
    <cellStyle name="Porcentaje 3" xfId="15" xr:uid="{00000000-0005-0000-0000-000010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00B050"/>
      </font>
    </dxf>
    <dxf>
      <font>
        <color rgb="FFFF0000"/>
      </font>
    </dxf>
    <dxf>
      <font>
        <b/>
        <i val="0"/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externalLink" Target="externalLinks/externalLink18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externalLink" Target="externalLinks/externalLink19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externalLink" Target="externalLinks/externalLink1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externalLink" Target="externalLinks/externalLink20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560917</xdr:colOff>
      <xdr:row>23</xdr:row>
      <xdr:rowOff>158750</xdr:rowOff>
    </xdr:from>
    <xdr:ext cx="6411220" cy="2038635"/>
    <xdr:pic>
      <xdr:nvPicPr>
        <xdr:cNvPr id="2" name="Imagen 1">
          <a:extLst>
            <a:ext uri="{FF2B5EF4-FFF2-40B4-BE49-F238E27FC236}">
              <a16:creationId xmlns:a16="http://schemas.microsoft.com/office/drawing/2014/main" id="{7C41EEA4-7302-408B-9440-D02CF5A6B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17" y="4540250"/>
          <a:ext cx="6411220" cy="2038635"/>
        </a:xfrm>
        <a:prstGeom prst="rect">
          <a:avLst/>
        </a:prstGeom>
      </xdr:spPr>
    </xdr:pic>
    <xdr:clientData/>
  </xdr:oneCellAnchor>
  <xdr:oneCellAnchor>
    <xdr:from>
      <xdr:col>0</xdr:col>
      <xdr:colOff>582083</xdr:colOff>
      <xdr:row>35</xdr:row>
      <xdr:rowOff>169333</xdr:rowOff>
    </xdr:from>
    <xdr:ext cx="6420746" cy="7468642"/>
    <xdr:pic>
      <xdr:nvPicPr>
        <xdr:cNvPr id="3" name="Imagen 2">
          <a:extLst>
            <a:ext uri="{FF2B5EF4-FFF2-40B4-BE49-F238E27FC236}">
              <a16:creationId xmlns:a16="http://schemas.microsoft.com/office/drawing/2014/main" id="{183B7878-FA14-4230-93A4-5650A4600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083" y="6836833"/>
          <a:ext cx="6420746" cy="746864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ETESA\IMP%20ETESA%202021-2025%20vf_IPSA%20A&#209;O%202%20-%20revisi&#243;n%20sep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ETESA\TOTAL%20VNR%20SUBSTACIONES%202024%20_%20Tarifa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5%20Comunicaciones\Recibido\asep\ETESA%20-%20Informaci&#243;n\ETE-DGC-GT-008-2025\11.%20Plan%20de%20Inversiones%20de%20ETESA\Plan%20de%20Inversiones%20Preliminar%20feb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5%20Comunicaciones\Recibido\asep\ETESA%20-%20Informaci&#243;n\2.%20Detalle%20de%20Inversiones%20y%20Retiros%20de%20activos\Pto.%2002%20inversiones%20PP&amp;E%20A2021%20al%20primer%20semestre%20A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Peru\VNR%202019\VNR%20y%20CO&amp;M\VNR\VNR-REP-20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Peru\VNR%202020\VNR\VNR-REP-20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Peru\VNR%202021\VNRyCO&amp;M\VNR\VNR-REP-202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Peru\VNR%202022\VNR\VNR-REP-202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Peru\VNR%202023\VNR\VNR-REP-202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Peru\VNR%202024\VNR\VNR-REP-20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Peru\VNR%202023\VNR\Resumen_Liquid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5%20Comunicaciones\Recibido\asep\Revisi&#243;n%20IPSPA%202024\IMP%20ETESA%202021-2025_IPSA%20A&#209;O%203%20-%20revisi&#243;n%20ETES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Peru\VNR%20SST%202024\5.2.4%20Archivos%20de%20calculos\CALCULO_ISA_2024%20Pu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rebecaf_asep_gob_pa/Documents/Documentos/Disco%20F/2025/Revisi&#243;n%20Tarifaria%20de%20Transmisi&#243;n%2025-29/Informe%20del%20IMP%20preliminar/Informe%2027%20de%20junio/Pto.%2018%20PP&amp;E%20mayor%20a%201.5MM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ETESA\2021_Contab_Reg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ETESA\2022_Contab_Regu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IMP%202025-2029\ETESA\2023_Contab_Regu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5-TRABAJOS%20EN%20CURSO\PANAMA\170-PA-ASEP-IMP_ETESA\08%20Modelos\VNR\IndexadorVN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de%20Carlos/Consultor&#237;a/Sigla/org/ASEP_IMP_ETESA/08%20Modelos/VNR/pesin/etesa/LT/TOTAL%20VNR%20LINEAS%202025%20actualizado.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de%20Carlos/Consultor&#237;a/Sigla/org/ASEP_IMP_ETESA/08%20Modelos/VNR/pesin/ajustado/LT/TOTAL%20VNR%20LINEAS%202025%20actualizado%20pes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Existente"/>
      <sheetName val="Factor ajuste"/>
      <sheetName val="IMPA Indicativo"/>
      <sheetName val="Sensibilidad"/>
      <sheetName val="Activos Reconocidos"/>
      <sheetName val="Tasa de Depreciación"/>
      <sheetName val="Base de Capital"/>
      <sheetName val="OMT%_ADMT%"/>
      <sheetName val="VNR Lin "/>
      <sheetName val=" VNR Sub"/>
      <sheetName val="Plan de Expansión"/>
      <sheetName val="Hoja1"/>
      <sheetName val="Inversiones 21_22"/>
      <sheetName val="Equipo Informático 22"/>
      <sheetName val="Adiciones"/>
      <sheetName val="PG_flota 2022 (2)"/>
      <sheetName val="G_OBLIGADA"/>
      <sheetName val="TCCOMERCIO"/>
      <sheetName val="CND"/>
      <sheetName val="CTPR"/>
      <sheetName val="Tercera Línea"/>
      <sheetName val="Bienes e Instalaciones 31_12_20"/>
      <sheetName val="Base ETESA"/>
      <sheetName val="Datos comparadoras"/>
      <sheetName val="Transelec"/>
      <sheetName val="ISA Perú"/>
      <sheetName val="Ratios comparadores"/>
      <sheetName val="Cuadro Infor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2">
          <cell r="E12">
            <v>3919.6149999999998</v>
          </cell>
        </row>
        <row r="13">
          <cell r="E13">
            <v>2248.6419999999998</v>
          </cell>
        </row>
        <row r="14">
          <cell r="F14">
            <v>20333.368999999999</v>
          </cell>
        </row>
        <row r="15">
          <cell r="F15">
            <v>24863.73605</v>
          </cell>
        </row>
        <row r="16">
          <cell r="E16">
            <v>3703.1869999999999</v>
          </cell>
        </row>
        <row r="17">
          <cell r="E17">
            <v>5611.4040000000005</v>
          </cell>
        </row>
        <row r="18">
          <cell r="E18">
            <v>6201.3959999999997</v>
          </cell>
        </row>
        <row r="19">
          <cell r="E19">
            <v>2035.9929999999999</v>
          </cell>
        </row>
        <row r="20">
          <cell r="F20">
            <v>6638.77</v>
          </cell>
        </row>
        <row r="21">
          <cell r="F21">
            <v>2709.6679199999999</v>
          </cell>
        </row>
        <row r="78">
          <cell r="E78">
            <v>5441.1270000000004</v>
          </cell>
        </row>
        <row r="79">
          <cell r="E79">
            <v>5167.3440000000001</v>
          </cell>
        </row>
        <row r="80">
          <cell r="F80">
            <v>4548.9090699999997</v>
          </cell>
        </row>
        <row r="150">
          <cell r="E150">
            <v>783.96619000000032</v>
          </cell>
          <cell r="F150">
            <v>489.49716000000001</v>
          </cell>
        </row>
        <row r="151">
          <cell r="E151">
            <v>111.28</v>
          </cell>
          <cell r="F151">
            <v>1771.9300495999998</v>
          </cell>
        </row>
        <row r="156">
          <cell r="E156">
            <v>4213.308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</sheetNames>
    <sheetDataSet>
      <sheetData sheetId="0">
        <row r="6">
          <cell r="C6">
            <v>81253562.286067054</v>
          </cell>
          <cell r="D6">
            <v>37356288.715684421</v>
          </cell>
        </row>
        <row r="7">
          <cell r="C7">
            <v>48598642.164690673</v>
          </cell>
          <cell r="D7">
            <v>45160673.384403311</v>
          </cell>
        </row>
        <row r="8">
          <cell r="B8" t="str">
            <v>PANAMA III</v>
          </cell>
          <cell r="C8">
            <v>8836248.4394901209</v>
          </cell>
          <cell r="D8">
            <v>0</v>
          </cell>
        </row>
        <row r="9">
          <cell r="B9" t="str">
            <v>SABANITAS</v>
          </cell>
          <cell r="C9">
            <v>42505028.502633892</v>
          </cell>
          <cell r="D9">
            <v>0</v>
          </cell>
        </row>
        <row r="10">
          <cell r="E10">
            <v>63791126.749766968</v>
          </cell>
        </row>
        <row r="11">
          <cell r="C11">
            <v>50402138.587442502</v>
          </cell>
          <cell r="D11">
            <v>0</v>
          </cell>
          <cell r="G11">
            <v>13885667.314607959</v>
          </cell>
        </row>
        <row r="12">
          <cell r="C12">
            <v>13249825.63839709</v>
          </cell>
          <cell r="D12">
            <v>0</v>
          </cell>
        </row>
        <row r="13">
          <cell r="C13">
            <v>110034315.95481004</v>
          </cell>
          <cell r="D13">
            <v>0</v>
          </cell>
          <cell r="F13">
            <v>8393200.1777465604</v>
          </cell>
          <cell r="G13">
            <v>6272553.5368098198</v>
          </cell>
        </row>
        <row r="14">
          <cell r="C14">
            <v>53328555.086135</v>
          </cell>
          <cell r="D14">
            <v>0</v>
          </cell>
        </row>
        <row r="15">
          <cell r="C15">
            <v>14588259.801823238</v>
          </cell>
          <cell r="D15">
            <v>0</v>
          </cell>
        </row>
        <row r="16">
          <cell r="C16">
            <v>31372892.831478421</v>
          </cell>
          <cell r="D16">
            <v>6126377.5003104182</v>
          </cell>
          <cell r="G16">
            <v>15476646.88118542</v>
          </cell>
        </row>
        <row r="17">
          <cell r="C17">
            <v>18367645.473388236</v>
          </cell>
          <cell r="D17">
            <v>0</v>
          </cell>
          <cell r="F17">
            <v>1313650.1315770911</v>
          </cell>
          <cell r="G17">
            <v>7521236.1701460332</v>
          </cell>
        </row>
        <row r="18">
          <cell r="C18">
            <v>4469051.3571431199</v>
          </cell>
          <cell r="D18">
            <v>0</v>
          </cell>
        </row>
        <row r="19">
          <cell r="C19">
            <v>6168078.6568704201</v>
          </cell>
        </row>
        <row r="20">
          <cell r="C20">
            <v>6258544.3634684775</v>
          </cell>
        </row>
        <row r="21">
          <cell r="C21">
            <v>25815891.836158</v>
          </cell>
          <cell r="D21">
            <v>0</v>
          </cell>
          <cell r="F21">
            <v>0</v>
          </cell>
          <cell r="G21">
            <v>4215070.7546636537</v>
          </cell>
        </row>
        <row r="22">
          <cell r="C22">
            <v>4670073.0811969731</v>
          </cell>
          <cell r="D22">
            <v>0</v>
          </cell>
        </row>
        <row r="23">
          <cell r="C23">
            <v>0</v>
          </cell>
          <cell r="D23">
            <v>12110317.681827839</v>
          </cell>
        </row>
        <row r="24">
          <cell r="C24">
            <v>0</v>
          </cell>
          <cell r="D24">
            <v>8047103.0056935325</v>
          </cell>
        </row>
        <row r="25">
          <cell r="C25">
            <v>0</v>
          </cell>
          <cell r="D25">
            <v>11204260.436332701</v>
          </cell>
          <cell r="I25">
            <v>817916.67088659666</v>
          </cell>
        </row>
        <row r="26">
          <cell r="F26">
            <v>2522298.6042971867</v>
          </cell>
        </row>
        <row r="27">
          <cell r="H27">
            <v>20800983.781310309</v>
          </cell>
        </row>
        <row r="28">
          <cell r="H28">
            <v>33008081.569488253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S DEL PLAN"/>
    </sheetNames>
    <sheetDataSet>
      <sheetData sheetId="0" refreshError="1">
        <row r="11">
          <cell r="B11" t="str">
            <v>ADICION BANCO CAPACITORES 40 MVAR STA. RITA 115 KV 2x20 MVAR</v>
          </cell>
          <cell r="O11">
            <v>4286.5073599999996</v>
          </cell>
          <cell r="P11">
            <v>45503</v>
          </cell>
        </row>
        <row r="12">
          <cell r="B12" t="str">
            <v>LÍNEA TELFERS - SABANITAS 230 KV</v>
          </cell>
          <cell r="O12">
            <v>33016.646879200001</v>
          </cell>
          <cell r="P12">
            <v>45565</v>
          </cell>
        </row>
        <row r="13">
          <cell r="B13" t="str">
            <v xml:space="preserve">LINEA DOBLE CTO. M. NANCE - FRONTERA 230 KV </v>
          </cell>
          <cell r="O13">
            <v>35360.927169999995</v>
          </cell>
          <cell r="P13">
            <v>45657</v>
          </cell>
        </row>
        <row r="14">
          <cell r="B14" t="str">
            <v>ADICION TRANSFORMADOR T3 S/E BOQUERON III 230/34.5 KV</v>
          </cell>
          <cell r="O14">
            <v>6784.6891399999995</v>
          </cell>
          <cell r="P14">
            <v>45702</v>
          </cell>
        </row>
        <row r="15">
          <cell r="B15" t="str">
            <v>AUMENTO DE CAPACIDAD LT2 VELADERO - PANAMA II 230 KV 305 KM</v>
          </cell>
          <cell r="O15">
            <v>44699.986629999999</v>
          </cell>
          <cell r="P15">
            <v>45776</v>
          </cell>
        </row>
        <row r="16">
          <cell r="B16" t="str">
            <v>AUMENTO DE CAPACIDAD LT1 VEL-LLS-EHI-CHO-PAN 230 KV 192 KM</v>
          </cell>
          <cell r="O16">
            <v>117067.75133</v>
          </cell>
          <cell r="P16">
            <v>45813</v>
          </cell>
        </row>
        <row r="17">
          <cell r="B17" t="str">
            <v>LINEA SAB-S.RITA 230 KV, S/E STA. RITA 230 KV Y AD. SABANITAS 230 KV</v>
          </cell>
          <cell r="O17">
            <v>21699.8859443</v>
          </cell>
          <cell r="P17">
            <v>45954</v>
          </cell>
        </row>
        <row r="18">
          <cell r="B18" t="str">
            <v>NUEVA LINEA PANAMA II - BAYANO 230 KV DOBLE CTO. 1200 ACAR.</v>
          </cell>
          <cell r="O18">
            <v>33734.791407500008</v>
          </cell>
          <cell r="P18">
            <v>46182</v>
          </cell>
        </row>
        <row r="19">
          <cell r="B19" t="str">
            <v xml:space="preserve">NUEVA S/E CHEPO 230 KV </v>
          </cell>
          <cell r="O19">
            <v>16156.204775000002</v>
          </cell>
          <cell r="P19">
            <v>46182</v>
          </cell>
        </row>
        <row r="21">
          <cell r="B21" t="str">
            <v>NUEVA S/E CACERES 115 KV GIS</v>
          </cell>
          <cell r="O21">
            <v>13283.565339999999</v>
          </cell>
          <cell r="P21">
            <v>46033</v>
          </cell>
        </row>
        <row r="22">
          <cell r="B22" t="str">
            <v>BANCO DE CAPACITORES S/E LLANO SANCHEZ 230 KV 60 MVAR</v>
          </cell>
          <cell r="O22">
            <v>8193</v>
          </cell>
          <cell r="P22">
            <v>46074</v>
          </cell>
        </row>
        <row r="23">
          <cell r="B23" t="str">
            <v>STATCOM S/E PANAMA III +/- 240 MVAR</v>
          </cell>
          <cell r="O23">
            <v>62809.142999999996</v>
          </cell>
          <cell r="P23">
            <v>46187</v>
          </cell>
        </row>
        <row r="24">
          <cell r="B24" t="str">
            <v>ADICION TRANSFORMADOR T2 S/E SAN BARTOLO 150 MVA</v>
          </cell>
          <cell r="O24">
            <v>6260.9687399999993</v>
          </cell>
          <cell r="P24">
            <v>45953</v>
          </cell>
        </row>
        <row r="25">
          <cell r="B25" t="str">
            <v>ADICION TRANSFORMADOR T3 S/E SAN BARTOLO 150 MVA</v>
          </cell>
          <cell r="O25">
            <v>16997.60353</v>
          </cell>
          <cell r="P25">
            <v>46325</v>
          </cell>
        </row>
        <row r="26">
          <cell r="B26" t="str">
            <v>ADICION TRANSFORMADOR DE TIERRA S/E SAN BARTOLO 34.5 KV</v>
          </cell>
          <cell r="O26">
            <v>277.06573000000003</v>
          </cell>
          <cell r="P26">
            <v>46022</v>
          </cell>
        </row>
        <row r="27">
          <cell r="B27" t="str">
            <v>AUMENTO DE CAPACIDAD LINEA PANAMA III - PANAMA 230 KV</v>
          </cell>
          <cell r="O27">
            <v>2150</v>
          </cell>
          <cell r="P27">
            <v>45855</v>
          </cell>
        </row>
        <row r="28">
          <cell r="B28" t="str">
            <v>NUEVA S/E LA HUACA 230/115/34.5 KV</v>
          </cell>
          <cell r="O28">
            <v>37210.801799999994</v>
          </cell>
          <cell r="P28">
            <v>46073</v>
          </cell>
        </row>
        <row r="29">
          <cell r="B29" t="str">
            <v>LINEA LA HUACA - LOS OLIVOS 230 KV</v>
          </cell>
          <cell r="O29">
            <v>32698.105800000001</v>
          </cell>
          <cell r="P29">
            <v>46302</v>
          </cell>
        </row>
        <row r="30">
          <cell r="B30" t="str">
            <v>NUEVA S/E LOS OLIVOS 230/115/34.5 KV</v>
          </cell>
          <cell r="O30">
            <v>30349.742399999996</v>
          </cell>
          <cell r="P30">
            <v>46302</v>
          </cell>
        </row>
        <row r="31">
          <cell r="B31" t="str">
            <v>NUEVA S/E PROGRESO II 230/115/34.5 KV</v>
          </cell>
          <cell r="O31">
            <v>35697.329729999998</v>
          </cell>
          <cell r="P31">
            <v>46012</v>
          </cell>
        </row>
        <row r="32">
          <cell r="B32" t="str">
            <v>NUEVA S/E PANAMA 3 115 KV</v>
          </cell>
          <cell r="O32">
            <v>29006.587999999996</v>
          </cell>
          <cell r="P32">
            <v>45953</v>
          </cell>
        </row>
        <row r="33">
          <cell r="B33" t="str">
            <v>NUEVA S/E CHEPO 115/34.5 KV</v>
          </cell>
          <cell r="O33">
            <v>22048.799999999999</v>
          </cell>
          <cell r="P33">
            <v>46295</v>
          </cell>
        </row>
        <row r="34">
          <cell r="B34" t="str">
            <v>NUEVA S/E CALDERA 230/115/34.5 KV</v>
          </cell>
          <cell r="O34">
            <v>40738</v>
          </cell>
          <cell r="P34">
            <v>46073</v>
          </cell>
        </row>
        <row r="35">
          <cell r="B35" t="str">
            <v>SISTEMA BESS EN S/E PANAMA 3 EN 230KV</v>
          </cell>
          <cell r="O35">
            <v>129933.23</v>
          </cell>
          <cell r="P35">
            <v>45960</v>
          </cell>
        </row>
        <row r="36">
          <cell r="B36" t="str">
            <v>NUEVA S/E CHARCO AZUL 115/34.5 KV</v>
          </cell>
          <cell r="O36">
            <v>13514.81</v>
          </cell>
          <cell r="P36">
            <v>46295</v>
          </cell>
        </row>
        <row r="37">
          <cell r="B37" t="str">
            <v>LINEA LT4 CHIRIQUI GRANDE - PANAMA III 500 KV OPERANDO EN 230 KV</v>
          </cell>
          <cell r="P37">
            <v>46203</v>
          </cell>
        </row>
        <row r="39">
          <cell r="B39" t="str">
            <v>ADICION DE TRANSFORMADOR T3 S/E PROGRESO 2 230/115/34.5 KV</v>
          </cell>
          <cell r="O39">
            <v>8847.8540000000012</v>
          </cell>
          <cell r="P39">
            <v>46568</v>
          </cell>
        </row>
        <row r="40">
          <cell r="B40" t="str">
            <v>ADICION DE TRANSFORMADOR  T4 S/E BOQUERON III 230/34.5 KV</v>
          </cell>
          <cell r="O40">
            <v>6036.4180000000006</v>
          </cell>
          <cell r="P40">
            <v>46568</v>
          </cell>
        </row>
        <row r="41">
          <cell r="B41" t="str">
            <v>ADICION DE TRANSFORMADOR  T4 S/E LLANOS SANCHEZ 230/115/34.5 KV</v>
          </cell>
          <cell r="O41">
            <v>8847.8540000000012</v>
          </cell>
          <cell r="P41">
            <v>46568</v>
          </cell>
        </row>
        <row r="42">
          <cell r="B42" t="str">
            <v>AUMENTO DE CAPACIDAD LT GUASQ-FORT-CH. GRANDE 230 KV</v>
          </cell>
          <cell r="O42">
            <v>38379.003000000004</v>
          </cell>
          <cell r="P42">
            <v>46783</v>
          </cell>
        </row>
        <row r="43">
          <cell r="B43" t="str">
            <v>LINEA LT4 CHIRIQUI GRANDE - PANAMA3 ELEVADA A 500 KV</v>
          </cell>
          <cell r="O43">
            <v>190289</v>
          </cell>
          <cell r="P43">
            <v>47483</v>
          </cell>
        </row>
        <row r="44">
          <cell r="B44" t="str">
            <v>STATCOM EN S/E SABANITAS  +/- 120 MVAR</v>
          </cell>
          <cell r="O44">
            <v>39511.648000000001</v>
          </cell>
          <cell r="P44">
            <v>48731</v>
          </cell>
        </row>
        <row r="45">
          <cell r="B45" t="str">
            <v>ADICION DE TRANSFORMADOR  T4 S/E CHORRERA 230/115/34.5 KV</v>
          </cell>
          <cell r="O45">
            <v>8847.8540000000012</v>
          </cell>
          <cell r="P45">
            <v>49125</v>
          </cell>
        </row>
        <row r="47">
          <cell r="B47" t="str">
            <v>REPOSICION DE ENLACES MICROONDAS</v>
          </cell>
          <cell r="P47" t="str">
            <v>2023-2024</v>
          </cell>
        </row>
        <row r="48">
          <cell r="B48" t="str">
            <v>REPOSICION DE TORRES DE COMUNICACIONES</v>
          </cell>
          <cell r="P48" t="str">
            <v>2023-2025</v>
          </cell>
        </row>
        <row r="49">
          <cell r="B49" t="str">
            <v>REPOSICION DE RECTIFICADORES</v>
          </cell>
          <cell r="P49" t="str">
            <v>2021-2024</v>
          </cell>
        </row>
        <row r="50">
          <cell r="B50" t="str">
            <v>REPOSICION BANCOS DE BATERIAS DE COMUNICACIONES</v>
          </cell>
          <cell r="P50" t="str">
            <v>2022-2025</v>
          </cell>
        </row>
        <row r="51">
          <cell r="B51" t="str">
            <v>REPOSICION SISTEMA DE RADIO COMUNICACION DIGITAL ASTRO-25</v>
          </cell>
          <cell r="P51" t="str">
            <v>2023-2026</v>
          </cell>
        </row>
        <row r="52">
          <cell r="B52" t="str">
            <v>REPOSICION EQUIPOS DE PRUEBA Y NED. RED DE TELECOMUNICACIONES</v>
          </cell>
          <cell r="P52" t="str">
            <v>2023-2025</v>
          </cell>
        </row>
        <row r="53">
          <cell r="B53" t="str">
            <v>ADQUISICIÓN DE NUEVOS SITIOS TRONCALES PARA MEJORAR COBERTURA EN LÍNEA 230-20/30</v>
          </cell>
          <cell r="O53">
            <v>264.44952000000012</v>
          </cell>
          <cell r="P53">
            <v>45657</v>
          </cell>
        </row>
        <row r="54">
          <cell r="B54" t="str">
            <v>ENLACE ÓPTICO SE MATA DEL NANCE-VALBUENA</v>
          </cell>
          <cell r="O54">
            <v>70.376040000000003</v>
          </cell>
          <cell r="P54">
            <v>45657</v>
          </cell>
        </row>
        <row r="57">
          <cell r="B57" t="str">
            <v xml:space="preserve">REEMPLAZO INTERRUPTORES S/E LA ESPERANZA 230 KV </v>
          </cell>
          <cell r="O57">
            <v>208.8</v>
          </cell>
          <cell r="P57">
            <v>44926</v>
          </cell>
        </row>
        <row r="58">
          <cell r="B58" t="str">
            <v>REEMPLAZO T3 S/E PANAMA 350 MVA</v>
          </cell>
          <cell r="O58">
            <v>1534</v>
          </cell>
          <cell r="P58">
            <v>44957</v>
          </cell>
        </row>
        <row r="59">
          <cell r="B59" t="str">
            <v>REEMPLAZO BANCO BATERIAS S/E GUASQUITAS Y CAÑAZAS</v>
          </cell>
          <cell r="O59">
            <v>0</v>
          </cell>
          <cell r="P59">
            <v>45291</v>
          </cell>
        </row>
        <row r="60">
          <cell r="B60" t="str">
            <v>EQUIPO PRUEBA DE TRANSFORMADORES DE POTENCIA Y DE INSTRUMENTACIÓN</v>
          </cell>
          <cell r="O60">
            <v>0</v>
          </cell>
          <cell r="P60">
            <v>45291</v>
          </cell>
        </row>
        <row r="61">
          <cell r="B61" t="str">
            <v xml:space="preserve">REEMPLAZO INTERRUPTORES S/E PANAMÁ 115 KV </v>
          </cell>
          <cell r="O61">
            <v>278.39999999999998</v>
          </cell>
          <cell r="P61">
            <v>45657</v>
          </cell>
        </row>
        <row r="62">
          <cell r="B62" t="str">
            <v>REEMPLAZO TORRES CORROIDAS EN PANAMÁ Y COLÓN</v>
          </cell>
          <cell r="O62">
            <v>696</v>
          </cell>
          <cell r="P62">
            <v>45657</v>
          </cell>
        </row>
        <row r="63">
          <cell r="B63" t="str">
            <v>REEMPLAZO DE BANCOS DE CAPACITORES EN S/E PANAMÁ Y S/E PANAMÁ 2</v>
          </cell>
        </row>
        <row r="64">
          <cell r="O64">
            <v>336.4</v>
          </cell>
          <cell r="P64">
            <v>45657</v>
          </cell>
        </row>
        <row r="66">
          <cell r="B66" t="str">
            <v>REEMPLAZO CUCHILLAS MANUALES S/E PANAMA 115 KV</v>
          </cell>
          <cell r="O66">
            <v>1937.1999999999998</v>
          </cell>
          <cell r="P66">
            <v>45657</v>
          </cell>
        </row>
        <row r="67">
          <cell r="B67" t="str">
            <v>REEMPLAZO CONTADORES DE DESCARGA PARA LT DE 230 Y 115 KV EN ZONA 3</v>
          </cell>
          <cell r="O67">
            <v>62.64</v>
          </cell>
          <cell r="P67">
            <v>45657</v>
          </cell>
        </row>
        <row r="68">
          <cell r="B68" t="str">
            <v>PLANTAS AUXILIARES DE LAS SUBESTACIONES PROGRESO Y MATA DE NANCE</v>
          </cell>
          <cell r="O68">
            <v>812</v>
          </cell>
        </row>
        <row r="69">
          <cell r="P69">
            <v>45657</v>
          </cell>
        </row>
        <row r="71">
          <cell r="B71" t="str">
            <v>REEMPLAZO CTs A NIVEL NACIONAL y PANAMA 230 y 115 KV</v>
          </cell>
          <cell r="O71">
            <v>2581</v>
          </cell>
          <cell r="P71">
            <v>45657</v>
          </cell>
        </row>
        <row r="72">
          <cell r="B72" t="str">
            <v>REPOSICION DE RECTIFICADORES DE 125 VDC PARA LAS SUBESTACIONES DE MATA DEL NANCE, CAÑAZAS, CHANGUINOLA, PROGRESO Y GUASQUITA</v>
          </cell>
          <cell r="O72">
            <v>156.6</v>
          </cell>
          <cell r="P72">
            <v>45657</v>
          </cell>
        </row>
        <row r="73">
          <cell r="B73" t="str">
            <v>REEMPLAZO CUCHILLAS MANUALES S/E LLANO SANCHEZ 230 KV</v>
          </cell>
          <cell r="O73">
            <v>690.2</v>
          </cell>
          <cell r="P73">
            <v>45657</v>
          </cell>
        </row>
        <row r="74">
          <cell r="B74" t="str">
            <v>REEMPLAZO DE CUCHILLAS MOTORIZADAS DE S/E MATA DE NANCE 230 Y 115 KV</v>
          </cell>
          <cell r="O74">
            <v>264.48</v>
          </cell>
          <cell r="P74">
            <v>45657</v>
          </cell>
        </row>
        <row r="75">
          <cell r="B75" t="str">
            <v>REEMPLAZO TRANSFORMADOR DE TIERRA S/E LLANO SANCHEZ</v>
          </cell>
          <cell r="O75">
            <v>1740</v>
          </cell>
          <cell r="P75">
            <v>45657</v>
          </cell>
        </row>
        <row r="76">
          <cell r="B76" t="str">
            <v>REEMPLAZO DEL TRANSFORMADOR DE SERVICIOS AUXILIARES S/E LLANO SÁNCHEZ</v>
          </cell>
          <cell r="O76">
            <v>81.2</v>
          </cell>
          <cell r="P76">
            <v>45657</v>
          </cell>
        </row>
        <row r="77">
          <cell r="B77" t="str">
            <v>EQUIPO ANALIZADOR PORTÁTIL DE DESCARGAS PARCIALES</v>
          </cell>
          <cell r="O77">
            <v>300</v>
          </cell>
          <cell r="P77">
            <v>45657</v>
          </cell>
        </row>
        <row r="78">
          <cell r="B78" t="str">
            <v>ADQUISICIÓN DE EQUIPO PARA PRUEBAS A MUY BAJA FRECUENCIA A CABLES DE MEDIA TENSIÓN</v>
          </cell>
          <cell r="O78">
            <v>85</v>
          </cell>
          <cell r="P78">
            <v>45657</v>
          </cell>
        </row>
        <row r="79">
          <cell r="B79" t="str">
            <v>IMPLEMENTACIÓN DE LABORATORIO DE PRUEBAS Y MEDICIONES</v>
          </cell>
          <cell r="O79">
            <v>248.08057761732852</v>
          </cell>
          <cell r="P79">
            <v>45657</v>
          </cell>
        </row>
        <row r="80">
          <cell r="B80" t="str">
            <v>REEMPLAZO MAQUINA FILTRADORA Y REGENERADORA DE ACEITE DE TRANSF.</v>
          </cell>
          <cell r="O80">
            <v>800</v>
          </cell>
          <cell r="P80">
            <v>45657</v>
          </cell>
        </row>
        <row r="81">
          <cell r="B81" t="str">
            <v>REEMPLAZO Y ADQUISICIÓN PROTECCIONES DIFERENCIALES LINEAS 230 Y 115 KV</v>
          </cell>
          <cell r="O81">
            <v>22.568912459076969</v>
          </cell>
          <cell r="P81">
            <v>45657</v>
          </cell>
        </row>
        <row r="82">
          <cell r="B82" t="str">
            <v>REEMPLAZO INTERRUPTORES S/E MATA DE NANCE 230 KV</v>
          </cell>
          <cell r="O82">
            <v>5692.9417699999995</v>
          </cell>
          <cell r="P82">
            <v>45818</v>
          </cell>
        </row>
        <row r="83">
          <cell r="B83" t="str">
            <v>REEMPLAZO CUCHILLAS MOTORIZADAS S/E ESPERANZA, BOQ III y CAÑAZAS 230 KV</v>
          </cell>
          <cell r="O83">
            <v>232</v>
          </cell>
          <cell r="P83">
            <v>46022</v>
          </cell>
        </row>
        <row r="84">
          <cell r="B84" t="str">
            <v xml:space="preserve">REEMPLAZO INTERRUPTORES BANCOS CAPACITORES S/E PANAMA 115 KV </v>
          </cell>
          <cell r="O84">
            <v>800.40000000000009</v>
          </cell>
          <cell r="P84">
            <v>46022</v>
          </cell>
        </row>
        <row r="85">
          <cell r="B85" t="str">
            <v>REEMPLAZO CUCHILLAS MOTORIZADAS S/E PANAMA 230 KV</v>
          </cell>
          <cell r="O85">
            <v>387.44000000000005</v>
          </cell>
          <cell r="P85">
            <v>46022</v>
          </cell>
        </row>
        <row r="86">
          <cell r="B86" t="str">
            <v xml:space="preserve">REEMPLAZO CUCHILLAS MOTORIZADAS S/E LLANO SANCHEZ 230 KV </v>
          </cell>
          <cell r="O86">
            <v>185.6</v>
          </cell>
          <cell r="P86">
            <v>46022</v>
          </cell>
        </row>
        <row r="87">
          <cell r="B87" t="str">
            <v>REEMPLAZO CUCHILLAS MOTORIZADAS S/E PANAMA 115 KV</v>
          </cell>
          <cell r="O87">
            <v>903.6400000000001</v>
          </cell>
          <cell r="P87">
            <v>46022</v>
          </cell>
        </row>
        <row r="88">
          <cell r="B88" t="str">
            <v xml:space="preserve">REEMPLAZO INTERRUPTORES BANCOS CAPACITORES S/E PAN II y LLS 230 KV </v>
          </cell>
          <cell r="O88">
            <v>1392</v>
          </cell>
          <cell r="P88">
            <v>46022</v>
          </cell>
        </row>
        <row r="89">
          <cell r="B89" t="str">
            <v>REEMPLAZO INTERRUPTORES S/E PROGRESO 115 KV</v>
          </cell>
          <cell r="O89">
            <v>174</v>
          </cell>
          <cell r="P89">
            <v>46022</v>
          </cell>
        </row>
        <row r="90">
          <cell r="B90" t="str">
            <v>REEMPLAZO DE TRANSFORMADORES DE PUESTA A TIERRA TT1 y TT2 SUBESTACIONES MATA DE NANCE Y PROGRESO</v>
          </cell>
          <cell r="O90">
            <v>1740</v>
          </cell>
          <cell r="P90">
            <v>46022</v>
          </cell>
        </row>
        <row r="91">
          <cell r="B91" t="str">
            <v>REEMPLAZO DE REACTORES DE 230 KV DE LA SUBESTACIÓN VELADERO (3), LLANO SÁNCHEZ (3) Y LLS 34.5 KV (1)</v>
          </cell>
          <cell r="O91">
            <v>8965.4500000000007</v>
          </cell>
          <cell r="P91">
            <v>46022</v>
          </cell>
        </row>
        <row r="92">
          <cell r="B92" t="str">
            <v>CENTRO DE MONITOREO Y CONTROL</v>
          </cell>
          <cell r="O92">
            <v>3480</v>
          </cell>
          <cell r="P92">
            <v>46022</v>
          </cell>
        </row>
        <row r="93">
          <cell r="B93" t="str">
            <v>REEMPLAZO CUCHILLAS MANUALES S/E PANAMA 230 KV</v>
          </cell>
          <cell r="O93">
            <v>617.12</v>
          </cell>
          <cell r="P93">
            <v>46022</v>
          </cell>
        </row>
        <row r="94">
          <cell r="B94" t="str">
            <v xml:space="preserve">REEMPLAZO INTERRUPTORES S/E CHORRERA 230 KV </v>
          </cell>
          <cell r="O94">
            <v>5365</v>
          </cell>
          <cell r="P94">
            <v>46022</v>
          </cell>
        </row>
        <row r="95">
          <cell r="B95" t="str">
            <v>REEMPLAZO DE BANCO DE BATERÍAS CHARCO AZUL, BOQUERON, MATA DEL NANCE, PROGRESO Y BELLA VISTA</v>
          </cell>
          <cell r="O95">
            <v>138</v>
          </cell>
          <cell r="P95">
            <v>46022</v>
          </cell>
        </row>
        <row r="96">
          <cell r="B96" t="str">
            <v>RECTIIFCADORES DE CAÑAZAS, PROGRESO, CHARCO AZUL, MATA DEL NANCE, CALDERA</v>
          </cell>
          <cell r="O96">
            <v>148.19999999999999</v>
          </cell>
          <cell r="P96">
            <v>46022</v>
          </cell>
        </row>
        <row r="97">
          <cell r="B97" t="str">
            <v>RREMPLAZO DE TRANSOFRMADOR DE SERVICIOS AUXILIARES Y TRANFER SWITCH DE LA SUBESTACION BOQUERON</v>
          </cell>
          <cell r="O97">
            <v>45.98</v>
          </cell>
          <cell r="P97">
            <v>46022</v>
          </cell>
        </row>
        <row r="98">
          <cell r="B98" t="str">
            <v>EQUIPO MONITOREO EN LINEA DE TRANSFORMADORES</v>
          </cell>
          <cell r="O98">
            <v>1719.4865575096019</v>
          </cell>
          <cell r="P98">
            <v>46022</v>
          </cell>
        </row>
        <row r="99">
          <cell r="B99" t="str">
            <v>REEMPLAZO T1 S/E PANAMA 230/115 KV 350 MVA Y ADECUACION PANAMA 230 KV</v>
          </cell>
          <cell r="O99">
            <v>12827.66</v>
          </cell>
          <cell r="P99">
            <v>46022</v>
          </cell>
        </row>
        <row r="100">
          <cell r="B100" t="str">
            <v>REEMPLAZO PROTECCIONES S/E GUASQUITAS 230 KV</v>
          </cell>
          <cell r="O100">
            <v>123.66974154987896</v>
          </cell>
          <cell r="P100">
            <v>46387</v>
          </cell>
        </row>
        <row r="101">
          <cell r="B101" t="str">
            <v>REEMPLAZO PROTECCIONES S/E LLANO SÁNCHEZ 230 Y 115 KV</v>
          </cell>
          <cell r="P101">
            <v>46387</v>
          </cell>
        </row>
        <row r="102">
          <cell r="B102" t="str">
            <v>REEMPLAZO PROTECCIONES S/E VELADERO 230 KV</v>
          </cell>
          <cell r="P102">
            <v>46387</v>
          </cell>
        </row>
        <row r="103">
          <cell r="B103" t="str">
            <v>REEMPLAZO DE LAS PROTECCIONES EN LOS PATIOS 230 y 115 KV EN S/E PANAMÁ II</v>
          </cell>
          <cell r="P103" t="str">
            <v>2019-2024</v>
          </cell>
        </row>
        <row r="104">
          <cell r="B104" t="str">
            <v>REEMPLAZO DE HILO DE GUARDA ZONAS 1 Y 3 LÍNEAS 230 KV Y 115 KV</v>
          </cell>
          <cell r="P104" t="str">
            <v>2021-2025</v>
          </cell>
        </row>
        <row r="105">
          <cell r="B105" t="str">
            <v>REEMPLAZO DE RTUs</v>
          </cell>
          <cell r="P105" t="str">
            <v>2022-2025</v>
          </cell>
        </row>
        <row r="106">
          <cell r="B106" t="str">
            <v>REEMPLAZO GATEWAY SISTEMAS AUTOMATIZADOS DE S/E (SAS)</v>
          </cell>
          <cell r="P106" t="str">
            <v>2022-2026</v>
          </cell>
        </row>
        <row r="108">
          <cell r="B108" t="str">
            <v>REEMPLAZO REGISTRADORES DE OSCILOGRAFIAS</v>
          </cell>
          <cell r="O108">
            <v>290.09749999999997</v>
          </cell>
          <cell r="P108">
            <v>46387</v>
          </cell>
        </row>
        <row r="109">
          <cell r="B109" t="str">
            <v>REEMPLAZO DE LAS PROTECCIONES EN EL PATIO 230 KV EN S/E SAN BARTOLO Y S/E EL HIGO Y SUS COLATERALES</v>
          </cell>
          <cell r="O109">
            <v>1152.2610296507105</v>
          </cell>
          <cell r="P109">
            <v>46752</v>
          </cell>
        </row>
        <row r="110">
          <cell r="B110" t="str">
            <v>REEMPLAZO PROTECCIONES S/E SANTA RITA 115 KV</v>
          </cell>
          <cell r="O110">
            <v>110.82632</v>
          </cell>
          <cell r="P110">
            <v>47483</v>
          </cell>
        </row>
        <row r="112">
          <cell r="B112" t="str">
            <v>EQUIPO DE INFORMATICA</v>
          </cell>
          <cell r="P112" t="str">
            <v>2021-2025</v>
          </cell>
        </row>
        <row r="118">
          <cell r="B118" t="str">
            <v>CERCAS PERIMETRALES PARA SUBESTACIONES</v>
          </cell>
          <cell r="P118" t="str">
            <v>2021-2025</v>
          </cell>
        </row>
        <row r="119">
          <cell r="B119" t="str">
            <v>SISTEMA DE VIDEO VIGILANCIA DE SUBESTACIONES</v>
          </cell>
          <cell r="P119" t="str">
            <v>2021-2026</v>
          </cell>
        </row>
        <row r="120">
          <cell r="B120" t="str">
            <v>REEMPLAZO FLOTA VEHICULAR</v>
          </cell>
          <cell r="P120" t="str">
            <v>2021-2024</v>
          </cell>
        </row>
        <row r="121">
          <cell r="B121" t="str">
            <v>AMPLIACIÓN EN ZONA 2, COCLÉ, LLANO SÁNCHEZ</v>
          </cell>
          <cell r="P121">
            <v>45291</v>
          </cell>
        </row>
        <row r="122">
          <cell r="B122" t="str">
            <v>TERRENO NUEVA SEDE DE ETESA</v>
          </cell>
          <cell r="P122">
            <v>45291</v>
          </cell>
        </row>
        <row r="123">
          <cell r="B123" t="str">
            <v>GALERAS PARA EL ALMACENAMIENTO TEMPORAL DE LOS DESECHOS PELIGROSOS</v>
          </cell>
          <cell r="P123" t="str">
            <v>2024-2027</v>
          </cell>
        </row>
        <row r="124">
          <cell r="B124" t="str">
            <v xml:space="preserve">TALLER DE S/E VELADERO Y PANAMA II </v>
          </cell>
          <cell r="P124" t="str">
            <v>2022-2023</v>
          </cell>
        </row>
        <row r="125">
          <cell r="B125" t="str">
            <v>NUEVA SEDE DE LA EMPRESA DE TRANSMISIÓN ELÉCTRICA, S.A.</v>
          </cell>
          <cell r="P125" t="str">
            <v>2024-2027</v>
          </cell>
        </row>
        <row r="127">
          <cell r="B127" t="str">
            <v>REEMPLAZO CUCHILLAS MANUALES Y MOTORIZADAS S/E LLANO SÁNCHEZ 115 KV</v>
          </cell>
          <cell r="P127">
            <v>45291</v>
          </cell>
        </row>
        <row r="128">
          <cell r="B128" t="str">
            <v>REEMPLAZO PTs S/E LLANO SANCHEZ 34.5 KV</v>
          </cell>
          <cell r="P128">
            <v>45291</v>
          </cell>
        </row>
        <row r="129">
          <cell r="B129" t="str">
            <v>REEMPLAZO PTs S/E MATA DE NANCE 34.5 KV</v>
          </cell>
          <cell r="P129">
            <v>45291</v>
          </cell>
        </row>
        <row r="130">
          <cell r="B130" t="str">
            <v>REEMPLAZO PTs S/E PROGRESO 34.5 KV</v>
          </cell>
          <cell r="P130">
            <v>45291</v>
          </cell>
        </row>
        <row r="131">
          <cell r="B131" t="str">
            <v>S/E EL COCO 230 KV 2 NAVES</v>
          </cell>
          <cell r="P131">
            <v>45291</v>
          </cell>
        </row>
        <row r="132">
          <cell r="B132" t="str">
            <v>S/E PACORA 230 KV 1 NAVE</v>
          </cell>
          <cell r="P132">
            <v>45291</v>
          </cell>
        </row>
        <row r="133">
          <cell r="B133" t="str">
            <v xml:space="preserve">NUEVA SUBESTACION BURUNGA 230 KV </v>
          </cell>
        </row>
        <row r="134">
          <cell r="B134" t="str">
            <v>S/E 24 DE DICIEMBRE 230 KV 1 NAVE</v>
          </cell>
          <cell r="P134">
            <v>46752</v>
          </cell>
        </row>
        <row r="135">
          <cell r="B135" t="str">
            <v>LINEA CRISTOBAL - TORRE 4 230 KV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A2021"/>
      <sheetName val="Detalle Inv PP&amp;E A2021"/>
      <sheetName val="Resumen A2022"/>
      <sheetName val="Detalle Inv PP&amp;E A2022"/>
      <sheetName val="Resumen A2023"/>
      <sheetName val="Detalle Inv PP&amp;E A2023"/>
      <sheetName val="Resumen 1er smtrA24"/>
      <sheetName val="Detalle Inversión PP&amp;E A2024"/>
    </sheetNames>
    <sheetDataSet>
      <sheetData sheetId="0">
        <row r="5">
          <cell r="A5" t="str">
            <v>L/T 230KV CHORRERA - PANAMÁ 230-47, 230-48</v>
          </cell>
          <cell r="B5">
            <v>151144.49</v>
          </cell>
        </row>
        <row r="6">
          <cell r="A6" t="str">
            <v>L/T 230KV VELADERO -LLANO SÁNCHEZ-230-51, 230-52</v>
          </cell>
          <cell r="B6">
            <v>1104073.4300000002</v>
          </cell>
        </row>
        <row r="7">
          <cell r="A7" t="str">
            <v>PATIO 230 KV-CHORRERA</v>
          </cell>
          <cell r="B7">
            <v>6456452.7799999947</v>
          </cell>
        </row>
        <row r="8">
          <cell r="A8" t="str">
            <v>PATIO 230 KV-LLANO SANCHEZ</v>
          </cell>
          <cell r="B8">
            <v>26462227.059999995</v>
          </cell>
        </row>
        <row r="9">
          <cell r="A9" t="str">
            <v>PATIO 230 KV-MATA DE NANCE</v>
          </cell>
          <cell r="B9">
            <v>3833859.5400000019</v>
          </cell>
        </row>
        <row r="10">
          <cell r="A10" t="str">
            <v>PATIO 230 KV-PANAMA</v>
          </cell>
          <cell r="B10">
            <v>5458751.5999999987</v>
          </cell>
        </row>
        <row r="11">
          <cell r="A11" t="str">
            <v>PATIO 230 KV-PANAMA II</v>
          </cell>
          <cell r="B11">
            <v>4102990.5600000005</v>
          </cell>
        </row>
        <row r="12">
          <cell r="A12" t="str">
            <v>PATIO 230 KV-PROGRESO</v>
          </cell>
          <cell r="B12">
            <v>1888568.15</v>
          </cell>
        </row>
        <row r="13">
          <cell r="A13" t="str">
            <v>PATIO 230 KV-SABANITAS (TERRENO)</v>
          </cell>
          <cell r="B13">
            <v>7275133.21</v>
          </cell>
        </row>
        <row r="14">
          <cell r="A14" t="str">
            <v>PATIO 230 KV-VELADERO</v>
          </cell>
          <cell r="B14">
            <v>5712227.4600000037</v>
          </cell>
        </row>
        <row r="15">
          <cell r="A15" t="str">
            <v>PATIO 230/34.5KV - SAN BARTOLO</v>
          </cell>
          <cell r="B15">
            <v>4249533.72</v>
          </cell>
        </row>
        <row r="16">
          <cell r="A16" t="str">
            <v>512</v>
          </cell>
          <cell r="B16">
            <v>4328315.6100000013</v>
          </cell>
        </row>
        <row r="17">
          <cell r="A17" t="str">
            <v>PATIO 230 KV-CHORRERA</v>
          </cell>
          <cell r="B17">
            <v>4328315.6100000013</v>
          </cell>
        </row>
        <row r="18">
          <cell r="A18" t="str">
            <v>531</v>
          </cell>
          <cell r="B18">
            <v>12679.5</v>
          </cell>
        </row>
        <row r="19">
          <cell r="A19" t="str">
            <v>EQUIPO Y MOBILIARIO DE OFICINA</v>
          </cell>
          <cell r="B19">
            <v>12679.5</v>
          </cell>
        </row>
        <row r="20">
          <cell r="A20" t="str">
            <v>541</v>
          </cell>
          <cell r="B20">
            <v>5879.66</v>
          </cell>
        </row>
        <row r="21">
          <cell r="A21" t="str">
            <v>EQUIPO DE COMUNICACION</v>
          </cell>
          <cell r="B21">
            <v>5879.66</v>
          </cell>
        </row>
        <row r="22">
          <cell r="A22" t="str">
            <v>571</v>
          </cell>
          <cell r="B22">
            <v>3677033.4000000013</v>
          </cell>
        </row>
        <row r="23">
          <cell r="A23" t="str">
            <v>EQUIPO DE COMUNICACION</v>
          </cell>
          <cell r="B23">
            <v>23442.63</v>
          </cell>
        </row>
        <row r="24">
          <cell r="A24" t="str">
            <v>EQUIPO DE INFORMATICA</v>
          </cell>
          <cell r="B24">
            <v>2285189.6400000025</v>
          </cell>
        </row>
        <row r="25">
          <cell r="A25" t="str">
            <v>EQUIPO DE TRANSPORTE</v>
          </cell>
          <cell r="B25">
            <v>373617.51</v>
          </cell>
        </row>
        <row r="26">
          <cell r="A26" t="str">
            <v>EQUIPO ELECTRICO MISCELANEO</v>
          </cell>
          <cell r="B26">
            <v>373138.41999999934</v>
          </cell>
        </row>
        <row r="27">
          <cell r="A27" t="str">
            <v>EQUIPO MECANICO</v>
          </cell>
          <cell r="B27">
            <v>175364.4</v>
          </cell>
        </row>
        <row r="28">
          <cell r="A28" t="str">
            <v>EQUIPO Y MOBILIARIO DE OFICINA</v>
          </cell>
          <cell r="B28">
            <v>402399.02</v>
          </cell>
        </row>
        <row r="29">
          <cell r="A29" t="str">
            <v>HERRAMIENTAS ESPECIALIZADAS</v>
          </cell>
          <cell r="B29">
            <v>43881.78</v>
          </cell>
        </row>
      </sheetData>
      <sheetData sheetId="1" refreshError="1"/>
      <sheetData sheetId="2">
        <row r="5">
          <cell r="A5" t="str">
            <v>CV GANNA II (tramo de L/T 230kv)</v>
          </cell>
          <cell r="B5">
            <v>54420914.310000002</v>
          </cell>
        </row>
        <row r="6">
          <cell r="A6" t="str">
            <v>L/T 230 KV-CHANGUINOLA-FRONTERA (230-21)</v>
          </cell>
          <cell r="B6">
            <v>40847.24</v>
          </cell>
        </row>
        <row r="7">
          <cell r="A7" t="str">
            <v>L/T 230 KV-FORTUNA-CHANGUINOLA (230-20)</v>
          </cell>
          <cell r="B7">
            <v>13660.91</v>
          </cell>
        </row>
        <row r="8">
          <cell r="A8" t="str">
            <v>Línea 115Kv-CPSA-BLM2 (115-4B, 115-3B)</v>
          </cell>
          <cell r="B8">
            <v>62009.180000000008</v>
          </cell>
        </row>
        <row r="9">
          <cell r="A9" t="str">
            <v>Líneas 230KV-Bayano-Pacora (230-1A)</v>
          </cell>
          <cell r="B9">
            <v>62009.17</v>
          </cell>
        </row>
        <row r="10">
          <cell r="A10" t="str">
            <v>PATIO 230 KV-CHANGUINOLA</v>
          </cell>
          <cell r="B10">
            <v>7324640.6399999978</v>
          </cell>
        </row>
        <row r="11">
          <cell r="A11" t="str">
            <v>PATIO 230 KV-GUASQUITAS</v>
          </cell>
          <cell r="B11">
            <v>60017.04</v>
          </cell>
        </row>
        <row r="12">
          <cell r="A12" t="str">
            <v>PATIO 230 KV-LLANO SANCHEZ</v>
          </cell>
          <cell r="B12">
            <v>12724021.480000023</v>
          </cell>
        </row>
        <row r="13">
          <cell r="A13" t="str">
            <v>PATIO 230 KV-MATA DE NANCE</v>
          </cell>
          <cell r="B13">
            <v>71271.070000000007</v>
          </cell>
        </row>
        <row r="14">
          <cell r="A14" t="str">
            <v>PATIO 230 KV-PANAMA</v>
          </cell>
          <cell r="B14">
            <v>73393.350000000006</v>
          </cell>
        </row>
        <row r="15">
          <cell r="A15" t="str">
            <v>PATIO 230 KV-PANAMA II</v>
          </cell>
          <cell r="B15">
            <v>23933648.859999951</v>
          </cell>
        </row>
        <row r="16">
          <cell r="A16" t="str">
            <v>PATIO 230 KV-PROGRESO</v>
          </cell>
          <cell r="B16">
            <v>10040683.010000004</v>
          </cell>
        </row>
        <row r="17">
          <cell r="A17" t="str">
            <v>PATIO 230 KV-VELADERO</v>
          </cell>
          <cell r="B17">
            <v>52241.11</v>
          </cell>
        </row>
        <row r="18">
          <cell r="A18" t="str">
            <v>PATIO 230KV-CHORRERA-EL HIGO</v>
          </cell>
          <cell r="B18">
            <v>2754605.5200000019</v>
          </cell>
        </row>
        <row r="19">
          <cell r="A19" t="str">
            <v>512</v>
          </cell>
          <cell r="B19">
            <v>2159627.189999999</v>
          </cell>
        </row>
        <row r="20">
          <cell r="A20" t="str">
            <v>PATIO 34.5 KV-LLANO SANCHEZ</v>
          </cell>
          <cell r="B20">
            <v>2159627.189999999</v>
          </cell>
        </row>
        <row r="21">
          <cell r="A21" t="str">
            <v>571</v>
          </cell>
          <cell r="B21">
            <v>1836049.28</v>
          </cell>
        </row>
        <row r="22">
          <cell r="A22" t="str">
            <v>EDIFICIOS Y MEJORAS</v>
          </cell>
          <cell r="B22">
            <v>6420</v>
          </cell>
        </row>
        <row r="23">
          <cell r="A23" t="str">
            <v>EQUIPO DE INFORMATICA</v>
          </cell>
          <cell r="B23">
            <v>340123.49</v>
          </cell>
        </row>
        <row r="24">
          <cell r="A24" t="str">
            <v>EQUIPO DE TRANSPORTE</v>
          </cell>
          <cell r="B24">
            <v>936334.72999999986</v>
          </cell>
        </row>
        <row r="25">
          <cell r="A25" t="str">
            <v>EQUIPO ELECTRICO MISCELANEO</v>
          </cell>
          <cell r="B25">
            <v>324740.57000000018</v>
          </cell>
        </row>
        <row r="26">
          <cell r="A26" t="str">
            <v>EQUIPO Y MOBILIARIO DE OFICINA</v>
          </cell>
          <cell r="B26">
            <v>227863.38999999996</v>
          </cell>
        </row>
        <row r="27">
          <cell r="A27" t="str">
            <v>HERRAMIENTAS ESPECIALIZADAS</v>
          </cell>
          <cell r="B27">
            <v>567.1</v>
          </cell>
        </row>
      </sheetData>
      <sheetData sheetId="3" refreshError="1"/>
      <sheetData sheetId="4">
        <row r="5">
          <cell r="A5" t="str">
            <v>PATIO 115 KV-PANAMA</v>
          </cell>
          <cell r="B5">
            <v>154871.47</v>
          </cell>
        </row>
        <row r="6">
          <cell r="A6" t="str">
            <v>PATIO 230 KV-CHORRERA</v>
          </cell>
          <cell r="B6">
            <v>207879.38</v>
          </cell>
        </row>
        <row r="7">
          <cell r="A7" t="str">
            <v>PATIO 230 KV-LLANO SANCHEZ</v>
          </cell>
          <cell r="B7">
            <v>63836.2</v>
          </cell>
        </row>
        <row r="8">
          <cell r="A8" t="str">
            <v>PATIO 230 KV-MATA DE NANCE</v>
          </cell>
          <cell r="B8">
            <v>92330.299999999988</v>
          </cell>
        </row>
        <row r="9">
          <cell r="A9" t="str">
            <v>PATIO 230 KV-PANAMA</v>
          </cell>
          <cell r="B9">
            <v>8928217.8200000003</v>
          </cell>
        </row>
        <row r="10">
          <cell r="A10" t="str">
            <v>512</v>
          </cell>
          <cell r="B10">
            <v>677544.60000000009</v>
          </cell>
        </row>
        <row r="11">
          <cell r="A11" t="str">
            <v>PATIO 34.5 KV-LLANO SANCHEZ</v>
          </cell>
          <cell r="B11">
            <v>677544.60000000009</v>
          </cell>
        </row>
        <row r="12">
          <cell r="A12" t="str">
            <v>531</v>
          </cell>
          <cell r="B12">
            <v>2883960.2000000007</v>
          </cell>
        </row>
        <row r="13">
          <cell r="A13" t="str">
            <v>EQUIPO DE INFORMATICA</v>
          </cell>
          <cell r="B13">
            <v>2883960.2000000007</v>
          </cell>
        </row>
        <row r="14">
          <cell r="A14" t="str">
            <v>571</v>
          </cell>
          <cell r="B14">
            <v>2083825.37</v>
          </cell>
        </row>
        <row r="15">
          <cell r="A15" t="str">
            <v>EQUIPO DE INFORMATICA</v>
          </cell>
          <cell r="B15">
            <v>557299.42000000039</v>
          </cell>
        </row>
        <row r="16">
          <cell r="A16" t="str">
            <v>EQUIPO DE TRANSPORTE</v>
          </cell>
          <cell r="B16">
            <v>879998.94999999972</v>
          </cell>
        </row>
        <row r="17">
          <cell r="A17" t="str">
            <v>EQUIPO ELECTRICO MISCELANEO</v>
          </cell>
          <cell r="B17">
            <v>239359.69</v>
          </cell>
        </row>
        <row r="18">
          <cell r="A18" t="str">
            <v>EQUIPO Y MOBILIARIO DE OFICINA</v>
          </cell>
          <cell r="B18">
            <v>407167.31</v>
          </cell>
        </row>
      </sheetData>
      <sheetData sheetId="5" refreshError="1"/>
      <sheetData sheetId="6">
        <row r="5">
          <cell r="A5" t="str">
            <v>L/T 230KV SABANITAS - PANAMA 3</v>
          </cell>
        </row>
      </sheetData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eno_Mod"/>
      <sheetName val="Zorritos"/>
      <sheetName val="Talara"/>
      <sheetName val="Pariñas"/>
      <sheetName val="Piura Oeste"/>
      <sheetName val="La Niña"/>
      <sheetName val="Chiclayo Oeste"/>
      <sheetName val="Reque"/>
      <sheetName val="Guadalupe"/>
      <sheetName val="Trujillo Norte"/>
      <sheetName val="Chimbote 1"/>
      <sheetName val="Paramonga Nueva"/>
      <sheetName val="Huacho"/>
      <sheetName val="Zapallal"/>
      <sheetName val="Ventanilla"/>
      <sheetName val="Chavarría"/>
      <sheetName val="Santa Rosa"/>
      <sheetName val="San Juan"/>
      <sheetName val="Chilca"/>
      <sheetName val="Independencia"/>
      <sheetName val="Ica"/>
      <sheetName val="Marcona"/>
      <sheetName val="San Nicolás"/>
      <sheetName val="Callahuanca"/>
      <sheetName val="Pachachaca"/>
      <sheetName val="Huayucachi"/>
      <sheetName val="Huancavelica"/>
      <sheetName val="Paragsha II"/>
      <sheetName val="Huánuco"/>
      <sheetName val="Amarilis"/>
      <sheetName val="Tingo María"/>
      <sheetName val="Aucayacu"/>
      <sheetName val="Tocache"/>
      <sheetName val="Abancay"/>
      <sheetName val="Ayaviri"/>
      <sheetName val="Azángaro"/>
      <sheetName val="Cachimayo"/>
      <sheetName val="Callalli"/>
      <sheetName val="Cerro Verde"/>
      <sheetName val="Combapata"/>
      <sheetName val="Juliaca"/>
      <sheetName val="Mollendo"/>
      <sheetName val="Moquegua"/>
      <sheetName val="Puno"/>
      <sheetName val="Quencoro"/>
      <sheetName val="Repartición"/>
      <sheetName val="Santuario"/>
      <sheetName val="Socabaya"/>
      <sheetName val="Tintaya"/>
      <sheetName val="Toquepala"/>
      <sheetName val="Resumen VNR-SSEE"/>
      <sheetName val="Detalles VNR-LLTT"/>
      <sheetName val="Resumen VNR-LLTT"/>
      <sheetName val="VNR-SPT-REP 2019"/>
      <sheetName val="VNR-Total"/>
      <sheetName val="FA"/>
      <sheetName val="CC"/>
      <sheetName val="Amplia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9">
          <cell r="C9">
            <v>125551662.06254277</v>
          </cell>
        </row>
      </sheetData>
      <sheetData sheetId="55"/>
      <sheetData sheetId="56"/>
      <sheetData sheetId="5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eno_Mod"/>
      <sheetName val="Zorritos"/>
      <sheetName val="Talara"/>
      <sheetName val="Pariñas"/>
      <sheetName val="Piura Oeste"/>
      <sheetName val="La Niña"/>
      <sheetName val="Chiclayo Oeste"/>
      <sheetName val="Reque"/>
      <sheetName val="Guadalupe"/>
      <sheetName val="Trujillo Norte"/>
      <sheetName val="Chimbote 1"/>
      <sheetName val="Paramonga Nueva"/>
      <sheetName val="Huacho"/>
      <sheetName val="Zapallal"/>
      <sheetName val="Ventanilla"/>
      <sheetName val="Chavarría"/>
      <sheetName val="Santa Rosa"/>
      <sheetName val="San Juan"/>
      <sheetName val="Chilca"/>
      <sheetName val="Independencia"/>
      <sheetName val="Ica"/>
      <sheetName val="Marcona"/>
      <sheetName val="San Nicolás"/>
      <sheetName val="Callahuanca"/>
      <sheetName val="Pachachaca"/>
      <sheetName val="Huayucachi"/>
      <sheetName val="Huancavelica"/>
      <sheetName val="Paragsha II"/>
      <sheetName val="Huánuco"/>
      <sheetName val="Amarilis"/>
      <sheetName val="Tingo María"/>
      <sheetName val="Aucayacu"/>
      <sheetName val="Tocache"/>
      <sheetName val="Abancay"/>
      <sheetName val="Ayaviri"/>
      <sheetName val="Azángaro"/>
      <sheetName val="Cachimayo"/>
      <sheetName val="Callalli"/>
      <sheetName val="Cerro Verde"/>
      <sheetName val="Combapata"/>
      <sheetName val="Juliaca"/>
      <sheetName val="Mollendo"/>
      <sheetName val="Moquegua"/>
      <sheetName val="Puno"/>
      <sheetName val="Quencoro"/>
      <sheetName val="Repartición"/>
      <sheetName val="Santuario"/>
      <sheetName val="Socabaya"/>
      <sheetName val="Tintaya"/>
      <sheetName val="Toquepala"/>
      <sheetName val="Resumen VNR-SSEE"/>
      <sheetName val="Detalles VNR-LLTT"/>
      <sheetName val="Resumen VNR-LLTT"/>
      <sheetName val="VNR-SPT-REP 2020"/>
      <sheetName val="VNR-Total"/>
      <sheetName val="FA"/>
      <sheetName val="CC"/>
      <sheetName val="Amplia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9">
          <cell r="C9">
            <v>125551662.06254277</v>
          </cell>
        </row>
      </sheetData>
      <sheetData sheetId="55"/>
      <sheetData sheetId="56"/>
      <sheetData sheetId="5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eno_Mod"/>
      <sheetName val="Zorritos"/>
      <sheetName val="Talara"/>
      <sheetName val="Pariñas"/>
      <sheetName val="Piura Oeste"/>
      <sheetName val="La Niña"/>
      <sheetName val="Chiclayo Oeste"/>
      <sheetName val="Reque"/>
      <sheetName val="Guadalupe"/>
      <sheetName val="Trujillo Norte"/>
      <sheetName val="Chimbote 1"/>
      <sheetName val="Paramonga Nueva"/>
      <sheetName val="Huacho"/>
      <sheetName val="Zapallal"/>
      <sheetName val="Ventanilla"/>
      <sheetName val="Chavarría"/>
      <sheetName val="Santa Rosa"/>
      <sheetName val="San Juan"/>
      <sheetName val="Chilca"/>
      <sheetName val="Independencia"/>
      <sheetName val="Ica"/>
      <sheetName val="Marcona"/>
      <sheetName val="San Nicolás"/>
      <sheetName val="Callahuanca"/>
      <sheetName val="Pachachaca"/>
      <sheetName val="Huayucachi"/>
      <sheetName val="Huancavelica"/>
      <sheetName val="Paragsha II"/>
      <sheetName val="Huánuco"/>
      <sheetName val="Amarilis"/>
      <sheetName val="Tingo María"/>
      <sheetName val="Aucayacu"/>
      <sheetName val="Tocache"/>
      <sheetName val="Abancay"/>
      <sheetName val="Ayaviri"/>
      <sheetName val="Azángaro"/>
      <sheetName val="Cachimayo"/>
      <sheetName val="Callalli"/>
      <sheetName val="Cerro Verde"/>
      <sheetName val="Combapata"/>
      <sheetName val="Juliaca"/>
      <sheetName val="Mollendo"/>
      <sheetName val="Moquegua"/>
      <sheetName val="Puno"/>
      <sheetName val="Quencoro"/>
      <sheetName val="Repartición"/>
      <sheetName val="Santuario"/>
      <sheetName val="Socabaya"/>
      <sheetName val="Tintaya"/>
      <sheetName val="Toquepala"/>
      <sheetName val="Resumen VNR-SSEE"/>
      <sheetName val="Detalles VNR-LLTT"/>
      <sheetName val="Resumen VNR-LLTT"/>
      <sheetName val="VNR-SPT-REP 2021"/>
      <sheetName val="VNR-Total"/>
      <sheetName val="FA"/>
      <sheetName val="CC"/>
      <sheetName val="Amplia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9">
          <cell r="C9">
            <v>126169415.39580324</v>
          </cell>
        </row>
      </sheetData>
      <sheetData sheetId="55"/>
      <sheetData sheetId="56"/>
      <sheetData sheetId="5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eno_Mod"/>
      <sheetName val="Zorritos"/>
      <sheetName val="Talara"/>
      <sheetName val="Pariñas"/>
      <sheetName val="Piura Oeste"/>
      <sheetName val="La Niña"/>
      <sheetName val="Chiclayo Oeste"/>
      <sheetName val="Reque"/>
      <sheetName val="Guadalupe"/>
      <sheetName val="Trujillo Norte"/>
      <sheetName val="Chimbote 1"/>
      <sheetName val="Paramonga Nueva"/>
      <sheetName val="Huacho"/>
      <sheetName val="Zapallal"/>
      <sheetName val="Ventanilla"/>
      <sheetName val="Chavarría"/>
      <sheetName val="Santa Rosa"/>
      <sheetName val="San Juan"/>
      <sheetName val="Chilca"/>
      <sheetName val="Independencia"/>
      <sheetName val="Ica"/>
      <sheetName val="Marcona"/>
      <sheetName val="San Nicolás"/>
      <sheetName val="Callahuanca"/>
      <sheetName val="Pachachaca"/>
      <sheetName val="Huayucachi"/>
      <sheetName val="Huancavelica"/>
      <sheetName val="Paragsha II"/>
      <sheetName val="Huánuco"/>
      <sheetName val="Amarilis"/>
      <sheetName val="Tingo María"/>
      <sheetName val="Aucayacu"/>
      <sheetName val="Tocache"/>
      <sheetName val="Abancay"/>
      <sheetName val="Ayaviri"/>
      <sheetName val="Azángaro"/>
      <sheetName val="Cachimayo"/>
      <sheetName val="Callalli"/>
      <sheetName val="Cerro Verde"/>
      <sheetName val="Combapata"/>
      <sheetName val="Juliaca"/>
      <sheetName val="Mollendo"/>
      <sheetName val="Moquegua"/>
      <sheetName val="Puno"/>
      <sheetName val="Quencoro"/>
      <sheetName val="Repartición"/>
      <sheetName val="Santuario"/>
      <sheetName val="Socabaya"/>
      <sheetName val="Tintaya"/>
      <sheetName val="Toquepala"/>
      <sheetName val="Resumen VNR-SSEE"/>
      <sheetName val="Detalles VNR-LLTT"/>
      <sheetName val="Resumen VNR-LLTT"/>
      <sheetName val="VNR-SPT-REP 2022"/>
      <sheetName val="VNR-Total"/>
      <sheetName val="FA"/>
      <sheetName val="CC"/>
      <sheetName val="Ampliaciones"/>
      <sheetName val="VNR-REP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46">
          <cell r="I46">
            <v>907555.35271812615</v>
          </cell>
        </row>
      </sheetData>
      <sheetData sheetId="54">
        <row r="9">
          <cell r="C9">
            <v>126839398.59470928</v>
          </cell>
        </row>
      </sheetData>
      <sheetData sheetId="55">
        <row r="6">
          <cell r="C6">
            <v>3909515.7379343309</v>
          </cell>
        </row>
      </sheetData>
      <sheetData sheetId="56"/>
      <sheetData sheetId="57"/>
      <sheetData sheetId="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eno_Mod"/>
      <sheetName val="Zorritos"/>
      <sheetName val="Talara"/>
      <sheetName val="Pariñas"/>
      <sheetName val="Piura Oeste"/>
      <sheetName val="La Niña"/>
      <sheetName val="Chiclayo Oeste"/>
      <sheetName val="Reque"/>
      <sheetName val="Guadalupe"/>
      <sheetName val="Trujillo Norte"/>
      <sheetName val="Chimbote 1"/>
      <sheetName val="Paramonga Nueva"/>
      <sheetName val="Huacho"/>
      <sheetName val="Zapallal"/>
      <sheetName val="Ventanilla"/>
      <sheetName val="Chavarría"/>
      <sheetName val="Santa Rosa"/>
      <sheetName val="San Juan"/>
      <sheetName val="Chilca"/>
      <sheetName val="Independencia"/>
      <sheetName val="Ica"/>
      <sheetName val="Marcona"/>
      <sheetName val="San Nicolás"/>
      <sheetName val="Callahuanca"/>
      <sheetName val="Pachachaca"/>
      <sheetName val="Huayucachi"/>
      <sheetName val="Huancavelica"/>
      <sheetName val="Paragsha II"/>
      <sheetName val="Huánuco"/>
      <sheetName val="Amarilis"/>
      <sheetName val="Tingo María"/>
      <sheetName val="Aucayacu"/>
      <sheetName val="Tocache"/>
      <sheetName val="Abancay"/>
      <sheetName val="Ayaviri"/>
      <sheetName val="Azángaro"/>
      <sheetName val="Cachimayo"/>
      <sheetName val="Callalli"/>
      <sheetName val="Cerro Verde"/>
      <sheetName val="Combapata"/>
      <sheetName val="Juliaca"/>
      <sheetName val="Mollendo"/>
      <sheetName val="Moquegua"/>
      <sheetName val="Puno"/>
      <sheetName val="Quencoro"/>
      <sheetName val="Repartición"/>
      <sheetName val="Santuario"/>
      <sheetName val="Socabaya"/>
      <sheetName val="Tintaya"/>
      <sheetName val="Toquepala"/>
      <sheetName val="Resumen VNR-SSEE"/>
      <sheetName val="Detalles VNR-LLTT"/>
      <sheetName val="Resumen VNR-LLTT"/>
      <sheetName val="VNR-SPT-REP 2022"/>
      <sheetName val="VNR-Total"/>
      <sheetName val="FA"/>
      <sheetName val="CC"/>
      <sheetName val="Amplia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9">
          <cell r="C9">
            <v>126839398.59470928</v>
          </cell>
        </row>
      </sheetData>
      <sheetData sheetId="55"/>
      <sheetData sheetId="56"/>
      <sheetData sheetId="5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eno_Mod"/>
      <sheetName val="Zorritos"/>
      <sheetName val="Talara"/>
      <sheetName val="Pariñas"/>
      <sheetName val="Piura Oeste"/>
      <sheetName val="La Niña"/>
      <sheetName val="Chiclayo Oeste"/>
      <sheetName val="Reque"/>
      <sheetName val="Guadalupe"/>
      <sheetName val="Trujillo Norte"/>
      <sheetName val="Chimbote 1"/>
      <sheetName val="Paramonga Nueva"/>
      <sheetName val="Huacho"/>
      <sheetName val="Zapallal"/>
      <sheetName val="Ventanilla"/>
      <sheetName val="Chavarría"/>
      <sheetName val="Santa Rosa"/>
      <sheetName val="San Juan"/>
      <sheetName val="Chilca"/>
      <sheetName val="Independencia"/>
      <sheetName val="Ica"/>
      <sheetName val="Marcona"/>
      <sheetName val="San Nicolás"/>
      <sheetName val="Callahuanca"/>
      <sheetName val="Pachachaca"/>
      <sheetName val="Huayucachi"/>
      <sheetName val="Huancavelica"/>
      <sheetName val="Paragsha II"/>
      <sheetName val="Huánuco"/>
      <sheetName val="Amarilis"/>
      <sheetName val="Tingo María"/>
      <sheetName val="Aucayacu"/>
      <sheetName val="Tocache"/>
      <sheetName val="Abancay"/>
      <sheetName val="Ayaviri"/>
      <sheetName val="Azángaro"/>
      <sheetName val="Cachimayo"/>
      <sheetName val="Callalli"/>
      <sheetName val="Cerro Verde"/>
      <sheetName val="Combapata"/>
      <sheetName val="Juliaca"/>
      <sheetName val="Mollendo"/>
      <sheetName val="Moquegua"/>
      <sheetName val="Puno"/>
      <sheetName val="Quencoro"/>
      <sheetName val="Repartición"/>
      <sheetName val="Santuario"/>
      <sheetName val="Socabaya"/>
      <sheetName val="Tintaya"/>
      <sheetName val="Toquepala"/>
      <sheetName val="Resumen VNR-SSEE"/>
      <sheetName val="Detalles VNR-LLTT"/>
      <sheetName val="Resumen VNR-LLTT"/>
      <sheetName val="VNR-SPT-REP 2022"/>
      <sheetName val="VNR-Total"/>
      <sheetName val="FA"/>
      <sheetName val="CC"/>
      <sheetName val="Amplia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9">
          <cell r="C9">
            <v>126839398.59470928</v>
          </cell>
        </row>
      </sheetData>
      <sheetData sheetId="55"/>
      <sheetData sheetId="56"/>
      <sheetData sheetId="5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T"/>
      <sheetName val="SGT"/>
      <sheetName val="IPP"/>
    </sheetNames>
    <sheetDataSet>
      <sheetData sheetId="0"/>
      <sheetData sheetId="1">
        <row r="14">
          <cell r="H14">
            <v>148243267.6092</v>
          </cell>
        </row>
        <row r="15">
          <cell r="H15">
            <v>181142892.73560002</v>
          </cell>
        </row>
        <row r="16">
          <cell r="H16">
            <v>3817961.48</v>
          </cell>
        </row>
        <row r="17">
          <cell r="H17">
            <v>13628351.529999999</v>
          </cell>
        </row>
        <row r="18">
          <cell r="H18">
            <v>2024103.67</v>
          </cell>
        </row>
        <row r="19">
          <cell r="H19">
            <v>19002860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Existente"/>
      <sheetName val="Factor ajuste"/>
      <sheetName val="IMPA Indicativo"/>
      <sheetName val="Sensibilidad"/>
      <sheetName val="Activos Reconocidos"/>
      <sheetName val="Tasa de Depreciación"/>
      <sheetName val="Base de Capital"/>
      <sheetName val="OMT%_ADMT%"/>
      <sheetName val="VNR Lin "/>
      <sheetName val=" VNR Sub"/>
      <sheetName val="Plan de Expansión"/>
      <sheetName val="Hoja1"/>
      <sheetName val="Inversiones 2023"/>
      <sheetName val="Equipo Informático 2023"/>
      <sheetName val="Adiciones"/>
      <sheetName val="PG_flota 2023"/>
      <sheetName val="G_OBLIGADA"/>
      <sheetName val="TCCOMERCIO"/>
      <sheetName val="CND"/>
      <sheetName val="Hoja2"/>
      <sheetName val="CTPR"/>
      <sheetName val="Tercera Línea"/>
      <sheetName val="Bienes e Instalaciones 31_12_20"/>
      <sheetName val="Base ETESA"/>
      <sheetName val="Datos comparadoras"/>
      <sheetName val="Transelec"/>
      <sheetName val="ISA Perú"/>
      <sheetName val="Ratios comparadores"/>
      <sheetName val="Cuadro Infor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1">
          <cell r="G81">
            <v>1429.5837900000001</v>
          </cell>
        </row>
        <row r="82">
          <cell r="G82">
            <v>5892.9954600000001</v>
          </cell>
        </row>
        <row r="83">
          <cell r="G83">
            <v>1437.2721000000001</v>
          </cell>
        </row>
        <row r="150">
          <cell r="G150">
            <v>1066.9012700000001</v>
          </cell>
        </row>
        <row r="151">
          <cell r="G151">
            <v>730.91097000000002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EME"/>
      <sheetName val="VisorSPT"/>
      <sheetName val="VisorSST"/>
      <sheetName val="Otros"/>
      <sheetName val="Parametros"/>
      <sheetName val="IPP"/>
      <sheetName val="VNR"/>
      <sheetName val="COyM"/>
      <sheetName val="CTT"/>
      <sheetName val="LiquidaciónSPT"/>
      <sheetName val="Ampliación N° 3"/>
      <sheetName val="Anexo1.Historico SPT"/>
      <sheetName val="Demanda"/>
      <sheetName val="CTA.SST"/>
      <sheetName val="LiquidaciónSST"/>
      <sheetName val="Anexo1.Historico SST"/>
      <sheetName val="Facturación CL Libres Area 14"/>
      <sheetName val="Ampliación N° 1"/>
      <sheetName val="Ampliación N° 02"/>
      <sheetName val="Cuadro IPP"/>
      <sheetName val="Datos Facturas SPT"/>
      <sheetName val="Datos Facturas SST"/>
    </sheetNames>
    <sheetDataSet>
      <sheetData sheetId="0"/>
      <sheetData sheetId="1"/>
      <sheetData sheetId="2"/>
      <sheetData sheetId="3"/>
      <sheetData sheetId="4"/>
      <sheetData sheetId="5"/>
      <sheetData sheetId="6">
        <row r="49">
          <cell r="O49">
            <v>77090409.583722472</v>
          </cell>
        </row>
        <row r="50">
          <cell r="O50">
            <v>10740667.825449701</v>
          </cell>
        </row>
        <row r="51">
          <cell r="O51">
            <v>508622.22</v>
          </cell>
        </row>
        <row r="52">
          <cell r="O52">
            <v>1680052.06</v>
          </cell>
        </row>
        <row r="53">
          <cell r="O53">
            <v>77090409.583722472</v>
          </cell>
        </row>
        <row r="54">
          <cell r="O54">
            <v>10740667.83</v>
          </cell>
        </row>
        <row r="55">
          <cell r="O55">
            <v>514762.8</v>
          </cell>
        </row>
        <row r="56">
          <cell r="O56">
            <v>1700212.07</v>
          </cell>
        </row>
        <row r="57">
          <cell r="O57">
            <v>11479202.23</v>
          </cell>
        </row>
        <row r="58">
          <cell r="O58">
            <v>11479202.23</v>
          </cell>
        </row>
        <row r="59">
          <cell r="O59">
            <v>11479202.23</v>
          </cell>
        </row>
        <row r="60">
          <cell r="O60">
            <v>11479202.23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Hoja6"/>
      <sheetName val="Hoja3"/>
      <sheetName val="descripción tareas"/>
      <sheetName val="Proy capitalizado myr 1pto5MM"/>
      <sheetName val="CEP capitalizado MYR 1pto5MM"/>
    </sheetNames>
    <sheetDataSet>
      <sheetData sheetId="0">
        <row r="35">
          <cell r="B35">
            <v>2100102.5176000008</v>
          </cell>
          <cell r="C35">
            <v>0</v>
          </cell>
          <cell r="D35">
            <v>109617.22880000016</v>
          </cell>
          <cell r="E35">
            <v>0</v>
          </cell>
        </row>
        <row r="36">
          <cell r="B36">
            <v>406819.24000000057</v>
          </cell>
          <cell r="C36">
            <v>0</v>
          </cell>
          <cell r="D36">
            <v>0</v>
          </cell>
          <cell r="E36">
            <v>0</v>
          </cell>
        </row>
        <row r="37">
          <cell r="B37">
            <v>0</v>
          </cell>
          <cell r="C37">
            <v>212317.18199999956</v>
          </cell>
          <cell r="D37">
            <v>0</v>
          </cell>
          <cell r="E37">
            <v>0</v>
          </cell>
        </row>
      </sheetData>
      <sheetData sheetId="1" refreshError="1"/>
      <sheetData sheetId="2" refreshError="1"/>
      <sheetData sheetId="3" refreshError="1"/>
      <sheetData sheetId="4">
        <row r="7">
          <cell r="C7">
            <v>54749088.240000002</v>
          </cell>
        </row>
        <row r="12">
          <cell r="D12">
            <v>5205510.6100000003</v>
          </cell>
        </row>
        <row r="18">
          <cell r="E18">
            <v>11959916.709999999</v>
          </cell>
        </row>
        <row r="22">
          <cell r="D22">
            <v>5738510.4800000014</v>
          </cell>
        </row>
        <row r="31">
          <cell r="C31">
            <v>7575567.8899999987</v>
          </cell>
        </row>
        <row r="41">
          <cell r="B41">
            <v>13558604.109999999</v>
          </cell>
        </row>
        <row r="58">
          <cell r="B58">
            <v>1.51</v>
          </cell>
          <cell r="C58">
            <v>3286404.7199999997</v>
          </cell>
        </row>
        <row r="67">
          <cell r="B67">
            <v>27520399.980000045</v>
          </cell>
          <cell r="C67">
            <v>5078140.339999998</v>
          </cell>
        </row>
        <row r="86">
          <cell r="B86">
            <v>4028626.1199999987</v>
          </cell>
          <cell r="C86">
            <v>6216944.7799999984</v>
          </cell>
        </row>
        <row r="96">
          <cell r="B96">
            <v>8461741.6199999992</v>
          </cell>
          <cell r="D96">
            <v>6908122.6900000004</v>
          </cell>
        </row>
        <row r="107">
          <cell r="B107">
            <v>5084389.0300000021</v>
          </cell>
          <cell r="C107">
            <v>-70261.899999989662</v>
          </cell>
        </row>
        <row r="126">
          <cell r="B126">
            <v>1892022.04</v>
          </cell>
          <cell r="C126">
            <v>5616286.2799999993</v>
          </cell>
        </row>
        <row r="139">
          <cell r="B139">
            <v>22238112.63000001</v>
          </cell>
        </row>
        <row r="153">
          <cell r="B153">
            <v>6556973.7799999993</v>
          </cell>
        </row>
        <row r="163">
          <cell r="B163">
            <v>4929996.3099999977</v>
          </cell>
        </row>
        <row r="172">
          <cell r="C172">
            <v>2159627.19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bal."/>
      <sheetName val="dic16"/>
      <sheetName val="junio A16"/>
      <sheetName val="FLUJO EQ Donado"/>
      <sheetName val="anex-bs1"/>
      <sheetName val="Hoja3"/>
      <sheetName val="anex-bs2"/>
      <sheetName val="HT BG"/>
      <sheetName val="anex-bs3"/>
      <sheetName val="anex-bs4"/>
      <sheetName val="anex-bs5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7">
          <cell r="J27">
            <v>197632.89</v>
          </cell>
        </row>
        <row r="28">
          <cell r="J28">
            <v>8021875.9300000006</v>
          </cell>
        </row>
        <row r="29">
          <cell r="J29">
            <v>11761217.289999999</v>
          </cell>
        </row>
        <row r="30">
          <cell r="J30">
            <v>4007767.12</v>
          </cell>
        </row>
        <row r="31">
          <cell r="J31">
            <v>29973274.789999999</v>
          </cell>
        </row>
        <row r="46">
          <cell r="J46">
            <v>266789668.50000003</v>
          </cell>
        </row>
        <row r="47">
          <cell r="J47">
            <v>251207854.10000002</v>
          </cell>
        </row>
        <row r="48">
          <cell r="J48">
            <v>124671950.90000001</v>
          </cell>
        </row>
        <row r="49">
          <cell r="J49">
            <v>0</v>
          </cell>
        </row>
        <row r="50">
          <cell r="J50">
            <v>285410359.97999996</v>
          </cell>
        </row>
        <row r="51">
          <cell r="J51">
            <v>0</v>
          </cell>
        </row>
        <row r="52">
          <cell r="J52">
            <v>63048236.859999999</v>
          </cell>
        </row>
        <row r="53">
          <cell r="J53">
            <v>35439914.969999999</v>
          </cell>
        </row>
        <row r="69">
          <cell r="J69">
            <v>32638710.099999998</v>
          </cell>
        </row>
        <row r="70">
          <cell r="J70">
            <v>2037750.78</v>
          </cell>
        </row>
        <row r="71">
          <cell r="J71">
            <v>8591.3799999999992</v>
          </cell>
        </row>
        <row r="72">
          <cell r="J72">
            <v>0</v>
          </cell>
        </row>
        <row r="73">
          <cell r="J73">
            <v>995562.96</v>
          </cell>
        </row>
        <row r="74">
          <cell r="J74">
            <v>0</v>
          </cell>
        </row>
        <row r="75">
          <cell r="J75">
            <v>1264399.98</v>
          </cell>
        </row>
        <row r="76">
          <cell r="J76">
            <v>266716.19</v>
          </cell>
        </row>
        <row r="107">
          <cell r="J107">
            <v>1980311.64</v>
          </cell>
        </row>
        <row r="108">
          <cell r="J108">
            <v>1302177.1200000001</v>
          </cell>
        </row>
        <row r="109">
          <cell r="J109">
            <v>255633.75999999978</v>
          </cell>
        </row>
        <row r="110">
          <cell r="J110">
            <v>514305.04000000004</v>
          </cell>
        </row>
      </sheetData>
      <sheetData sheetId="6" refreshError="1"/>
      <sheetData sheetId="7">
        <row r="24">
          <cell r="J24">
            <v>0</v>
          </cell>
        </row>
        <row r="26">
          <cell r="J26">
            <v>6881552.54</v>
          </cell>
        </row>
        <row r="27">
          <cell r="J27">
            <v>9696429.7300000004</v>
          </cell>
        </row>
        <row r="28">
          <cell r="J28">
            <v>3112826.34</v>
          </cell>
        </row>
        <row r="29">
          <cell r="J29">
            <v>24985869.390000001</v>
          </cell>
        </row>
        <row r="43">
          <cell r="J43">
            <v>99762069.680000007</v>
          </cell>
        </row>
        <row r="44">
          <cell r="J44">
            <v>73282430.089999989</v>
          </cell>
        </row>
        <row r="45">
          <cell r="J45">
            <v>22674738.879999999</v>
          </cell>
        </row>
        <row r="46">
          <cell r="J46">
            <v>0</v>
          </cell>
        </row>
        <row r="47">
          <cell r="J47">
            <v>74901430.099999994</v>
          </cell>
        </row>
        <row r="48">
          <cell r="J48">
            <v>0</v>
          </cell>
        </row>
        <row r="49">
          <cell r="J49">
            <v>17269586.539999999</v>
          </cell>
        </row>
        <row r="50">
          <cell r="J50">
            <v>8999320.6400000006</v>
          </cell>
        </row>
        <row r="64">
          <cell r="J64">
            <v>16608927.280000001</v>
          </cell>
        </row>
        <row r="65">
          <cell r="J65">
            <v>2027658.22</v>
          </cell>
        </row>
        <row r="66">
          <cell r="J66">
            <v>4418.76</v>
          </cell>
        </row>
        <row r="67">
          <cell r="J67">
            <v>0</v>
          </cell>
        </row>
        <row r="68">
          <cell r="J68">
            <v>482961.39999999997</v>
          </cell>
        </row>
        <row r="69">
          <cell r="J69">
            <v>0</v>
          </cell>
        </row>
        <row r="70">
          <cell r="J70">
            <v>264692.94</v>
          </cell>
        </row>
        <row r="71">
          <cell r="J71">
            <v>50379.119999999995</v>
          </cell>
        </row>
        <row r="98">
          <cell r="J98">
            <v>1505080.04</v>
          </cell>
        </row>
        <row r="99">
          <cell r="J99">
            <v>1052445.2</v>
          </cell>
        </row>
        <row r="100">
          <cell r="J100">
            <v>255634.03000000099</v>
          </cell>
        </row>
        <row r="101">
          <cell r="J101">
            <v>472185.7300000001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al."/>
      <sheetName val="dic16"/>
      <sheetName val="junio A16"/>
      <sheetName val="FLUJO EQ Donado"/>
      <sheetName val="anex-bs1"/>
      <sheetName val="Hoja3"/>
      <sheetName val="anex-bs2"/>
      <sheetName val="HT BG"/>
      <sheetName val="anex-bs3"/>
      <sheetName val="Información complementaria"/>
      <sheetName val="eeff interino_A1"/>
      <sheetName val="eeff interino A2"/>
      <sheetName val="anex-bs4"/>
      <sheetName val="anex-bs5"/>
      <sheetName val="Hoja4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7">
          <cell r="J27">
            <v>197632.89</v>
          </cell>
        </row>
        <row r="28">
          <cell r="J28">
            <v>8021875.9300000006</v>
          </cell>
        </row>
        <row r="29">
          <cell r="J29">
            <v>12101341</v>
          </cell>
        </row>
        <row r="30">
          <cell r="J30">
            <v>4240427</v>
          </cell>
        </row>
        <row r="31">
          <cell r="J31">
            <v>30800389.5</v>
          </cell>
        </row>
        <row r="46">
          <cell r="J46">
            <v>311468749.5</v>
          </cell>
        </row>
        <row r="47">
          <cell r="J47">
            <v>267616631.59999999</v>
          </cell>
        </row>
        <row r="48">
          <cell r="J48">
            <v>137920219.5</v>
          </cell>
        </row>
        <row r="49">
          <cell r="J49">
            <v>0</v>
          </cell>
        </row>
        <row r="50">
          <cell r="J50">
            <v>310002020.5</v>
          </cell>
        </row>
        <row r="51">
          <cell r="J51">
            <v>0</v>
          </cell>
        </row>
        <row r="52">
          <cell r="J52">
            <v>77016464.5</v>
          </cell>
        </row>
        <row r="53">
          <cell r="J53">
            <v>35439915</v>
          </cell>
        </row>
        <row r="69">
          <cell r="J69">
            <v>33759839</v>
          </cell>
        </row>
        <row r="70">
          <cell r="J70">
            <v>2037751</v>
          </cell>
        </row>
        <row r="71">
          <cell r="J71">
            <v>8591.3799999999992</v>
          </cell>
        </row>
        <row r="72">
          <cell r="J72">
            <v>0</v>
          </cell>
        </row>
        <row r="73">
          <cell r="J73">
            <v>1328948.96</v>
          </cell>
        </row>
        <row r="74">
          <cell r="J74">
            <v>0</v>
          </cell>
        </row>
        <row r="75">
          <cell r="J75">
            <v>1970247</v>
          </cell>
        </row>
        <row r="76">
          <cell r="J76">
            <v>266716.19</v>
          </cell>
        </row>
        <row r="107">
          <cell r="J107">
            <v>1986732</v>
          </cell>
        </row>
        <row r="108">
          <cell r="J108">
            <v>1302177</v>
          </cell>
        </row>
        <row r="109">
          <cell r="J109">
            <v>255634</v>
          </cell>
        </row>
        <row r="110">
          <cell r="J110">
            <v>514305</v>
          </cell>
        </row>
      </sheetData>
      <sheetData sheetId="6" refreshError="1"/>
      <sheetData sheetId="7">
        <row r="24">
          <cell r="J24">
            <v>0</v>
          </cell>
        </row>
        <row r="25">
          <cell r="J25">
            <v>0</v>
          </cell>
        </row>
        <row r="26">
          <cell r="J26">
            <v>6930967</v>
          </cell>
        </row>
        <row r="27">
          <cell r="J27">
            <v>11225767</v>
          </cell>
        </row>
        <row r="28">
          <cell r="J28">
            <v>3284160</v>
          </cell>
        </row>
        <row r="29">
          <cell r="J29">
            <v>26092003</v>
          </cell>
        </row>
        <row r="43">
          <cell r="L43">
            <v>103577139</v>
          </cell>
        </row>
        <row r="44">
          <cell r="L44">
            <v>76225101</v>
          </cell>
        </row>
        <row r="45">
          <cell r="L45">
            <v>24529655</v>
          </cell>
        </row>
        <row r="46">
          <cell r="L46">
            <v>0</v>
          </cell>
        </row>
        <row r="47">
          <cell r="L47">
            <v>78925307</v>
          </cell>
        </row>
        <row r="48">
          <cell r="L48">
            <v>0</v>
          </cell>
        </row>
        <row r="49">
          <cell r="L49">
            <v>18175574</v>
          </cell>
        </row>
        <row r="50">
          <cell r="L50">
            <v>9534850</v>
          </cell>
        </row>
        <row r="64">
          <cell r="J64">
            <v>17352287</v>
          </cell>
        </row>
        <row r="65">
          <cell r="J65">
            <v>2028046</v>
          </cell>
        </row>
        <row r="66">
          <cell r="J66">
            <v>4664</v>
          </cell>
        </row>
        <row r="67">
          <cell r="J67">
            <v>0</v>
          </cell>
        </row>
        <row r="68">
          <cell r="J68">
            <v>511852</v>
          </cell>
        </row>
        <row r="69">
          <cell r="J69">
            <v>0</v>
          </cell>
        </row>
        <row r="70">
          <cell r="J70">
            <v>308563</v>
          </cell>
        </row>
        <row r="71">
          <cell r="J71">
            <v>59270</v>
          </cell>
        </row>
        <row r="98">
          <cell r="L98">
            <v>1513930</v>
          </cell>
        </row>
        <row r="99">
          <cell r="L99">
            <v>1139701</v>
          </cell>
        </row>
        <row r="100">
          <cell r="L100">
            <v>255634</v>
          </cell>
        </row>
        <row r="101">
          <cell r="L101">
            <v>425079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al."/>
      <sheetName val="dic16"/>
      <sheetName val="junio A16"/>
      <sheetName val="FLUJO EQ Donado"/>
      <sheetName val="anex-bs1"/>
      <sheetName val="Hoja3"/>
      <sheetName val="anex-bs2"/>
      <sheetName val="HT BG"/>
      <sheetName val="anex-bs3"/>
      <sheetName val="Información complementaria"/>
      <sheetName val="eeff interino_A1"/>
      <sheetName val="eeff interino A2"/>
      <sheetName val="anex-bs4"/>
      <sheetName val="anex-bs5"/>
      <sheetName val="Hoja4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7">
          <cell r="J27">
            <v>197632.89</v>
          </cell>
        </row>
        <row r="28">
          <cell r="J28">
            <v>8226925.3800000008</v>
          </cell>
        </row>
        <row r="29">
          <cell r="J29">
            <v>12834460.15</v>
          </cell>
        </row>
        <row r="30">
          <cell r="J30">
            <v>4269886.9799999995</v>
          </cell>
        </row>
        <row r="31">
          <cell r="J31">
            <v>31919748.140000001</v>
          </cell>
        </row>
        <row r="46">
          <cell r="J46">
            <v>318227835.01999998</v>
          </cell>
        </row>
        <row r="47">
          <cell r="J47">
            <v>270518478.96999997</v>
          </cell>
        </row>
        <row r="48">
          <cell r="J48">
            <v>155582608.24000001</v>
          </cell>
        </row>
        <row r="49">
          <cell r="J49">
            <v>0</v>
          </cell>
        </row>
        <row r="50">
          <cell r="J50">
            <v>324509606.00999999</v>
          </cell>
        </row>
        <row r="51">
          <cell r="J51">
            <v>0</v>
          </cell>
        </row>
        <row r="52">
          <cell r="J52">
            <v>77477686.030000001</v>
          </cell>
        </row>
        <row r="53">
          <cell r="J53">
            <v>35439915</v>
          </cell>
        </row>
        <row r="69">
          <cell r="J69">
            <v>34967389.560000002</v>
          </cell>
        </row>
        <row r="70">
          <cell r="J70">
            <v>2037751</v>
          </cell>
        </row>
        <row r="71">
          <cell r="J71">
            <v>8591.3799999999992</v>
          </cell>
        </row>
        <row r="72">
          <cell r="J72">
            <v>0</v>
          </cell>
        </row>
        <row r="73">
          <cell r="J73">
            <v>1388842.0999999999</v>
          </cell>
        </row>
        <row r="74">
          <cell r="J74">
            <v>0</v>
          </cell>
        </row>
        <row r="75">
          <cell r="J75">
            <v>2022661.5</v>
          </cell>
        </row>
        <row r="76">
          <cell r="J76">
            <v>266716.19</v>
          </cell>
        </row>
        <row r="107">
          <cell r="J107">
            <v>1986732</v>
          </cell>
        </row>
        <row r="108">
          <cell r="J108">
            <v>1380567</v>
          </cell>
        </row>
        <row r="109">
          <cell r="J109">
            <v>3061204.1999999997</v>
          </cell>
        </row>
        <row r="110">
          <cell r="J110">
            <v>514305</v>
          </cell>
        </row>
      </sheetData>
      <sheetData sheetId="6" refreshError="1"/>
      <sheetData sheetId="7">
        <row r="24">
          <cell r="J24">
            <v>0</v>
          </cell>
        </row>
        <row r="26">
          <cell r="J26">
            <v>6984911.71</v>
          </cell>
        </row>
        <row r="27">
          <cell r="J27">
            <v>12296437.9</v>
          </cell>
        </row>
        <row r="28">
          <cell r="J28">
            <v>3437202.99</v>
          </cell>
        </row>
        <row r="29">
          <cell r="J29">
            <v>27806486.140000001</v>
          </cell>
        </row>
        <row r="43">
          <cell r="J43">
            <v>119892036.11000001</v>
          </cell>
        </row>
        <row r="44">
          <cell r="J44">
            <v>85202235.379999995</v>
          </cell>
        </row>
        <row r="45">
          <cell r="J45">
            <v>33237692.66</v>
          </cell>
        </row>
        <row r="46">
          <cell r="J46">
            <v>0</v>
          </cell>
        </row>
        <row r="47">
          <cell r="J47">
            <v>92986875.219999999</v>
          </cell>
        </row>
        <row r="48">
          <cell r="J48">
            <v>0</v>
          </cell>
        </row>
        <row r="49">
          <cell r="J49">
            <v>21084389.07</v>
          </cell>
        </row>
        <row r="50">
          <cell r="J50">
            <v>11141435.35</v>
          </cell>
        </row>
        <row r="64">
          <cell r="J64">
            <v>18170667.140000001</v>
          </cell>
        </row>
        <row r="65">
          <cell r="J65">
            <v>2028434.1700000002</v>
          </cell>
        </row>
        <row r="66">
          <cell r="J66">
            <v>4909.46</v>
          </cell>
        </row>
        <row r="67">
          <cell r="J67">
            <v>0</v>
          </cell>
        </row>
        <row r="68">
          <cell r="J68">
            <v>541898.15</v>
          </cell>
        </row>
        <row r="69">
          <cell r="J69">
            <v>0</v>
          </cell>
        </row>
        <row r="70">
          <cell r="J70">
            <v>355678.12</v>
          </cell>
        </row>
        <row r="71">
          <cell r="J71">
            <v>68160.52</v>
          </cell>
        </row>
        <row r="98">
          <cell r="J98">
            <v>1540252.86</v>
          </cell>
        </row>
        <row r="99">
          <cell r="J99">
            <v>1169283.8699999999</v>
          </cell>
        </row>
        <row r="100">
          <cell r="J100">
            <v>1319937.850000001</v>
          </cell>
        </row>
        <row r="101">
          <cell r="J101">
            <v>516996.97000000003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Poli_L"/>
      <sheetName val="Poli_SE"/>
    </sheetNames>
    <sheetDataSet>
      <sheetData sheetId="0">
        <row r="31">
          <cell r="A31">
            <v>2013</v>
          </cell>
          <cell r="G31">
            <v>0.96495068155683128</v>
          </cell>
        </row>
        <row r="32">
          <cell r="A32">
            <v>2014</v>
          </cell>
          <cell r="G32">
            <v>0.95746873992071857</v>
          </cell>
        </row>
        <row r="33">
          <cell r="A33">
            <v>2015</v>
          </cell>
          <cell r="G33">
            <v>1.1018206838222837</v>
          </cell>
        </row>
        <row r="34">
          <cell r="A34">
            <v>2016</v>
          </cell>
          <cell r="G34">
            <v>1.0363331782103011</v>
          </cell>
        </row>
        <row r="35">
          <cell r="A35">
            <v>2017</v>
          </cell>
          <cell r="G35">
            <v>0.97590817566384569</v>
          </cell>
        </row>
        <row r="36">
          <cell r="A36">
            <v>2018</v>
          </cell>
          <cell r="G36">
            <v>0.86953505436255052</v>
          </cell>
        </row>
        <row r="37">
          <cell r="A37">
            <v>2019</v>
          </cell>
          <cell r="G37">
            <v>0.9737245927798891</v>
          </cell>
        </row>
        <row r="38">
          <cell r="A38">
            <v>2020</v>
          </cell>
          <cell r="G38">
            <v>1.2669154580311224</v>
          </cell>
        </row>
        <row r="39">
          <cell r="A39">
            <v>2021</v>
          </cell>
          <cell r="G39">
            <v>0.91629636549214732</v>
          </cell>
        </row>
        <row r="40">
          <cell r="A40">
            <v>2022</v>
          </cell>
          <cell r="G40">
            <v>0.96291701405530827</v>
          </cell>
        </row>
        <row r="41">
          <cell r="A41">
            <v>2023</v>
          </cell>
          <cell r="G41">
            <v>0.97313994133709736</v>
          </cell>
        </row>
        <row r="42">
          <cell r="A42">
            <v>2024</v>
          </cell>
          <cell r="G42">
            <v>1</v>
          </cell>
        </row>
        <row r="55">
          <cell r="H55">
            <v>1.2144438558851962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NR 2025"/>
    </sheetNames>
    <sheetDataSet>
      <sheetData sheetId="0">
        <row r="7">
          <cell r="I7">
            <v>38084.291017627067</v>
          </cell>
        </row>
        <row r="11">
          <cell r="I11">
            <v>12203.954261928184</v>
          </cell>
        </row>
        <row r="12">
          <cell r="I12">
            <v>30118.121422274755</v>
          </cell>
        </row>
        <row r="13">
          <cell r="I13">
            <v>45244.144359894461</v>
          </cell>
        </row>
        <row r="14">
          <cell r="I14">
            <v>60957.946841081284</v>
          </cell>
        </row>
        <row r="15">
          <cell r="I15">
            <v>61721.318186582146</v>
          </cell>
        </row>
        <row r="18">
          <cell r="I18">
            <v>94578.714617443999</v>
          </cell>
        </row>
        <row r="19">
          <cell r="I19">
            <v>28064.61314348329</v>
          </cell>
        </row>
        <row r="20">
          <cell r="I20">
            <v>14219.433602814621</v>
          </cell>
        </row>
        <row r="21">
          <cell r="I21">
            <v>122346.19019363215</v>
          </cell>
        </row>
        <row r="22">
          <cell r="I22">
            <v>61029.916407297489</v>
          </cell>
        </row>
        <row r="23">
          <cell r="I23">
            <v>38380.837459076087</v>
          </cell>
        </row>
        <row r="24">
          <cell r="I24">
            <v>75893.654112945762</v>
          </cell>
        </row>
        <row r="25">
          <cell r="I25">
            <v>10883.799646593206</v>
          </cell>
        </row>
        <row r="26">
          <cell r="I26">
            <v>66815.879649008581</v>
          </cell>
        </row>
        <row r="30">
          <cell r="I30">
            <v>45844.026650232416</v>
          </cell>
        </row>
        <row r="31">
          <cell r="I31">
            <v>10492.486923162985</v>
          </cell>
        </row>
        <row r="32">
          <cell r="I32">
            <v>10479.222085080602</v>
          </cell>
        </row>
        <row r="33">
          <cell r="I33">
            <v>1386.175579608763</v>
          </cell>
        </row>
        <row r="34">
          <cell r="I34">
            <v>43714.243643643458</v>
          </cell>
        </row>
        <row r="35">
          <cell r="I35">
            <v>2708.2500488409119</v>
          </cell>
        </row>
        <row r="36">
          <cell r="I36">
            <v>32570.642219530662</v>
          </cell>
        </row>
        <row r="37">
          <cell r="I37">
            <v>103591.75300435058</v>
          </cell>
        </row>
        <row r="38">
          <cell r="I38">
            <v>51705.996932089212</v>
          </cell>
        </row>
        <row r="39">
          <cell r="I39">
            <v>22604.454652620221</v>
          </cell>
        </row>
        <row r="40">
          <cell r="I40">
            <v>99670.26524112605</v>
          </cell>
        </row>
        <row r="43">
          <cell r="I43">
            <v>7034.7959809072636</v>
          </cell>
        </row>
        <row r="44">
          <cell r="I44">
            <v>8717.0930752243494</v>
          </cell>
        </row>
        <row r="45">
          <cell r="I45">
            <v>2855.2481825693112</v>
          </cell>
        </row>
        <row r="46">
          <cell r="I46">
            <v>5007.1517028512744</v>
          </cell>
        </row>
        <row r="52">
          <cell r="I52">
            <v>31786.033406516588</v>
          </cell>
        </row>
        <row r="53">
          <cell r="I53">
            <v>5904.1384625202536</v>
          </cell>
        </row>
        <row r="54">
          <cell r="I54">
            <v>32168.150678423826</v>
          </cell>
        </row>
        <row r="58">
          <cell r="I58">
            <v>16833.766280129676</v>
          </cell>
        </row>
        <row r="61">
          <cell r="I61">
            <v>368.4662902196568</v>
          </cell>
        </row>
        <row r="62">
          <cell r="I62">
            <v>2217.139978199556</v>
          </cell>
        </row>
        <row r="63">
          <cell r="I63">
            <v>609.89287426201361</v>
          </cell>
        </row>
        <row r="64">
          <cell r="I64">
            <v>179.38025713588638</v>
          </cell>
        </row>
        <row r="65">
          <cell r="I65">
            <v>9955.6042710416932</v>
          </cell>
        </row>
        <row r="66">
          <cell r="I66">
            <v>721.28536652855996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NR 2025"/>
    </sheetNames>
    <sheetDataSet>
      <sheetData sheetId="0">
        <row r="7">
          <cell r="I7">
            <v>33719.3469038084</v>
          </cell>
        </row>
        <row r="11">
          <cell r="I11">
            <v>6385.4994388067134</v>
          </cell>
        </row>
        <row r="12">
          <cell r="I12">
            <v>17923.365693365165</v>
          </cell>
        </row>
        <row r="13">
          <cell r="I13">
            <v>26924.897920294854</v>
          </cell>
        </row>
        <row r="14">
          <cell r="I14">
            <v>36276.219151615805</v>
          </cell>
        </row>
        <row r="15">
          <cell r="I15">
            <v>50316.48412534628</v>
          </cell>
        </row>
        <row r="18">
          <cell r="I18">
            <v>37901.188323914481</v>
          </cell>
        </row>
        <row r="19">
          <cell r="I19">
            <v>16701.318032453906</v>
          </cell>
        </row>
        <row r="20">
          <cell r="I20">
            <v>8072.3468862500004</v>
          </cell>
        </row>
        <row r="21">
          <cell r="I21">
            <v>74199.918022900019</v>
          </cell>
        </row>
        <row r="22">
          <cell r="I22">
            <v>37324.342891</v>
          </cell>
        </row>
        <row r="23">
          <cell r="I23">
            <v>23472.742911949998</v>
          </cell>
        </row>
        <row r="24">
          <cell r="I24">
            <v>46414.626401549998</v>
          </cell>
        </row>
        <row r="25">
          <cell r="I25">
            <v>8419.4591392799994</v>
          </cell>
        </row>
        <row r="26">
          <cell r="I26">
            <v>54501.782492699997</v>
          </cell>
        </row>
        <row r="30">
          <cell r="I30">
            <v>27746.982178499995</v>
          </cell>
        </row>
        <row r="31">
          <cell r="I31">
            <v>11383.0756556</v>
          </cell>
        </row>
        <row r="32">
          <cell r="I32">
            <v>11417.780154549999</v>
          </cell>
        </row>
        <row r="33">
          <cell r="I33">
            <v>777.38077647999989</v>
          </cell>
        </row>
        <row r="34">
          <cell r="I34">
            <v>39360.794240000003</v>
          </cell>
        </row>
        <row r="35">
          <cell r="I35">
            <v>1357.2488324000001</v>
          </cell>
        </row>
        <row r="36">
          <cell r="I36">
            <v>19329.850306599998</v>
          </cell>
        </row>
        <row r="37">
          <cell r="I37">
            <v>80136.217121520021</v>
          </cell>
        </row>
        <row r="38">
          <cell r="I38">
            <v>48844.150521599993</v>
          </cell>
        </row>
        <row r="39">
          <cell r="I39">
            <v>31292.066599920003</v>
          </cell>
        </row>
        <row r="40">
          <cell r="I40">
            <v>60955.79635189999</v>
          </cell>
        </row>
        <row r="43">
          <cell r="I43">
            <v>7338.9319102000009</v>
          </cell>
        </row>
        <row r="44">
          <cell r="I44">
            <v>9093.9598970000006</v>
          </cell>
        </row>
        <row r="45">
          <cell r="I45">
            <v>2978.6893686000003</v>
          </cell>
        </row>
        <row r="46">
          <cell r="I46">
            <v>4102.1501906000003</v>
          </cell>
        </row>
        <row r="52">
          <cell r="I52">
            <v>23080.204111650004</v>
          </cell>
        </row>
        <row r="53">
          <cell r="I53">
            <v>3509.5813405500003</v>
          </cell>
        </row>
        <row r="54">
          <cell r="I54">
            <v>23037.295076160004</v>
          </cell>
        </row>
        <row r="58">
          <cell r="I58">
            <v>10460.981193119998</v>
          </cell>
        </row>
        <row r="61">
          <cell r="I61">
            <v>311.14113093000003</v>
          </cell>
        </row>
        <row r="62">
          <cell r="I62">
            <v>1822.6914772799998</v>
          </cell>
        </row>
        <row r="63">
          <cell r="I63">
            <v>501.38762319999995</v>
          </cell>
        </row>
        <row r="64">
          <cell r="I64">
            <v>147.466948</v>
          </cell>
        </row>
        <row r="65">
          <cell r="I65">
            <v>8184.4156139999986</v>
          </cell>
        </row>
        <row r="66">
          <cell r="I66">
            <v>721.28536652855996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K191"/>
  <sheetViews>
    <sheetView showGridLines="0" tabSelected="1" zoomScale="120" zoomScaleNormal="120" workbookViewId="0">
      <pane ySplit="4" topLeftCell="A52" activePane="bottomLeft" state="frozen"/>
      <selection pane="bottomLeft" activeCell="M19" sqref="M19"/>
    </sheetView>
  </sheetViews>
  <sheetFormatPr baseColWidth="10" defaultColWidth="9.140625" defaultRowHeight="12.75" x14ac:dyDescent="0.2"/>
  <cols>
    <col min="1" max="1" width="1.5703125" style="193" customWidth="1"/>
    <col min="2" max="2" width="55.140625" style="193" customWidth="1"/>
    <col min="3" max="3" width="9.85546875" style="193" customWidth="1"/>
    <col min="4" max="4" width="10.140625" style="193" customWidth="1"/>
    <col min="5" max="5" width="10.7109375" style="193" customWidth="1"/>
    <col min="6" max="6" width="10.28515625" style="193" customWidth="1"/>
    <col min="7" max="7" width="10.140625" style="193" customWidth="1"/>
    <col min="8" max="8" width="10.7109375" style="193" customWidth="1"/>
    <col min="9" max="9" width="10.42578125" style="193" customWidth="1"/>
    <col min="10" max="16384" width="9.140625" style="193"/>
  </cols>
  <sheetData>
    <row r="1" spans="2:9" s="11" customFormat="1" ht="15" x14ac:dyDescent="0.25">
      <c r="B1"/>
      <c r="C1"/>
      <c r="D1"/>
      <c r="E1"/>
      <c r="F1"/>
      <c r="G1"/>
      <c r="H1"/>
      <c r="I1"/>
    </row>
    <row r="2" spans="2:9" s="11" customFormat="1" x14ac:dyDescent="0.2">
      <c r="B2" s="1570" t="s">
        <v>0</v>
      </c>
      <c r="C2" s="1570"/>
      <c r="D2" s="1570"/>
      <c r="E2" s="1570"/>
      <c r="F2" s="1570"/>
      <c r="G2" s="1570"/>
      <c r="H2" s="1570"/>
      <c r="I2" s="1570"/>
    </row>
    <row r="3" spans="2:9" s="11" customFormat="1" x14ac:dyDescent="0.2">
      <c r="B3" s="1570" t="s">
        <v>1</v>
      </c>
      <c r="C3" s="1570"/>
      <c r="D3" s="1570"/>
      <c r="E3" s="1570"/>
      <c r="F3" s="1570"/>
      <c r="G3" s="1570"/>
      <c r="H3" s="1570"/>
      <c r="I3" s="1570"/>
    </row>
    <row r="4" spans="2:9" s="11" customFormat="1" x14ac:dyDescent="0.2">
      <c r="B4" s="1570" t="s">
        <v>1653</v>
      </c>
      <c r="C4" s="1570"/>
      <c r="D4" s="1570"/>
      <c r="E4" s="1570"/>
      <c r="F4" s="1570"/>
      <c r="G4" s="1570"/>
      <c r="H4" s="1570"/>
      <c r="I4" s="1570"/>
    </row>
    <row r="5" spans="2:9" s="327" customFormat="1" ht="13.5" thickBot="1" x14ac:dyDescent="0.25">
      <c r="B5" s="20" t="s">
        <v>2</v>
      </c>
    </row>
    <row r="6" spans="2:9" ht="13.5" thickBot="1" x14ac:dyDescent="0.25">
      <c r="B6" s="328"/>
      <c r="C6" s="329" t="s">
        <v>3</v>
      </c>
      <c r="D6" s="329">
        <v>2024</v>
      </c>
      <c r="E6" s="329">
        <f>D6+1</f>
        <v>2025</v>
      </c>
      <c r="F6" s="329">
        <f>+E6+1</f>
        <v>2026</v>
      </c>
      <c r="G6" s="329">
        <f>+F6+1</f>
        <v>2027</v>
      </c>
      <c r="H6" s="329">
        <f>+G6+1</f>
        <v>2028</v>
      </c>
      <c r="I6" s="329">
        <f>+H6+1</f>
        <v>2029</v>
      </c>
    </row>
    <row r="7" spans="2:9" x14ac:dyDescent="0.2">
      <c r="B7" s="330" t="s">
        <v>4</v>
      </c>
      <c r="C7" s="331" t="s">
        <v>5</v>
      </c>
      <c r="D7" s="332"/>
      <c r="E7" s="333">
        <f>+'OMT%_ADMT%'!F14</f>
        <v>1.7463481823484322E-2</v>
      </c>
      <c r="F7" s="332">
        <f>$E$7</f>
        <v>1.7463481823484322E-2</v>
      </c>
      <c r="G7" s="332">
        <f t="shared" ref="G7:I7" si="0">$E$7</f>
        <v>1.7463481823484322E-2</v>
      </c>
      <c r="H7" s="332">
        <f t="shared" si="0"/>
        <v>1.7463481823484322E-2</v>
      </c>
      <c r="I7" s="332">
        <f t="shared" si="0"/>
        <v>1.7463481823484322E-2</v>
      </c>
    </row>
    <row r="8" spans="2:9" x14ac:dyDescent="0.2">
      <c r="B8" s="334" t="s">
        <v>6</v>
      </c>
      <c r="C8" s="335" t="s">
        <v>5</v>
      </c>
      <c r="D8" s="336"/>
      <c r="E8" s="336">
        <f>+'OMT%_ADMT%'!F13</f>
        <v>8.2319969859183714E-3</v>
      </c>
      <c r="F8" s="336">
        <f>$E$8</f>
        <v>8.2319969859183714E-3</v>
      </c>
      <c r="G8" s="336">
        <f t="shared" ref="G8:I8" si="1">$E$8</f>
        <v>8.2319969859183714E-3</v>
      </c>
      <c r="H8" s="336">
        <f t="shared" si="1"/>
        <v>8.2319969859183714E-3</v>
      </c>
      <c r="I8" s="336">
        <f t="shared" si="1"/>
        <v>8.2319969859183714E-3</v>
      </c>
    </row>
    <row r="9" spans="2:9" ht="8.25" customHeight="1" thickBot="1" x14ac:dyDescent="0.25">
      <c r="E9" s="198"/>
      <c r="F9" s="198"/>
      <c r="G9" s="198"/>
      <c r="H9" s="198"/>
      <c r="I9" s="198"/>
    </row>
    <row r="10" spans="2:9" ht="13.5" thickBot="1" x14ac:dyDescent="0.25">
      <c r="B10" s="337" t="s">
        <v>7</v>
      </c>
      <c r="C10" s="338" t="s">
        <v>5</v>
      </c>
      <c r="D10" s="339">
        <f>'Tasa de Depreciación'!F28</f>
        <v>3.2314329354868353E-2</v>
      </c>
      <c r="E10" s="198"/>
      <c r="F10" s="198"/>
      <c r="G10" s="198"/>
      <c r="H10" s="198"/>
      <c r="I10" s="198"/>
    </row>
    <row r="11" spans="2:9" ht="13.5" thickBot="1" x14ac:dyDescent="0.25">
      <c r="B11" s="337" t="s">
        <v>8</v>
      </c>
      <c r="C11" s="338" t="s">
        <v>5</v>
      </c>
      <c r="D11" s="1558">
        <v>9.6000000000000002E-2</v>
      </c>
      <c r="E11" s="198"/>
      <c r="F11" s="198"/>
      <c r="G11" s="198"/>
      <c r="H11" s="198"/>
      <c r="I11" s="198"/>
    </row>
    <row r="12" spans="2:9" ht="6.6" customHeight="1" x14ac:dyDescent="0.2">
      <c r="C12" s="208"/>
      <c r="D12" s="1512"/>
      <c r="E12" s="198"/>
      <c r="F12" s="198"/>
      <c r="G12" s="198"/>
      <c r="H12" s="198"/>
      <c r="I12" s="198"/>
    </row>
    <row r="13" spans="2:9" x14ac:dyDescent="0.2">
      <c r="B13" s="1514" t="s">
        <v>1743</v>
      </c>
      <c r="C13" s="1515"/>
      <c r="D13" s="1557">
        <v>0.45</v>
      </c>
      <c r="E13" s="198"/>
      <c r="F13" s="198"/>
      <c r="G13" s="198"/>
      <c r="H13" s="198"/>
      <c r="I13" s="198"/>
    </row>
    <row r="14" spans="2:9" x14ac:dyDescent="0.2">
      <c r="B14" s="345" t="s">
        <v>1744</v>
      </c>
      <c r="C14" s="1513"/>
      <c r="D14" s="1516">
        <f>1-D13</f>
        <v>0.55000000000000004</v>
      </c>
      <c r="E14" s="198"/>
      <c r="F14" s="198"/>
      <c r="G14" s="198"/>
      <c r="H14" s="198"/>
      <c r="I14" s="198"/>
    </row>
    <row r="15" spans="2:9" ht="7.5" customHeight="1" x14ac:dyDescent="0.2">
      <c r="B15" s="200"/>
    </row>
    <row r="16" spans="2:9" s="327" customFormat="1" x14ac:dyDescent="0.2">
      <c r="B16" s="20" t="s">
        <v>9</v>
      </c>
    </row>
    <row r="17" spans="2:9" ht="13.5" customHeight="1" thickBot="1" x14ac:dyDescent="0.25">
      <c r="B17" s="193" t="s">
        <v>10</v>
      </c>
      <c r="H17" s="193" t="s">
        <v>11</v>
      </c>
      <c r="I17" s="1231">
        <f>AVERAGE('Factor ajuste'!E23:H23)</f>
        <v>0.99548609206107164</v>
      </c>
    </row>
    <row r="18" spans="2:9" ht="13.5" customHeight="1" thickBot="1" x14ac:dyDescent="0.25">
      <c r="B18" s="328" t="s">
        <v>12</v>
      </c>
      <c r="C18" s="329" t="s">
        <v>3</v>
      </c>
      <c r="D18" s="329">
        <f>D$6</f>
        <v>2024</v>
      </c>
      <c r="E18" s="329">
        <f t="shared" ref="E18:I18" si="2">E$6</f>
        <v>2025</v>
      </c>
      <c r="F18" s="329">
        <f t="shared" si="2"/>
        <v>2026</v>
      </c>
      <c r="G18" s="329">
        <f t="shared" si="2"/>
        <v>2027</v>
      </c>
      <c r="H18" s="329">
        <f t="shared" si="2"/>
        <v>2028</v>
      </c>
      <c r="I18" s="329">
        <f t="shared" si="2"/>
        <v>2029</v>
      </c>
    </row>
    <row r="19" spans="2:9" x14ac:dyDescent="0.2">
      <c r="B19" s="342" t="s">
        <v>13</v>
      </c>
      <c r="C19" s="331" t="s">
        <v>14</v>
      </c>
      <c r="D19" s="343">
        <f>'Activos Reconocidos'!C59/1000*I17</f>
        <v>1064357.1930205363</v>
      </c>
      <c r="E19" s="343">
        <f>'Activos Reconocidos'!D59/1000*I17</f>
        <v>1064357.1930205363</v>
      </c>
      <c r="F19" s="343">
        <f>'Activos Reconocidos'!E59/1000*I17</f>
        <v>1064357.1930205363</v>
      </c>
      <c r="G19" s="343">
        <f>'Activos Reconocidos'!F59/1000*I17</f>
        <v>1064357.1930205363</v>
      </c>
      <c r="H19" s="343">
        <f>'Activos Reconocidos'!G59/1000*I17</f>
        <v>1064357.1930205363</v>
      </c>
      <c r="I19" s="343">
        <f>'Activos Reconocidos'!H59/1000*I17</f>
        <v>1064357.1930205363</v>
      </c>
    </row>
    <row r="20" spans="2:9" x14ac:dyDescent="0.2">
      <c r="B20" s="344" t="s">
        <v>15</v>
      </c>
      <c r="C20" s="195" t="s">
        <v>14</v>
      </c>
      <c r="D20" s="202">
        <f>'Activos Reconocidos'!C177/1000*I17</f>
        <v>106087.31255358222</v>
      </c>
      <c r="E20" s="202">
        <f>'Activos Reconocidos'!D177/1000*I17</f>
        <v>118717.93898808559</v>
      </c>
      <c r="F20" s="202">
        <f>'Activos Reconocidos'!E177/1000*I17</f>
        <v>118717.93898808559</v>
      </c>
      <c r="G20" s="202">
        <f>'Activos Reconocidos'!F177/1000*I17</f>
        <v>123823.84290148797</v>
      </c>
      <c r="H20" s="202">
        <f>'Activos Reconocidos'!G177/1000*I17</f>
        <v>123823.84290148797</v>
      </c>
      <c r="I20" s="202">
        <f>'Activos Reconocidos'!H177/1000*I17</f>
        <v>123823.84290148797</v>
      </c>
    </row>
    <row r="21" spans="2:9" x14ac:dyDescent="0.2">
      <c r="B21" s="344" t="s">
        <v>16</v>
      </c>
      <c r="C21" s="195" t="s">
        <v>14</v>
      </c>
      <c r="D21" s="202">
        <f>'Activos Reconocidos'!C57/1000*I17</f>
        <v>692500.82471408136</v>
      </c>
      <c r="E21" s="202">
        <f>'Activos Reconocidos'!D57/1000*I17</f>
        <v>656336.19304849114</v>
      </c>
      <c r="F21" s="202">
        <f>'Activos Reconocidos'!E57/1000*I17</f>
        <v>620171.56138290104</v>
      </c>
      <c r="G21" s="202">
        <f>'Activos Reconocidos'!F57/1000*I17</f>
        <v>584006.92971731059</v>
      </c>
      <c r="H21" s="202">
        <f>'Activos Reconocidos'!G57/1000*I17</f>
        <v>551078.29091562773</v>
      </c>
      <c r="I21" s="202">
        <f>'Activos Reconocidos'!H57/1000*I17</f>
        <v>518435.76092812227</v>
      </c>
    </row>
    <row r="22" spans="2:9" x14ac:dyDescent="0.2">
      <c r="B22" s="1559" t="s">
        <v>17</v>
      </c>
      <c r="C22" s="335" t="s">
        <v>14</v>
      </c>
      <c r="D22" s="354">
        <f>'Activos Reconocidos'!C178/1000*I17</f>
        <v>85638.465239799247</v>
      </c>
      <c r="E22" s="354">
        <f>'Activos Reconocidos'!D178/1000*I17</f>
        <v>95963.652920841458</v>
      </c>
      <c r="F22" s="354">
        <f>'Activos Reconocidos'!E178/1000*I17</f>
        <v>93422.269792145336</v>
      </c>
      <c r="G22" s="354">
        <f>'Activos Reconocidos'!F178/1000*I17</f>
        <v>95986.790576851607</v>
      </c>
      <c r="H22" s="354">
        <f>'Activos Reconocidos'!G178/1000*I17</f>
        <v>93280.413587443501</v>
      </c>
      <c r="I22" s="354">
        <f>'Activos Reconocidos'!H178/1000*I17</f>
        <v>90574.036598035367</v>
      </c>
    </row>
    <row r="23" spans="2:9" x14ac:dyDescent="0.2">
      <c r="C23" s="208"/>
      <c r="D23" s="207"/>
      <c r="E23" s="207"/>
      <c r="F23" s="207"/>
      <c r="G23" s="207"/>
      <c r="H23" s="207"/>
      <c r="I23" s="207"/>
    </row>
    <row r="24" spans="2:9" s="327" customFormat="1" x14ac:dyDescent="0.2">
      <c r="B24" s="20" t="s">
        <v>18</v>
      </c>
    </row>
    <row r="25" spans="2:9" ht="13.5" thickBot="1" x14ac:dyDescent="0.25">
      <c r="B25" s="193" t="s">
        <v>10</v>
      </c>
    </row>
    <row r="26" spans="2:9" ht="13.5" thickBot="1" x14ac:dyDescent="0.25">
      <c r="B26" s="328" t="s">
        <v>19</v>
      </c>
      <c r="C26" s="329" t="s">
        <v>3</v>
      </c>
      <c r="D26" s="329">
        <f>D$6</f>
        <v>2024</v>
      </c>
      <c r="E26" s="329">
        <f t="shared" ref="E26:I26" si="3">E$6</f>
        <v>2025</v>
      </c>
      <c r="F26" s="329">
        <f t="shared" si="3"/>
        <v>2026</v>
      </c>
      <c r="G26" s="329">
        <f t="shared" si="3"/>
        <v>2027</v>
      </c>
      <c r="H26" s="329">
        <f t="shared" si="3"/>
        <v>2028</v>
      </c>
      <c r="I26" s="329">
        <f t="shared" si="3"/>
        <v>2029</v>
      </c>
    </row>
    <row r="27" spans="2:9" x14ac:dyDescent="0.2">
      <c r="B27" s="342" t="s">
        <v>20</v>
      </c>
      <c r="C27" s="331" t="s">
        <v>14</v>
      </c>
      <c r="D27" s="343">
        <f>('Activos Reconocidos'!C186+'Activos Reconocidos'!C188)/1000</f>
        <v>1604397.8320035401</v>
      </c>
      <c r="E27" s="343">
        <f>('Activos Reconocidos'!D186+'Activos Reconocidos'!D188)/1000</f>
        <v>1604397.8320035401</v>
      </c>
      <c r="F27" s="347">
        <f>('Activos Reconocidos'!E186+'Activos Reconocidos'!E188)/1000</f>
        <v>1604397.8320035401</v>
      </c>
      <c r="G27" s="343">
        <f>('Activos Reconocidos'!F186+'Activos Reconocidos'!F188)/1000</f>
        <v>1604397.8320035401</v>
      </c>
      <c r="H27" s="343">
        <f>('Activos Reconocidos'!G186+'Activos Reconocidos'!G188)/1000</f>
        <v>1604397.8320035401</v>
      </c>
      <c r="I27" s="348">
        <f>('Activos Reconocidos'!H186+'Activos Reconocidos'!H188)/1000</f>
        <v>1604397.8320035401</v>
      </c>
    </row>
    <row r="28" spans="2:9" x14ac:dyDescent="0.2">
      <c r="B28" s="345" t="s">
        <v>21</v>
      </c>
      <c r="C28" s="346" t="s">
        <v>14</v>
      </c>
      <c r="D28" s="350">
        <f>'Activos Reconocidos'!C190/1000</f>
        <v>113196.85075048261</v>
      </c>
      <c r="E28" s="350">
        <f>'Activos Reconocidos'!D190/1000</f>
        <v>125884.74919048262</v>
      </c>
      <c r="F28" s="351">
        <f>'Activos Reconocidos'!E190/1000</f>
        <v>125884.74919048262</v>
      </c>
      <c r="G28" s="350">
        <f>'Activos Reconocidos'!F190/1000</f>
        <v>131013.80519048261</v>
      </c>
      <c r="H28" s="350">
        <f>'Activos Reconocidos'!G190/1000</f>
        <v>131013.80519048261</v>
      </c>
      <c r="I28" s="352">
        <f>'Activos Reconocidos'!H190/1000</f>
        <v>131013.80519048261</v>
      </c>
    </row>
    <row r="29" spans="2:9" x14ac:dyDescent="0.2">
      <c r="B29" s="200"/>
      <c r="C29" s="208"/>
      <c r="D29" s="211"/>
      <c r="E29" s="211"/>
      <c r="F29" s="211"/>
      <c r="G29" s="211"/>
      <c r="H29" s="211"/>
      <c r="I29" s="211"/>
    </row>
    <row r="30" spans="2:9" s="327" customFormat="1" x14ac:dyDescent="0.2">
      <c r="B30" s="20" t="s">
        <v>22</v>
      </c>
    </row>
    <row r="31" spans="2:9" ht="13.5" thickBot="1" x14ac:dyDescent="0.25">
      <c r="B31" s="193" t="s">
        <v>10</v>
      </c>
    </row>
    <row r="32" spans="2:9" ht="9" customHeight="1" thickBot="1" x14ac:dyDescent="0.25">
      <c r="B32" s="194"/>
    </row>
    <row r="33" spans="1:9" ht="13.5" thickBot="1" x14ac:dyDescent="0.25">
      <c r="B33" s="1556" t="s">
        <v>1822</v>
      </c>
      <c r="C33" s="329"/>
      <c r="D33" s="329"/>
      <c r="E33" s="329">
        <f>E6</f>
        <v>2025</v>
      </c>
      <c r="F33" s="329">
        <f>F6</f>
        <v>2026</v>
      </c>
      <c r="G33" s="329">
        <f>G6</f>
        <v>2027</v>
      </c>
      <c r="H33" s="329">
        <f>H6</f>
        <v>2028</v>
      </c>
      <c r="I33" s="329">
        <f>I6</f>
        <v>2029</v>
      </c>
    </row>
    <row r="34" spans="1:9" x14ac:dyDescent="0.2">
      <c r="B34" s="353" t="s">
        <v>23</v>
      </c>
      <c r="C34" s="331" t="s">
        <v>14</v>
      </c>
      <c r="D34" s="353"/>
      <c r="E34" s="343">
        <f>D27*E$7</f>
        <v>28018.372376831474</v>
      </c>
      <c r="F34" s="343">
        <f>E27*F$7</f>
        <v>28018.372376831474</v>
      </c>
      <c r="G34" s="343">
        <f>F27*G$7</f>
        <v>28018.372376831474</v>
      </c>
      <c r="H34" s="343">
        <f>G27*H$7</f>
        <v>28018.372376831474</v>
      </c>
      <c r="I34" s="343">
        <f>H27*I$7</f>
        <v>28018.372376831474</v>
      </c>
    </row>
    <row r="35" spans="1:9" x14ac:dyDescent="0.2">
      <c r="B35" s="214" t="s">
        <v>24</v>
      </c>
      <c r="C35" s="195" t="s">
        <v>14</v>
      </c>
      <c r="D35" s="214"/>
      <c r="E35" s="202">
        <f>D27*E$8</f>
        <v>13207.398117267112</v>
      </c>
      <c r="F35" s="202">
        <f>E27*F$8</f>
        <v>13207.398117267112</v>
      </c>
      <c r="G35" s="202">
        <f>F27*G$8</f>
        <v>13207.398117267112</v>
      </c>
      <c r="H35" s="202">
        <f>G27*H$8</f>
        <v>13207.398117267112</v>
      </c>
      <c r="I35" s="202">
        <f>H27*I$8</f>
        <v>13207.398117267112</v>
      </c>
    </row>
    <row r="36" spans="1:9" x14ac:dyDescent="0.2">
      <c r="B36" s="214" t="s">
        <v>25</v>
      </c>
      <c r="C36" s="195" t="s">
        <v>14</v>
      </c>
      <c r="D36" s="214"/>
      <c r="E36" s="202">
        <f>-'Activos Reconocidos'!D58/1000*$I$17</f>
        <v>36164.631665590256</v>
      </c>
      <c r="F36" s="202">
        <f>-'Activos Reconocidos'!E58/1000*$I$17</f>
        <v>36164.631665590256</v>
      </c>
      <c r="G36" s="202">
        <f>-'Activos Reconocidos'!F58/1000*$I$17</f>
        <v>36164.631665590256</v>
      </c>
      <c r="H36" s="202">
        <f>-'Activos Reconocidos'!G58/1000*$I$17</f>
        <v>32928.638801682784</v>
      </c>
      <c r="I36" s="202">
        <f>-'Activos Reconocidos'!H58/1000*$I$17</f>
        <v>32642.529987505564</v>
      </c>
    </row>
    <row r="37" spans="1:9" x14ac:dyDescent="0.2">
      <c r="B37" s="214" t="s">
        <v>26</v>
      </c>
      <c r="C37" s="195" t="s">
        <v>14</v>
      </c>
      <c r="D37" s="214"/>
      <c r="E37" s="202">
        <f>D21*$D$11</f>
        <v>66480.079172551807</v>
      </c>
      <c r="F37" s="202">
        <f>E21*$D$11</f>
        <v>63008.274532655152</v>
      </c>
      <c r="G37" s="202">
        <f>F21*$D$11</f>
        <v>59536.469892758498</v>
      </c>
      <c r="H37" s="202">
        <f>G21*$D$11</f>
        <v>56064.665252861814</v>
      </c>
      <c r="I37" s="202">
        <f>H21*$D$11</f>
        <v>52903.515927900262</v>
      </c>
    </row>
    <row r="38" spans="1:9" ht="13.5" thickBot="1" x14ac:dyDescent="0.25">
      <c r="B38" s="216" t="s">
        <v>27</v>
      </c>
      <c r="C38" s="203" t="s">
        <v>14</v>
      </c>
      <c r="D38" s="216"/>
      <c r="E38" s="202">
        <v>15</v>
      </c>
      <c r="F38" s="202">
        <f>15*2+270/3*0.5</f>
        <v>75</v>
      </c>
      <c r="G38" s="202">
        <f>15*2+270/3*0.5</f>
        <v>75</v>
      </c>
      <c r="H38" s="202">
        <f>15*2+270/3*0.5</f>
        <v>75</v>
      </c>
      <c r="I38" s="202">
        <v>15</v>
      </c>
    </row>
    <row r="39" spans="1:9" ht="13.5" thickBot="1" x14ac:dyDescent="0.25">
      <c r="B39" s="355" t="s">
        <v>28</v>
      </c>
      <c r="C39" s="356"/>
      <c r="D39" s="356"/>
      <c r="E39" s="357">
        <f>SUM(E34:E38)</f>
        <v>143885.48133224066</v>
      </c>
      <c r="F39" s="357">
        <f>SUM(F34:F38)</f>
        <v>140473.67669234402</v>
      </c>
      <c r="G39" s="357">
        <f>SUM(G34:G38)</f>
        <v>137001.87205244735</v>
      </c>
      <c r="H39" s="357">
        <f>SUM(H34:H38)</f>
        <v>130294.07454864318</v>
      </c>
      <c r="I39" s="357">
        <f>SUM(I34:I38)</f>
        <v>126786.81640950442</v>
      </c>
    </row>
    <row r="40" spans="1:9" ht="13.5" thickBot="1" x14ac:dyDescent="0.25">
      <c r="A40" s="217"/>
      <c r="B40" s="218"/>
      <c r="C40" s="217"/>
      <c r="D40" s="217"/>
      <c r="E40" s="219"/>
      <c r="F40" s="219"/>
      <c r="G40" s="219"/>
      <c r="H40" s="219"/>
      <c r="I40" s="219"/>
    </row>
    <row r="41" spans="1:9" ht="13.5" thickBot="1" x14ac:dyDescent="0.25">
      <c r="A41" s="217"/>
      <c r="B41" s="1556" t="s">
        <v>1814</v>
      </c>
      <c r="C41" s="329"/>
      <c r="D41" s="329"/>
      <c r="E41" s="329">
        <f>E6</f>
        <v>2025</v>
      </c>
      <c r="F41" s="329">
        <f>F6</f>
        <v>2026</v>
      </c>
      <c r="G41" s="329">
        <f>G6</f>
        <v>2027</v>
      </c>
      <c r="H41" s="329">
        <f>H6</f>
        <v>2028</v>
      </c>
      <c r="I41" s="329">
        <f>I6</f>
        <v>2029</v>
      </c>
    </row>
    <row r="42" spans="1:9" x14ac:dyDescent="0.2">
      <c r="A42" s="217"/>
      <c r="B42" s="353" t="s">
        <v>23</v>
      </c>
      <c r="C42" s="331" t="s">
        <v>14</v>
      </c>
      <c r="D42" s="353"/>
      <c r="E42" s="1517">
        <f>E34*$D$13</f>
        <v>12608.267569574164</v>
      </c>
      <c r="F42" s="343">
        <f t="shared" ref="F42:I42" si="4">F34*$D$13</f>
        <v>12608.267569574164</v>
      </c>
      <c r="G42" s="343">
        <f t="shared" si="4"/>
        <v>12608.267569574164</v>
      </c>
      <c r="H42" s="343">
        <f t="shared" si="4"/>
        <v>12608.267569574164</v>
      </c>
      <c r="I42" s="343">
        <f t="shared" si="4"/>
        <v>12608.267569574164</v>
      </c>
    </row>
    <row r="43" spans="1:9" x14ac:dyDescent="0.2">
      <c r="A43" s="217"/>
      <c r="B43" s="214" t="s">
        <v>24</v>
      </c>
      <c r="C43" s="195" t="s">
        <v>14</v>
      </c>
      <c r="D43" s="214"/>
      <c r="E43" s="202">
        <f t="shared" ref="E43:I43" si="5">E35*$D$13</f>
        <v>5943.3291527702004</v>
      </c>
      <c r="F43" s="202">
        <f t="shared" si="5"/>
        <v>5943.3291527702004</v>
      </c>
      <c r="G43" s="202">
        <f t="shared" si="5"/>
        <v>5943.3291527702004</v>
      </c>
      <c r="H43" s="202">
        <f t="shared" si="5"/>
        <v>5943.3291527702004</v>
      </c>
      <c r="I43" s="202">
        <f t="shared" si="5"/>
        <v>5943.3291527702004</v>
      </c>
    </row>
    <row r="44" spans="1:9" x14ac:dyDescent="0.2">
      <c r="A44" s="217"/>
      <c r="B44" s="214" t="s">
        <v>25</v>
      </c>
      <c r="C44" s="195" t="s">
        <v>14</v>
      </c>
      <c r="D44" s="214"/>
      <c r="E44" s="202">
        <f t="shared" ref="E44:I44" si="6">E36*$D$13</f>
        <v>16274.084249515616</v>
      </c>
      <c r="F44" s="202">
        <f t="shared" si="6"/>
        <v>16274.084249515616</v>
      </c>
      <c r="G44" s="202">
        <f t="shared" si="6"/>
        <v>16274.084249515616</v>
      </c>
      <c r="H44" s="202">
        <f t="shared" si="6"/>
        <v>14817.887460757252</v>
      </c>
      <c r="I44" s="202">
        <f t="shared" si="6"/>
        <v>14689.138494377505</v>
      </c>
    </row>
    <row r="45" spans="1:9" x14ac:dyDescent="0.2">
      <c r="A45" s="217"/>
      <c r="B45" s="214" t="s">
        <v>26</v>
      </c>
      <c r="C45" s="195" t="s">
        <v>14</v>
      </c>
      <c r="D45" s="214"/>
      <c r="E45" s="202">
        <f t="shared" ref="E45:I45" si="7">E37*$D$13</f>
        <v>29916.035627648314</v>
      </c>
      <c r="F45" s="202">
        <f t="shared" si="7"/>
        <v>28353.72353969482</v>
      </c>
      <c r="G45" s="202">
        <f t="shared" si="7"/>
        <v>26791.411451741325</v>
      </c>
      <c r="H45" s="202">
        <f t="shared" si="7"/>
        <v>25229.099363787816</v>
      </c>
      <c r="I45" s="202">
        <f t="shared" si="7"/>
        <v>23806.58216755512</v>
      </c>
    </row>
    <row r="46" spans="1:9" ht="13.5" thickBot="1" x14ac:dyDescent="0.25">
      <c r="A46" s="217"/>
      <c r="B46" s="216" t="s">
        <v>27</v>
      </c>
      <c r="C46" s="203" t="s">
        <v>14</v>
      </c>
      <c r="D46" s="216"/>
      <c r="E46" s="202">
        <f t="shared" ref="E46:I46" si="8">E38*$D$13</f>
        <v>6.75</v>
      </c>
      <c r="F46" s="202">
        <f t="shared" si="8"/>
        <v>33.75</v>
      </c>
      <c r="G46" s="202">
        <f t="shared" si="8"/>
        <v>33.75</v>
      </c>
      <c r="H46" s="202">
        <f t="shared" si="8"/>
        <v>33.75</v>
      </c>
      <c r="I46" s="202">
        <f t="shared" si="8"/>
        <v>6.75</v>
      </c>
    </row>
    <row r="47" spans="1:9" ht="13.5" thickBot="1" x14ac:dyDescent="0.25">
      <c r="A47" s="217"/>
      <c r="B47" s="355" t="s">
        <v>28</v>
      </c>
      <c r="C47" s="356"/>
      <c r="D47" s="356"/>
      <c r="E47" s="357">
        <f>SUM(E42:E46)</f>
        <v>64748.466599508298</v>
      </c>
      <c r="F47" s="357">
        <f>SUM(F42:F46)</f>
        <v>63213.154511554807</v>
      </c>
      <c r="G47" s="357">
        <f>SUM(G42:G46)</f>
        <v>61650.842423601309</v>
      </c>
      <c r="H47" s="357">
        <f>SUM(H42:H46)</f>
        <v>58632.333546889437</v>
      </c>
      <c r="I47" s="357">
        <f>SUM(I42:I46)</f>
        <v>57054.06738427699</v>
      </c>
    </row>
    <row r="48" spans="1:9" ht="13.5" thickBot="1" x14ac:dyDescent="0.25">
      <c r="A48" s="217"/>
      <c r="B48" s="218"/>
      <c r="C48" s="217"/>
      <c r="D48" s="217"/>
      <c r="E48" s="219"/>
      <c r="F48" s="219"/>
      <c r="G48" s="219"/>
      <c r="H48" s="219"/>
      <c r="I48" s="219"/>
    </row>
    <row r="49" spans="1:10" ht="13.5" thickBot="1" x14ac:dyDescent="0.25">
      <c r="A49" s="217"/>
      <c r="B49" s="1556" t="s">
        <v>1815</v>
      </c>
      <c r="C49" s="329"/>
      <c r="D49" s="329"/>
      <c r="E49" s="329">
        <f>E6</f>
        <v>2025</v>
      </c>
      <c r="F49" s="329">
        <f>F6</f>
        <v>2026</v>
      </c>
      <c r="G49" s="329">
        <f>G6</f>
        <v>2027</v>
      </c>
      <c r="H49" s="329">
        <f>H6</f>
        <v>2028</v>
      </c>
      <c r="I49" s="329">
        <f>I6</f>
        <v>2029</v>
      </c>
    </row>
    <row r="50" spans="1:10" x14ac:dyDescent="0.2">
      <c r="A50" s="217"/>
      <c r="B50" s="353" t="s">
        <v>23</v>
      </c>
      <c r="C50" s="331" t="s">
        <v>14</v>
      </c>
      <c r="D50" s="353"/>
      <c r="E50" s="1517">
        <f>E34*$D$14</f>
        <v>15410.104807257312</v>
      </c>
      <c r="F50" s="343">
        <f t="shared" ref="F50:I50" si="9">F34*$D$14</f>
        <v>15410.104807257312</v>
      </c>
      <c r="G50" s="343">
        <f t="shared" si="9"/>
        <v>15410.104807257312</v>
      </c>
      <c r="H50" s="343">
        <f t="shared" si="9"/>
        <v>15410.104807257312</v>
      </c>
      <c r="I50" s="343">
        <f t="shared" si="9"/>
        <v>15410.104807257312</v>
      </c>
    </row>
    <row r="51" spans="1:10" x14ac:dyDescent="0.2">
      <c r="A51" s="217"/>
      <c r="B51" s="214" t="s">
        <v>24</v>
      </c>
      <c r="C51" s="195" t="s">
        <v>14</v>
      </c>
      <c r="D51" s="214"/>
      <c r="E51" s="202">
        <f t="shared" ref="E51:I51" si="10">E35*$D$14</f>
        <v>7264.0689644969125</v>
      </c>
      <c r="F51" s="202">
        <f t="shared" si="10"/>
        <v>7264.0689644969125</v>
      </c>
      <c r="G51" s="202">
        <f t="shared" si="10"/>
        <v>7264.0689644969125</v>
      </c>
      <c r="H51" s="202">
        <f t="shared" si="10"/>
        <v>7264.0689644969125</v>
      </c>
      <c r="I51" s="202">
        <f t="shared" si="10"/>
        <v>7264.0689644969125</v>
      </c>
    </row>
    <row r="52" spans="1:10" x14ac:dyDescent="0.2">
      <c r="A52" s="217"/>
      <c r="B52" s="214" t="s">
        <v>25</v>
      </c>
      <c r="C52" s="195" t="s">
        <v>14</v>
      </c>
      <c r="D52" s="214"/>
      <c r="E52" s="202">
        <f t="shared" ref="E52:I52" si="11">E36*$D$14</f>
        <v>19890.547416074642</v>
      </c>
      <c r="F52" s="202">
        <f t="shared" si="11"/>
        <v>19890.547416074642</v>
      </c>
      <c r="G52" s="202">
        <f t="shared" si="11"/>
        <v>19890.547416074642</v>
      </c>
      <c r="H52" s="202">
        <f t="shared" si="11"/>
        <v>18110.751340925533</v>
      </c>
      <c r="I52" s="202">
        <f t="shared" si="11"/>
        <v>17953.391493128063</v>
      </c>
    </row>
    <row r="53" spans="1:10" x14ac:dyDescent="0.2">
      <c r="A53" s="217"/>
      <c r="B53" s="214" t="s">
        <v>26</v>
      </c>
      <c r="C53" s="195" t="s">
        <v>14</v>
      </c>
      <c r="D53" s="214"/>
      <c r="E53" s="202">
        <f t="shared" ref="E53:I53" si="12">E37*$D$14</f>
        <v>36564.043544903499</v>
      </c>
      <c r="F53" s="202">
        <f t="shared" si="12"/>
        <v>34654.550992960336</v>
      </c>
      <c r="G53" s="202">
        <f t="shared" si="12"/>
        <v>32745.058441017176</v>
      </c>
      <c r="H53" s="202">
        <f t="shared" si="12"/>
        <v>30835.565889074001</v>
      </c>
      <c r="I53" s="202">
        <f t="shared" si="12"/>
        <v>29096.933760345146</v>
      </c>
    </row>
    <row r="54" spans="1:10" x14ac:dyDescent="0.2">
      <c r="A54" s="217"/>
      <c r="B54" s="216" t="s">
        <v>27</v>
      </c>
      <c r="C54" s="203" t="s">
        <v>14</v>
      </c>
      <c r="D54" s="216"/>
      <c r="E54" s="202">
        <f t="shared" ref="E54:I54" si="13">E38*$D$14</f>
        <v>8.25</v>
      </c>
      <c r="F54" s="202">
        <f t="shared" si="13"/>
        <v>41.25</v>
      </c>
      <c r="G54" s="202">
        <f t="shared" si="13"/>
        <v>41.25</v>
      </c>
      <c r="H54" s="202">
        <f t="shared" si="13"/>
        <v>41.25</v>
      </c>
      <c r="I54" s="202">
        <f t="shared" si="13"/>
        <v>8.25</v>
      </c>
    </row>
    <row r="55" spans="1:10" ht="13.5" thickBot="1" x14ac:dyDescent="0.25">
      <c r="A55" s="217"/>
      <c r="B55" s="1518" t="s">
        <v>29</v>
      </c>
      <c r="C55" s="1519" t="s">
        <v>14</v>
      </c>
      <c r="D55" s="1518"/>
      <c r="E55" s="213">
        <f>CTPR!E9+CTPR!F9</f>
        <v>-6188.872545107246</v>
      </c>
      <c r="F55" s="213">
        <f>CTPR!F9+CTPR!G9</f>
        <v>-6188.872545107246</v>
      </c>
      <c r="G55" s="213">
        <f>CTPR!G9+CTPR!H9</f>
        <v>-6188.872545107246</v>
      </c>
      <c r="H55" s="213">
        <f>CTPR!H9+CTPR!I9</f>
        <v>-6188.872545107246</v>
      </c>
      <c r="I55" s="213">
        <f>CTPR!I9+CTPR!J9</f>
        <v>-6188.872545107246</v>
      </c>
      <c r="J55" s="1560" t="s">
        <v>30</v>
      </c>
    </row>
    <row r="56" spans="1:10" ht="13.5" thickBot="1" x14ac:dyDescent="0.25">
      <c r="A56" s="217"/>
      <c r="B56" s="355" t="s">
        <v>28</v>
      </c>
      <c r="C56" s="356"/>
      <c r="D56" s="356"/>
      <c r="E56" s="357">
        <f>SUM(E50:E55)</f>
        <v>72948.142187625112</v>
      </c>
      <c r="F56" s="357">
        <f t="shared" ref="F56:I56" si="14">SUM(F50:F55)</f>
        <v>71071.64963568197</v>
      </c>
      <c r="G56" s="357">
        <f t="shared" si="14"/>
        <v>69162.157083738799</v>
      </c>
      <c r="H56" s="357">
        <f t="shared" si="14"/>
        <v>65472.868456646516</v>
      </c>
      <c r="I56" s="357">
        <f t="shared" si="14"/>
        <v>63543.876480120183</v>
      </c>
    </row>
    <row r="57" spans="1:10" ht="13.5" thickBot="1" x14ac:dyDescent="0.25">
      <c r="A57" s="217"/>
      <c r="B57" s="218"/>
      <c r="C57" s="217"/>
      <c r="D57" s="217"/>
      <c r="E57" s="219"/>
      <c r="F57" s="219"/>
      <c r="G57" s="219"/>
      <c r="H57" s="219"/>
      <c r="I57" s="219"/>
    </row>
    <row r="58" spans="1:10" ht="13.5" thickBot="1" x14ac:dyDescent="0.25">
      <c r="B58" s="1556" t="s">
        <v>500</v>
      </c>
      <c r="C58" s="329"/>
      <c r="D58" s="329"/>
      <c r="E58" s="329">
        <f>E6</f>
        <v>2025</v>
      </c>
      <c r="F58" s="329">
        <f>F6</f>
        <v>2026</v>
      </c>
      <c r="G58" s="329">
        <f>G6</f>
        <v>2027</v>
      </c>
      <c r="H58" s="329">
        <f>H6</f>
        <v>2028</v>
      </c>
      <c r="I58" s="329">
        <f>I6</f>
        <v>2029</v>
      </c>
    </row>
    <row r="59" spans="1:10" x14ac:dyDescent="0.2">
      <c r="B59" s="353" t="s">
        <v>23</v>
      </c>
      <c r="C59" s="331" t="s">
        <v>14</v>
      </c>
      <c r="D59" s="353"/>
      <c r="E59" s="343">
        <f>(D28)*E$7</f>
        <v>1976.8111455567207</v>
      </c>
      <c r="F59" s="343">
        <f>(E28)*F$7</f>
        <v>2198.3860293418757</v>
      </c>
      <c r="G59" s="343">
        <f>(F28)*G$7</f>
        <v>2198.3860293418757</v>
      </c>
      <c r="H59" s="343">
        <f>(G28)*H$7</f>
        <v>2287.9572055695089</v>
      </c>
      <c r="I59" s="343">
        <f>(H28)*I$7</f>
        <v>2287.9572055695089</v>
      </c>
    </row>
    <row r="60" spans="1:10" x14ac:dyDescent="0.2">
      <c r="B60" s="214" t="s">
        <v>24</v>
      </c>
      <c r="C60" s="195" t="s">
        <v>14</v>
      </c>
      <c r="D60" s="214"/>
      <c r="E60" s="202">
        <f>(D28)*E$8</f>
        <v>931.83613419342464</v>
      </c>
      <c r="F60" s="202">
        <f>(E28)*F$8</f>
        <v>1036.2828759091431</v>
      </c>
      <c r="G60" s="202">
        <f>(F28)*G$8</f>
        <v>1036.2828759091431</v>
      </c>
      <c r="H60" s="202">
        <f>(G28)*H$8</f>
        <v>1078.5052494417496</v>
      </c>
      <c r="I60" s="202">
        <f>(H28)*I$8</f>
        <v>1078.5052494417496</v>
      </c>
    </row>
    <row r="61" spans="1:10" x14ac:dyDescent="0.2">
      <c r="B61" s="214" t="s">
        <v>25</v>
      </c>
      <c r="C61" s="195" t="s">
        <v>14</v>
      </c>
      <c r="D61" s="214"/>
      <c r="E61" s="202">
        <f>-'Activos Reconocidos'!D179/1000*I17</f>
        <v>2305.4387534611606</v>
      </c>
      <c r="F61" s="202">
        <f>-'Activos Reconocidos'!E179/1000*I17</f>
        <v>2541.3831286961231</v>
      </c>
      <c r="G61" s="202">
        <f>-'Activos Reconocidos'!F179/1000*I17</f>
        <v>2541.3831286961231</v>
      </c>
      <c r="H61" s="202">
        <f>-'Activos Reconocidos'!G179/1000*I17</f>
        <v>2706.3769894081188</v>
      </c>
      <c r="I61" s="202">
        <f>-'Activos Reconocidos'!H179/1000*I17</f>
        <v>2706.3769894081188</v>
      </c>
    </row>
    <row r="62" spans="1:10" x14ac:dyDescent="0.2">
      <c r="B62" s="214" t="s">
        <v>26</v>
      </c>
      <c r="C62" s="195" t="s">
        <v>14</v>
      </c>
      <c r="D62" s="214"/>
      <c r="E62" s="202">
        <f>(D22)*$D$11</f>
        <v>8221.2926630207276</v>
      </c>
      <c r="F62" s="202">
        <f>(E22)*$D$11</f>
        <v>9212.510680400781</v>
      </c>
      <c r="G62" s="202">
        <f>(F22)*$D$11</f>
        <v>8968.5379000459525</v>
      </c>
      <c r="H62" s="202">
        <f>(G22)*$D$11</f>
        <v>9214.731895377754</v>
      </c>
      <c r="I62" s="202">
        <f>(H22)*$D$11</f>
        <v>8954.9197043945769</v>
      </c>
    </row>
    <row r="63" spans="1:10" ht="13.5" thickBot="1" x14ac:dyDescent="0.25">
      <c r="B63" s="214" t="s">
        <v>1652</v>
      </c>
      <c r="C63" s="195" t="s">
        <v>14</v>
      </c>
      <c r="D63" s="214"/>
      <c r="E63" s="202">
        <f>INVNE_Conex!C179</f>
        <v>-2286.9242234198659</v>
      </c>
      <c r="F63" s="202">
        <f>INVNE_Conex!D179</f>
        <v>-2286.9242234198659</v>
      </c>
      <c r="G63" s="202">
        <f>INVNE_Conex!E179</f>
        <v>-2286.9242234198659</v>
      </c>
      <c r="H63" s="202">
        <f>INVNE_Conex!F179</f>
        <v>-2286.9242234198659</v>
      </c>
      <c r="I63" s="202">
        <f>INVNE_Conex!G179</f>
        <v>-2286.9242234198659</v>
      </c>
      <c r="J63" s="1560" t="s">
        <v>1816</v>
      </c>
    </row>
    <row r="64" spans="1:10" ht="13.5" hidden="1" thickBot="1" x14ac:dyDescent="0.25">
      <c r="B64" s="220"/>
      <c r="C64" s="195"/>
      <c r="D64" s="220"/>
      <c r="E64" s="205"/>
      <c r="F64" s="205"/>
      <c r="G64" s="205"/>
      <c r="I64" s="213"/>
    </row>
    <row r="65" spans="2:11" ht="13.5" thickBot="1" x14ac:dyDescent="0.25">
      <c r="B65" s="355" t="s">
        <v>28</v>
      </c>
      <c r="C65" s="355"/>
      <c r="D65" s="355"/>
      <c r="E65" s="357">
        <f>SUM(E59:E63)</f>
        <v>11148.454472812167</v>
      </c>
      <c r="F65" s="357">
        <f t="shared" ref="F65:I65" si="15">SUM(F59:F63)</f>
        <v>12701.638490928057</v>
      </c>
      <c r="G65" s="357">
        <f t="shared" si="15"/>
        <v>12457.665710573228</v>
      </c>
      <c r="H65" s="357">
        <f t="shared" si="15"/>
        <v>13000.647116377264</v>
      </c>
      <c r="I65" s="357">
        <f t="shared" si="15"/>
        <v>12740.834925394089</v>
      </c>
    </row>
    <row r="66" spans="2:11" ht="13.5" thickBot="1" x14ac:dyDescent="0.25">
      <c r="B66" s="218"/>
      <c r="C66" s="217"/>
      <c r="D66" s="217"/>
      <c r="E66" s="219"/>
      <c r="F66" s="219"/>
      <c r="G66" s="219"/>
      <c r="H66" s="219"/>
      <c r="I66" s="219"/>
    </row>
    <row r="67" spans="2:11" ht="13.5" thickBot="1" x14ac:dyDescent="0.25">
      <c r="B67" s="1556" t="s">
        <v>1817</v>
      </c>
      <c r="C67" s="329"/>
      <c r="D67" s="329"/>
      <c r="E67" s="329">
        <f>E6</f>
        <v>2025</v>
      </c>
      <c r="F67" s="329">
        <f>F6</f>
        <v>2026</v>
      </c>
      <c r="G67" s="329">
        <f>G6</f>
        <v>2027</v>
      </c>
      <c r="H67" s="329">
        <f>H6</f>
        <v>2028</v>
      </c>
      <c r="I67" s="329">
        <f>I6</f>
        <v>2029</v>
      </c>
    </row>
    <row r="68" spans="2:11" ht="13.5" thickBot="1" x14ac:dyDescent="0.25">
      <c r="B68" s="353" t="s">
        <v>32</v>
      </c>
      <c r="C68" s="331" t="s">
        <v>14</v>
      </c>
      <c r="D68" s="353"/>
      <c r="E68" s="1229">
        <f>+(CND!D24+CND!E24)/1000</f>
        <v>4050.6975342019377</v>
      </c>
      <c r="F68" s="1229">
        <f>+(CND!F24+CND!G24)/1000</f>
        <v>11414.89213353611</v>
      </c>
      <c r="G68" s="1229">
        <f>+(CND!H24+CND!I24)/1000</f>
        <v>12593.98939797295</v>
      </c>
      <c r="H68" s="1229">
        <f>+(CND!J24+CND!K24)/1000</f>
        <v>13563.668435191368</v>
      </c>
      <c r="I68" s="1229">
        <f>+(CND!L24)/1000</f>
        <v>4637.0640922479861</v>
      </c>
    </row>
    <row r="69" spans="2:11" ht="13.5" thickBot="1" x14ac:dyDescent="0.25">
      <c r="B69" s="814" t="s">
        <v>28</v>
      </c>
      <c r="C69" s="355"/>
      <c r="D69" s="355"/>
      <c r="E69" s="1230">
        <f>SUM(E68:E68)</f>
        <v>4050.6975342019377</v>
      </c>
      <c r="F69" s="1230">
        <f>SUM(F68:F68)</f>
        <v>11414.89213353611</v>
      </c>
      <c r="G69" s="1230">
        <f>SUM(G68:G68)</f>
        <v>12593.98939797295</v>
      </c>
      <c r="H69" s="1230">
        <f>SUM(H68:H68)</f>
        <v>13563.668435191368</v>
      </c>
      <c r="I69" s="1230">
        <f>SUM(I68:I68)</f>
        <v>4637.0640922479861</v>
      </c>
      <c r="J69" s="194"/>
      <c r="K69" s="194"/>
    </row>
    <row r="70" spans="2:11" ht="13.5" thickBot="1" x14ac:dyDescent="0.25">
      <c r="B70" s="218"/>
      <c r="C70" s="217"/>
      <c r="D70" s="217"/>
      <c r="E70" s="219"/>
      <c r="F70" s="219"/>
      <c r="G70" s="219"/>
      <c r="H70" s="219"/>
      <c r="I70" s="219"/>
      <c r="J70" s="194"/>
      <c r="K70" s="194"/>
    </row>
    <row r="71" spans="2:11" ht="13.5" thickBot="1" x14ac:dyDescent="0.25">
      <c r="B71" s="328" t="s">
        <v>33</v>
      </c>
      <c r="C71" s="359"/>
      <c r="D71" s="329" t="s">
        <v>34</v>
      </c>
      <c r="E71" s="329" t="s">
        <v>1476</v>
      </c>
      <c r="F71" s="329" t="s">
        <v>1477</v>
      </c>
      <c r="G71" s="329" t="s">
        <v>1622</v>
      </c>
      <c r="H71" s="329" t="s">
        <v>1623</v>
      </c>
      <c r="I71" s="219"/>
      <c r="J71" s="308"/>
      <c r="K71" s="308"/>
    </row>
    <row r="72" spans="2:11" x14ac:dyDescent="0.2">
      <c r="B72" s="360" t="s">
        <v>1746</v>
      </c>
      <c r="C72" s="361" t="s">
        <v>14</v>
      </c>
      <c r="D72" s="362">
        <f>NPV($D$11,E72:H72)</f>
        <v>196125.70285993628</v>
      </c>
      <c r="E72" s="362">
        <f>(E47-E46+F47)/2+7</f>
        <v>63984.435555531556</v>
      </c>
      <c r="F72" s="362">
        <f>(F47+G47)/2</f>
        <v>62431.998467578058</v>
      </c>
      <c r="G72" s="362">
        <f>(G47+H47)/2</f>
        <v>60141.587985245373</v>
      </c>
      <c r="H72" s="362">
        <f>(H47+I47-I46)/2+I46</f>
        <v>57846.575465583213</v>
      </c>
      <c r="I72" s="219"/>
      <c r="J72" s="307"/>
      <c r="K72" s="307"/>
    </row>
    <row r="73" spans="2:11" x14ac:dyDescent="0.2">
      <c r="B73" s="363" t="s">
        <v>35</v>
      </c>
      <c r="C73" s="221" t="s">
        <v>14</v>
      </c>
      <c r="D73" s="223">
        <f>NPV($D$11,E73:H73)</f>
        <v>219919.94034166689</v>
      </c>
      <c r="E73" s="223">
        <f>(E56-E54+F56)/2+E54</f>
        <v>72014.020911653541</v>
      </c>
      <c r="F73" s="223">
        <f>(F56+G56)/2</f>
        <v>70116.903359710384</v>
      </c>
      <c r="G73" s="223">
        <f>(G56+H56)/2</f>
        <v>67317.512770192654</v>
      </c>
      <c r="H73" s="223">
        <f>(H56+I56-I54)/2+I54</f>
        <v>64512.49746838335</v>
      </c>
      <c r="I73" s="219"/>
      <c r="J73" s="307"/>
      <c r="K73" s="307"/>
    </row>
    <row r="74" spans="2:11" x14ac:dyDescent="0.2">
      <c r="B74" s="363" t="s">
        <v>1747</v>
      </c>
      <c r="C74" s="221" t="s">
        <v>14</v>
      </c>
      <c r="D74" s="223">
        <f>NPV(RRT,E74:H74)</f>
        <v>196125.70285993628</v>
      </c>
      <c r="E74" s="223">
        <f>-PMT(RRT,4,$D$72)</f>
        <v>61337.036662583872</v>
      </c>
      <c r="F74" s="223">
        <f>-PMT(RRT,4,$D$72)</f>
        <v>61337.036662583872</v>
      </c>
      <c r="G74" s="223">
        <f>-PMT(RRT,4,$D$72)</f>
        <v>61337.036662583872</v>
      </c>
      <c r="H74" s="223">
        <f>-PMT(RRT,4,$D$72)</f>
        <v>61337.036662583872</v>
      </c>
      <c r="I74" s="219"/>
      <c r="J74" s="307"/>
      <c r="K74" s="307"/>
    </row>
    <row r="75" spans="2:11" x14ac:dyDescent="0.2">
      <c r="B75" s="364" t="s">
        <v>36</v>
      </c>
      <c r="C75" s="224" t="s">
        <v>14</v>
      </c>
      <c r="D75" s="365">
        <f>NPV(RRT,E75:H75)</f>
        <v>219919.94034166684</v>
      </c>
      <c r="E75" s="365">
        <f>-PMT(RRT,4,$D$73)</f>
        <v>68778.529518914991</v>
      </c>
      <c r="F75" s="365">
        <f>-PMT(RRT,4,$D$73)</f>
        <v>68778.529518914991</v>
      </c>
      <c r="G75" s="365">
        <f>-PMT(RRT,4,$D$73)</f>
        <v>68778.529518914991</v>
      </c>
      <c r="H75" s="365">
        <f>-PMT(RRT,4,$D$73)</f>
        <v>68778.529518914991</v>
      </c>
      <c r="I75" s="219"/>
      <c r="J75" s="309"/>
      <c r="K75" s="309"/>
    </row>
    <row r="76" spans="2:11" ht="13.5" thickBot="1" x14ac:dyDescent="0.25">
      <c r="B76" s="218"/>
      <c r="C76" s="217"/>
      <c r="D76" s="219"/>
      <c r="E76" s="219"/>
      <c r="F76" s="219"/>
      <c r="G76" s="219"/>
      <c r="H76" s="219"/>
      <c r="I76" s="219"/>
      <c r="J76" s="309"/>
      <c r="K76" s="309"/>
    </row>
    <row r="77" spans="2:11" ht="13.5" thickBot="1" x14ac:dyDescent="0.25">
      <c r="B77" s="328" t="s">
        <v>37</v>
      </c>
      <c r="C77" s="329"/>
      <c r="D77" s="329" t="s">
        <v>1227</v>
      </c>
      <c r="E77" s="329" t="str">
        <f>E71</f>
        <v>jul25-jun26</v>
      </c>
      <c r="F77" s="329" t="str">
        <f t="shared" ref="F77:H77" si="16">F71</f>
        <v>jul26-jun27</v>
      </c>
      <c r="G77" s="329" t="str">
        <f t="shared" si="16"/>
        <v>jul27-jun28</v>
      </c>
      <c r="H77" s="329" t="str">
        <f t="shared" si="16"/>
        <v>jul28-jun29</v>
      </c>
    </row>
    <row r="78" spans="2:11" x14ac:dyDescent="0.2">
      <c r="B78" s="369" t="s">
        <v>1748</v>
      </c>
      <c r="C78" s="221" t="s">
        <v>14</v>
      </c>
      <c r="D78" s="301">
        <f>SUM(E78:H78)</f>
        <v>244404.59747393819</v>
      </c>
      <c r="E78" s="301">
        <f>E72</f>
        <v>63984.435555531556</v>
      </c>
      <c r="F78" s="301">
        <f t="shared" ref="F78:H79" si="17">F72</f>
        <v>62431.998467578058</v>
      </c>
      <c r="G78" s="301">
        <f t="shared" si="17"/>
        <v>60141.587985245373</v>
      </c>
      <c r="H78" s="301">
        <f t="shared" si="17"/>
        <v>57846.575465583213</v>
      </c>
      <c r="I78" s="859"/>
      <c r="J78" s="310"/>
      <c r="K78" s="310"/>
    </row>
    <row r="79" spans="2:11" x14ac:dyDescent="0.2">
      <c r="B79" s="369" t="s">
        <v>38</v>
      </c>
      <c r="C79" s="221" t="s">
        <v>14</v>
      </c>
      <c r="D79" s="301">
        <f>SUM(E79:H79)</f>
        <v>273960.93450993992</v>
      </c>
      <c r="E79" s="301">
        <f>E73</f>
        <v>72014.020911653541</v>
      </c>
      <c r="F79" s="301">
        <f t="shared" si="17"/>
        <v>70116.903359710384</v>
      </c>
      <c r="G79" s="301">
        <f t="shared" si="17"/>
        <v>67317.512770192654</v>
      </c>
      <c r="H79" s="301">
        <f t="shared" si="17"/>
        <v>64512.49746838335</v>
      </c>
      <c r="I79" s="859"/>
    </row>
    <row r="80" spans="2:11" ht="14.25" customHeight="1" x14ac:dyDescent="0.2">
      <c r="B80" s="369" t="s">
        <v>31</v>
      </c>
      <c r="C80" s="221" t="s">
        <v>14</v>
      </c>
      <c r="D80" s="301">
        <f>SUM(E80:H80)</f>
        <v>50104.596016981675</v>
      </c>
      <c r="E80" s="301">
        <f>(E65+F65)/2+E64</f>
        <v>11925.046481870111</v>
      </c>
      <c r="F80" s="301">
        <f>(F65+G65)/2+F64</f>
        <v>12579.652100750642</v>
      </c>
      <c r="G80" s="301">
        <f>(G65+H65)/2+G64</f>
        <v>12729.156413475246</v>
      </c>
      <c r="H80" s="301">
        <f>(H65+I65)/2</f>
        <v>12870.741020885676</v>
      </c>
      <c r="I80" s="212"/>
    </row>
    <row r="81" spans="2:11" ht="13.5" thickBot="1" x14ac:dyDescent="0.25">
      <c r="B81" s="369" t="s">
        <v>39</v>
      </c>
      <c r="C81" s="221" t="s">
        <v>14</v>
      </c>
      <c r="D81" s="301">
        <f>SUM(E81:H81)</f>
        <v>46260.311593150356</v>
      </c>
      <c r="E81" s="301">
        <f>(CND!E24+CND!F24)/1000</f>
        <v>9490.378372708481</v>
      </c>
      <c r="F81" s="301">
        <f>(CND!G24+CND!H24)/1000</f>
        <v>12044.156700059135</v>
      </c>
      <c r="G81" s="301">
        <f>(CND!I24+CND!J24)/1000</f>
        <v>13283.189004657623</v>
      </c>
      <c r="H81" s="301">
        <f>(CND!K24+CND!L24)/1000</f>
        <v>11442.587515725114</v>
      </c>
      <c r="I81" s="212"/>
      <c r="J81" s="310"/>
      <c r="K81" s="310"/>
    </row>
    <row r="82" spans="2:11" ht="13.5" thickBot="1" x14ac:dyDescent="0.25">
      <c r="B82" s="355" t="s">
        <v>40</v>
      </c>
      <c r="C82" s="366" t="s">
        <v>14</v>
      </c>
      <c r="D82" s="357">
        <f>SUM(D78:D81)</f>
        <v>614730.43959401012</v>
      </c>
      <c r="E82" s="357">
        <f>E78+E79+E80+E81</f>
        <v>157413.88132176371</v>
      </c>
      <c r="F82" s="357">
        <f>F78+F79+F80+F81</f>
        <v>157172.71062809823</v>
      </c>
      <c r="G82" s="357">
        <f>G78+G79+G80+G81</f>
        <v>153471.4461735709</v>
      </c>
      <c r="H82" s="357">
        <f>H78+H79+H80+H81</f>
        <v>146672.40147057734</v>
      </c>
      <c r="I82" s="212"/>
    </row>
    <row r="83" spans="2:11" ht="13.5" thickBot="1" x14ac:dyDescent="0.25">
      <c r="B83" s="218"/>
      <c r="C83" s="217"/>
      <c r="D83" s="217"/>
      <c r="E83" s="219"/>
      <c r="F83" s="219"/>
      <c r="G83" s="219"/>
      <c r="H83" s="219"/>
      <c r="I83" s="219"/>
    </row>
    <row r="84" spans="2:11" ht="15.75" customHeight="1" thickBot="1" x14ac:dyDescent="0.25">
      <c r="B84" s="1571" t="s">
        <v>41</v>
      </c>
      <c r="C84" s="1572"/>
      <c r="D84" s="1573"/>
      <c r="E84" s="835" t="str">
        <f>+E77</f>
        <v>jul25-jun26</v>
      </c>
      <c r="F84" s="329" t="str">
        <f>+F77</f>
        <v>jul26-jun27</v>
      </c>
      <c r="G84" s="329" t="str">
        <f>+G77</f>
        <v>jul27-jun28</v>
      </c>
      <c r="H84" s="329" t="str">
        <f>+H77</f>
        <v>jul28-jun29</v>
      </c>
      <c r="I84" s="315"/>
    </row>
    <row r="85" spans="2:11" ht="15" customHeight="1" thickBot="1" x14ac:dyDescent="0.25">
      <c r="B85" s="1574"/>
      <c r="C85" s="1575"/>
      <c r="D85" s="1576"/>
      <c r="E85" s="847">
        <f>1/(1+RRT)^0.5</f>
        <v>0.95520089987608769</v>
      </c>
      <c r="F85" s="804">
        <f>E85/(1+RRT)</f>
        <v>0.87153366777015295</v>
      </c>
      <c r="G85" s="804">
        <f>F85/(1+RRT)</f>
        <v>0.79519495234503002</v>
      </c>
      <c r="H85" s="805">
        <f>G85/(1+RRT)</f>
        <v>0.72554283973086675</v>
      </c>
      <c r="I85" s="219"/>
    </row>
    <row r="86" spans="2:11" ht="9.75" customHeight="1" thickBot="1" x14ac:dyDescent="0.25">
      <c r="B86" s="218"/>
      <c r="C86" s="217"/>
      <c r="D86" s="217"/>
      <c r="E86" s="219"/>
      <c r="F86" s="232"/>
      <c r="G86" s="219"/>
      <c r="H86" s="219"/>
      <c r="I86" s="219"/>
    </row>
    <row r="87" spans="2:11" ht="13.5" thickBot="1" x14ac:dyDescent="0.25">
      <c r="B87" s="328" t="s">
        <v>42</v>
      </c>
      <c r="C87" s="329"/>
      <c r="D87" s="329" t="s">
        <v>43</v>
      </c>
      <c r="E87" s="329" t="str">
        <f>E71</f>
        <v>jul25-jun26</v>
      </c>
      <c r="F87" s="329" t="str">
        <f>F71</f>
        <v>jul26-jun27</v>
      </c>
      <c r="G87" s="329" t="str">
        <f>G71</f>
        <v>jul27-jun28</v>
      </c>
      <c r="H87" s="329" t="str">
        <f>H71</f>
        <v>jul28-jun29</v>
      </c>
      <c r="I87" s="286"/>
    </row>
    <row r="88" spans="2:11" ht="7.5" customHeight="1" x14ac:dyDescent="0.2">
      <c r="B88" s="367"/>
      <c r="C88" s="361"/>
      <c r="D88" s="368"/>
      <c r="E88" s="362"/>
      <c r="F88" s="362"/>
      <c r="G88" s="362"/>
      <c r="H88" s="362"/>
      <c r="I88" s="212"/>
    </row>
    <row r="89" spans="2:11" x14ac:dyDescent="0.2">
      <c r="B89" s="369" t="s">
        <v>1748</v>
      </c>
      <c r="C89" s="221" t="s">
        <v>14</v>
      </c>
      <c r="D89" s="301">
        <f>SUM(E89:H89)</f>
        <v>205324.03485526293</v>
      </c>
      <c r="E89" s="301">
        <f t="shared" ref="E89:H91" si="18">E78*E$85</f>
        <v>61117.990420707283</v>
      </c>
      <c r="F89" s="301">
        <f t="shared" si="18"/>
        <v>54411.58861066887</v>
      </c>
      <c r="G89" s="301">
        <f t="shared" si="18"/>
        <v>47824.287191881624</v>
      </c>
      <c r="H89" s="301">
        <f t="shared" si="18"/>
        <v>41970.16863200513</v>
      </c>
      <c r="I89" s="212"/>
    </row>
    <row r="90" spans="2:11" x14ac:dyDescent="0.2">
      <c r="B90" s="369" t="s">
        <v>38</v>
      </c>
      <c r="C90" s="221" t="s">
        <v>14</v>
      </c>
      <c r="D90" s="301">
        <f>SUM(E90:H90)</f>
        <v>230234.22650690115</v>
      </c>
      <c r="E90" s="301">
        <f t="shared" si="18"/>
        <v>68787.857578506853</v>
      </c>
      <c r="F90" s="301">
        <f t="shared" si="18"/>
        <v>61109.241957773753</v>
      </c>
      <c r="G90" s="301">
        <f t="shared" si="18"/>
        <v>53530.546359279295</v>
      </c>
      <c r="H90" s="301">
        <f t="shared" si="18"/>
        <v>46806.580611341211</v>
      </c>
    </row>
    <row r="91" spans="2:11" x14ac:dyDescent="0.2">
      <c r="B91" s="370" t="s">
        <v>31</v>
      </c>
      <c r="C91" s="227" t="s">
        <v>14</v>
      </c>
      <c r="D91" s="228">
        <f>SUM(E91:H91)</f>
        <v>41814.840382526047</v>
      </c>
      <c r="E91" s="228">
        <f t="shared" si="18"/>
        <v>11390.815130546503</v>
      </c>
      <c r="F91" s="228">
        <f t="shared" si="18"/>
        <v>10963.590334639717</v>
      </c>
      <c r="G91" s="228">
        <f t="shared" si="18"/>
        <v>10122.160927605881</v>
      </c>
      <c r="H91" s="228">
        <f t="shared" si="18"/>
        <v>9338.2739897339488</v>
      </c>
      <c r="I91" s="650"/>
    </row>
    <row r="92" spans="2:11" ht="4.5" customHeight="1" x14ac:dyDescent="0.2">
      <c r="B92" s="371"/>
      <c r="C92" s="221"/>
      <c r="D92" s="223"/>
      <c r="E92" s="223"/>
      <c r="F92" s="223"/>
      <c r="G92" s="223"/>
      <c r="H92" s="223"/>
      <c r="I92" s="212"/>
    </row>
    <row r="93" spans="2:11" ht="13.5" thickBot="1" x14ac:dyDescent="0.25">
      <c r="B93" s="369" t="s">
        <v>44</v>
      </c>
      <c r="C93" s="221" t="s">
        <v>14</v>
      </c>
      <c r="D93" s="301">
        <f>SUM(E93:H93)</f>
        <v>38426.918313353606</v>
      </c>
      <c r="E93" s="301">
        <f>E81*E$85</f>
        <v>9065.217961775701</v>
      </c>
      <c r="F93" s="301">
        <f>F81*F$85</f>
        <v>10496.888064000999</v>
      </c>
      <c r="G93" s="301">
        <f>G81*G$85</f>
        <v>10562.724847548745</v>
      </c>
      <c r="H93" s="301">
        <f>H81*H$85</f>
        <v>8302.0874400281627</v>
      </c>
      <c r="I93" s="212"/>
    </row>
    <row r="94" spans="2:11" ht="13.5" thickBot="1" x14ac:dyDescent="0.25">
      <c r="B94" s="372" t="s">
        <v>40</v>
      </c>
      <c r="C94" s="373" t="s">
        <v>14</v>
      </c>
      <c r="D94" s="374">
        <f>SUM(E94:H94)</f>
        <v>515800.02005804365</v>
      </c>
      <c r="E94" s="374">
        <f>E89+E90+E91+E93</f>
        <v>150361.88109153634</v>
      </c>
      <c r="F94" s="374">
        <f t="shared" ref="F94:H94" si="19">F89+F90+F91+F93</f>
        <v>136981.30896708331</v>
      </c>
      <c r="G94" s="374">
        <f t="shared" si="19"/>
        <v>122039.71932631555</v>
      </c>
      <c r="H94" s="374">
        <f t="shared" si="19"/>
        <v>106417.11067310844</v>
      </c>
    </row>
    <row r="95" spans="2:11" ht="10.5" customHeight="1" x14ac:dyDescent="0.2"/>
    <row r="103" spans="2:9" x14ac:dyDescent="0.2">
      <c r="B103" s="1567"/>
      <c r="C103" s="1567"/>
      <c r="D103" s="1567"/>
      <c r="E103" s="1567"/>
      <c r="F103" s="1567"/>
      <c r="G103" s="1567"/>
      <c r="H103" s="1567"/>
      <c r="I103" s="1567"/>
    </row>
    <row r="104" spans="2:9" x14ac:dyDescent="0.2">
      <c r="B104" s="1567"/>
      <c r="C104" s="1567"/>
      <c r="D104" s="1567"/>
      <c r="E104" s="1567"/>
      <c r="F104" s="1567"/>
      <c r="G104" s="1567"/>
      <c r="H104" s="1567"/>
      <c r="I104" s="1567"/>
    </row>
    <row r="105" spans="2:9" x14ac:dyDescent="0.2">
      <c r="B105" s="1567"/>
      <c r="C105" s="1567"/>
      <c r="D105" s="1567"/>
      <c r="E105" s="1567"/>
      <c r="F105" s="1567"/>
      <c r="G105" s="1567"/>
      <c r="H105" s="1567"/>
      <c r="I105" s="1567"/>
    </row>
    <row r="106" spans="2:9" ht="3" customHeight="1" x14ac:dyDescent="0.2">
      <c r="B106" s="194"/>
    </row>
    <row r="107" spans="2:9" ht="3" customHeight="1" x14ac:dyDescent="0.2">
      <c r="B107" s="194"/>
    </row>
    <row r="108" spans="2:9" x14ac:dyDescent="0.2">
      <c r="B108" s="241"/>
      <c r="C108" s="242"/>
      <c r="D108" s="242"/>
      <c r="E108" s="241"/>
      <c r="F108" s="241"/>
      <c r="G108" s="241"/>
      <c r="H108" s="241"/>
      <c r="I108" s="241"/>
    </row>
    <row r="109" spans="2:9" x14ac:dyDescent="0.2">
      <c r="B109" s="243"/>
      <c r="C109" s="242"/>
      <c r="D109" s="242"/>
      <c r="E109" s="242"/>
      <c r="F109" s="244"/>
      <c r="G109" s="244"/>
      <c r="H109" s="244"/>
      <c r="I109" s="244"/>
    </row>
    <row r="110" spans="2:9" x14ac:dyDescent="0.2">
      <c r="B110" s="242"/>
      <c r="C110" s="242"/>
      <c r="D110" s="242"/>
      <c r="E110" s="245"/>
      <c r="F110" s="245"/>
      <c r="G110" s="245"/>
      <c r="H110" s="245"/>
      <c r="I110" s="245"/>
    </row>
    <row r="111" spans="2:9" x14ac:dyDescent="0.2">
      <c r="B111" s="246"/>
      <c r="C111" s="242"/>
      <c r="D111" s="242"/>
      <c r="E111" s="245"/>
      <c r="F111" s="245"/>
      <c r="G111" s="245"/>
      <c r="H111" s="245"/>
      <c r="I111" s="245"/>
    </row>
    <row r="112" spans="2:9" x14ac:dyDescent="0.2">
      <c r="B112" s="242"/>
      <c r="C112" s="242"/>
      <c r="D112" s="242"/>
      <c r="E112" s="245"/>
      <c r="F112" s="245"/>
      <c r="G112" s="245"/>
      <c r="H112" s="245"/>
      <c r="I112" s="245"/>
    </row>
    <row r="113" spans="2:9" x14ac:dyDescent="0.2">
      <c r="B113" s="242"/>
      <c r="C113" s="242"/>
      <c r="D113" s="242"/>
      <c r="E113" s="245"/>
      <c r="F113" s="245"/>
      <c r="G113" s="245"/>
      <c r="H113" s="245"/>
      <c r="I113" s="245"/>
    </row>
    <row r="114" spans="2:9" x14ac:dyDescent="0.2">
      <c r="B114" s="242"/>
      <c r="C114" s="242"/>
      <c r="D114" s="242"/>
      <c r="E114" s="245"/>
      <c r="F114" s="245"/>
      <c r="G114" s="245"/>
      <c r="H114" s="245"/>
      <c r="I114" s="245"/>
    </row>
    <row r="115" spans="2:9" x14ac:dyDescent="0.2">
      <c r="B115" s="242"/>
      <c r="C115" s="242"/>
      <c r="D115" s="242"/>
      <c r="E115" s="245"/>
      <c r="F115" s="245"/>
      <c r="G115" s="245"/>
      <c r="H115" s="245"/>
      <c r="I115" s="245"/>
    </row>
    <row r="116" spans="2:9" x14ac:dyDescent="0.2">
      <c r="B116" s="242"/>
      <c r="C116" s="242"/>
      <c r="D116" s="242"/>
      <c r="E116" s="242"/>
      <c r="F116" s="242"/>
      <c r="G116" s="242"/>
      <c r="H116" s="242"/>
      <c r="I116" s="242"/>
    </row>
    <row r="117" spans="2:9" x14ac:dyDescent="0.2">
      <c r="B117" s="243"/>
      <c r="C117" s="242"/>
      <c r="D117" s="242"/>
      <c r="E117" s="241"/>
      <c r="F117" s="241"/>
      <c r="G117" s="241"/>
      <c r="H117" s="241"/>
      <c r="I117" s="241"/>
    </row>
    <row r="118" spans="2:9" x14ac:dyDescent="0.2">
      <c r="B118" s="243"/>
      <c r="C118" s="242"/>
      <c r="D118" s="242"/>
      <c r="E118" s="245"/>
      <c r="F118" s="245"/>
      <c r="G118" s="245"/>
      <c r="H118" s="245"/>
      <c r="I118" s="245"/>
    </row>
    <row r="119" spans="2:9" x14ac:dyDescent="0.2">
      <c r="B119" s="247"/>
      <c r="C119" s="242"/>
      <c r="D119" s="242"/>
      <c r="E119" s="245"/>
      <c r="F119" s="245"/>
      <c r="G119" s="245"/>
      <c r="H119" s="245"/>
      <c r="I119" s="245"/>
    </row>
    <row r="120" spans="2:9" x14ac:dyDescent="0.2">
      <c r="B120" s="243"/>
      <c r="C120" s="242"/>
      <c r="D120" s="242"/>
      <c r="E120" s="245"/>
      <c r="F120" s="245"/>
      <c r="G120" s="245"/>
      <c r="H120" s="245"/>
      <c r="I120" s="245"/>
    </row>
    <row r="121" spans="2:9" x14ac:dyDescent="0.2">
      <c r="B121" s="243"/>
      <c r="C121" s="242"/>
      <c r="D121" s="242"/>
      <c r="E121" s="245"/>
      <c r="F121" s="245"/>
      <c r="G121" s="245"/>
      <c r="H121" s="245"/>
      <c r="I121" s="245"/>
    </row>
    <row r="122" spans="2:9" x14ac:dyDescent="0.2">
      <c r="B122" s="242"/>
      <c r="C122" s="242"/>
      <c r="D122" s="242"/>
      <c r="E122" s="245"/>
      <c r="F122" s="245"/>
      <c r="G122" s="245"/>
      <c r="H122" s="245"/>
      <c r="I122" s="245"/>
    </row>
    <row r="123" spans="2:9" x14ac:dyDescent="0.2">
      <c r="B123" s="242"/>
      <c r="C123" s="242"/>
      <c r="D123" s="242"/>
      <c r="E123" s="245"/>
      <c r="F123" s="245"/>
      <c r="G123" s="245"/>
      <c r="H123" s="245"/>
      <c r="I123" s="245"/>
    </row>
    <row r="124" spans="2:9" x14ac:dyDescent="0.2">
      <c r="B124" s="242"/>
      <c r="C124" s="242"/>
      <c r="D124" s="242"/>
      <c r="E124" s="242"/>
      <c r="F124" s="242"/>
      <c r="G124" s="242"/>
      <c r="H124" s="242"/>
      <c r="I124" s="242"/>
    </row>
    <row r="125" spans="2:9" x14ac:dyDescent="0.2">
      <c r="B125" s="243"/>
      <c r="C125" s="242"/>
      <c r="D125" s="242"/>
      <c r="E125" s="248"/>
      <c r="F125" s="248"/>
      <c r="G125" s="248"/>
      <c r="H125" s="248"/>
      <c r="I125" s="248"/>
    </row>
    <row r="126" spans="2:9" x14ac:dyDescent="0.2">
      <c r="B126" s="242"/>
      <c r="C126" s="242"/>
      <c r="D126" s="242"/>
      <c r="E126" s="242"/>
      <c r="F126" s="242"/>
      <c r="G126" s="242"/>
      <c r="H126" s="242"/>
      <c r="I126" s="242"/>
    </row>
    <row r="127" spans="2:9" x14ac:dyDescent="0.2">
      <c r="B127" s="243"/>
      <c r="C127" s="242"/>
      <c r="D127" s="241"/>
      <c r="E127" s="242"/>
      <c r="F127" s="242"/>
      <c r="G127" s="242"/>
      <c r="H127" s="249"/>
      <c r="I127" s="249"/>
    </row>
    <row r="128" spans="2:9" x14ac:dyDescent="0.2">
      <c r="B128" s="243"/>
      <c r="C128" s="242"/>
      <c r="D128" s="251"/>
      <c r="E128" s="252"/>
      <c r="F128" s="252"/>
      <c r="G128" s="252"/>
      <c r="H128" s="252"/>
      <c r="I128" s="253"/>
    </row>
    <row r="129" spans="2:9" x14ac:dyDescent="0.2">
      <c r="B129" s="255"/>
      <c r="C129" s="242"/>
      <c r="D129" s="256"/>
      <c r="E129" s="257"/>
      <c r="F129" s="257"/>
      <c r="G129" s="257"/>
      <c r="H129" s="257"/>
      <c r="I129" s="253"/>
    </row>
    <row r="130" spans="2:9" x14ac:dyDescent="0.2">
      <c r="B130" s="255"/>
      <c r="C130" s="242"/>
      <c r="D130" s="256"/>
      <c r="E130" s="257"/>
      <c r="F130" s="257"/>
      <c r="G130" s="257"/>
      <c r="H130" s="257"/>
      <c r="I130" s="253"/>
    </row>
    <row r="131" spans="2:9" ht="13.5" customHeight="1" x14ac:dyDescent="0.2">
      <c r="B131" s="247"/>
      <c r="C131" s="242"/>
      <c r="D131" s="259"/>
      <c r="E131" s="252"/>
      <c r="F131" s="252"/>
      <c r="G131" s="252"/>
      <c r="H131" s="252"/>
      <c r="I131" s="253"/>
    </row>
    <row r="132" spans="2:9" x14ac:dyDescent="0.2">
      <c r="B132" s="255"/>
      <c r="C132" s="242"/>
      <c r="D132" s="259"/>
      <c r="E132" s="252"/>
      <c r="F132" s="252"/>
      <c r="G132" s="252"/>
      <c r="H132" s="252"/>
      <c r="I132" s="253"/>
    </row>
    <row r="133" spans="2:9" x14ac:dyDescent="0.2">
      <c r="B133" s="243"/>
      <c r="C133" s="242"/>
      <c r="D133" s="259"/>
      <c r="E133" s="253"/>
      <c r="F133" s="253"/>
      <c r="G133" s="253"/>
      <c r="H133" s="253"/>
      <c r="I133" s="253"/>
    </row>
    <row r="134" spans="2:9" x14ac:dyDescent="0.2">
      <c r="B134" s="243"/>
      <c r="C134" s="242"/>
      <c r="D134" s="259"/>
      <c r="E134" s="253"/>
      <c r="F134" s="253"/>
      <c r="G134" s="253"/>
      <c r="H134" s="253"/>
      <c r="I134" s="253"/>
    </row>
    <row r="135" spans="2:9" x14ac:dyDescent="0.2">
      <c r="B135" s="255"/>
      <c r="C135" s="242"/>
      <c r="D135" s="245"/>
      <c r="E135" s="253"/>
      <c r="F135" s="253"/>
      <c r="G135" s="253"/>
      <c r="H135" s="253"/>
      <c r="I135" s="253"/>
    </row>
    <row r="136" spans="2:9" x14ac:dyDescent="0.2">
      <c r="B136" s="255"/>
      <c r="C136" s="242"/>
      <c r="D136" s="245"/>
      <c r="E136" s="253"/>
      <c r="F136" s="253"/>
      <c r="G136" s="253"/>
      <c r="H136" s="253"/>
      <c r="I136" s="253"/>
    </row>
    <row r="137" spans="2:9" x14ac:dyDescent="0.2">
      <c r="B137" s="243"/>
      <c r="C137" s="242"/>
      <c r="D137" s="259"/>
      <c r="E137" s="262"/>
      <c r="F137" s="262"/>
      <c r="G137" s="262"/>
      <c r="H137" s="262"/>
      <c r="I137" s="262"/>
    </row>
    <row r="138" spans="2:9" x14ac:dyDescent="0.2">
      <c r="B138" s="194"/>
      <c r="D138" s="212"/>
      <c r="E138" s="264"/>
      <c r="G138" s="264"/>
      <c r="H138" s="264"/>
      <c r="I138" s="264"/>
    </row>
    <row r="139" spans="2:9" x14ac:dyDescent="0.2">
      <c r="I139" s="212"/>
    </row>
    <row r="140" spans="2:9" x14ac:dyDescent="0.2">
      <c r="E140" s="212"/>
      <c r="F140" s="212"/>
      <c r="G140" s="212"/>
      <c r="H140" s="212"/>
      <c r="I140" s="212"/>
    </row>
    <row r="141" spans="2:9" x14ac:dyDescent="0.2">
      <c r="D141" s="237"/>
      <c r="E141" s="194"/>
    </row>
    <row r="142" spans="2:9" x14ac:dyDescent="0.2">
      <c r="F142" s="265"/>
      <c r="G142" s="265"/>
      <c r="H142" s="265"/>
      <c r="I142" s="265"/>
    </row>
    <row r="143" spans="2:9" ht="21" customHeight="1" x14ac:dyDescent="0.2">
      <c r="B143" s="1568"/>
      <c r="C143" s="1569"/>
      <c r="F143" s="266"/>
      <c r="G143" s="266"/>
      <c r="H143" s="266"/>
      <c r="I143" s="266"/>
    </row>
    <row r="144" spans="2:9" ht="18.75" customHeight="1" x14ac:dyDescent="0.2">
      <c r="B144" s="267"/>
      <c r="C144" s="268"/>
      <c r="D144" s="266"/>
      <c r="E144" s="266"/>
      <c r="F144" s="266"/>
      <c r="G144" s="266"/>
    </row>
    <row r="145" spans="1:9" ht="18.75" customHeight="1" x14ac:dyDescent="0.2">
      <c r="B145" s="267"/>
      <c r="C145" s="268"/>
      <c r="D145" s="266"/>
      <c r="E145" s="266"/>
      <c r="F145" s="266"/>
      <c r="G145" s="269"/>
      <c r="H145" s="194"/>
      <c r="I145" s="269"/>
    </row>
    <row r="146" spans="1:9" ht="21" customHeight="1" x14ac:dyDescent="0.2">
      <c r="B146" s="241"/>
      <c r="C146" s="270"/>
      <c r="D146" s="266"/>
      <c r="E146" s="266"/>
      <c r="F146" s="194"/>
      <c r="G146" s="212"/>
      <c r="H146" s="212"/>
      <c r="I146" s="212"/>
    </row>
    <row r="147" spans="1:9" x14ac:dyDescent="0.2">
      <c r="D147" s="266"/>
      <c r="E147" s="266"/>
    </row>
    <row r="148" spans="1:9" x14ac:dyDescent="0.2">
      <c r="G148" s="266"/>
      <c r="H148" s="194"/>
      <c r="I148" s="194"/>
    </row>
    <row r="149" spans="1:9" x14ac:dyDescent="0.2">
      <c r="F149" s="194"/>
      <c r="G149" s="212"/>
      <c r="H149" s="212"/>
      <c r="I149" s="212"/>
    </row>
    <row r="150" spans="1:9" x14ac:dyDescent="0.2">
      <c r="A150" s="302"/>
      <c r="B150" s="209"/>
      <c r="C150" s="209"/>
      <c r="D150" s="209"/>
      <c r="E150" s="209"/>
      <c r="F150" s="209"/>
      <c r="G150" s="209"/>
      <c r="H150" s="209"/>
      <c r="I150" s="209"/>
    </row>
    <row r="151" spans="1:9" x14ac:dyDescent="0.2">
      <c r="E151" s="212"/>
    </row>
    <row r="153" spans="1:9" x14ac:dyDescent="0.2">
      <c r="D153" s="212"/>
      <c r="I153" s="263"/>
    </row>
    <row r="155" spans="1:9" x14ac:dyDescent="0.2">
      <c r="B155" s="194"/>
      <c r="C155" s="210"/>
      <c r="D155" s="210"/>
      <c r="E155" s="210"/>
      <c r="F155" s="210"/>
      <c r="G155" s="210"/>
      <c r="H155" s="210"/>
      <c r="I155" s="210"/>
    </row>
    <row r="156" spans="1:9" x14ac:dyDescent="0.2">
      <c r="C156" s="206"/>
      <c r="D156" s="272"/>
      <c r="E156" s="272"/>
      <c r="F156" s="272"/>
      <c r="G156" s="272"/>
      <c r="H156" s="272"/>
      <c r="I156" s="272"/>
    </row>
    <row r="157" spans="1:9" x14ac:dyDescent="0.2">
      <c r="C157" s="206"/>
      <c r="D157" s="272"/>
      <c r="E157" s="272"/>
      <c r="F157" s="272"/>
      <c r="G157" s="272"/>
      <c r="H157" s="272"/>
      <c r="I157" s="272"/>
    </row>
    <row r="158" spans="1:9" x14ac:dyDescent="0.2">
      <c r="C158" s="206"/>
      <c r="D158" s="273"/>
      <c r="E158" s="272"/>
      <c r="F158" s="272"/>
      <c r="G158" s="272"/>
      <c r="H158" s="272"/>
      <c r="I158" s="272"/>
    </row>
    <row r="159" spans="1:9" x14ac:dyDescent="0.2">
      <c r="B159" s="194"/>
      <c r="C159" s="206"/>
      <c r="D159" s="206"/>
      <c r="H159" s="274"/>
    </row>
    <row r="160" spans="1:9" x14ac:dyDescent="0.2">
      <c r="C160" s="206"/>
      <c r="D160" s="207"/>
      <c r="E160" s="207"/>
      <c r="F160" s="207"/>
      <c r="G160" s="207"/>
      <c r="H160" s="207"/>
      <c r="I160" s="207"/>
    </row>
    <row r="161" spans="2:9" x14ac:dyDescent="0.2">
      <c r="C161" s="206"/>
      <c r="D161" s="207"/>
      <c r="E161" s="207"/>
      <c r="F161" s="207"/>
      <c r="G161" s="207"/>
      <c r="H161" s="207"/>
      <c r="I161" s="207"/>
    </row>
    <row r="162" spans="2:9" x14ac:dyDescent="0.2">
      <c r="C162" s="206"/>
      <c r="D162" s="207"/>
      <c r="E162" s="207"/>
      <c r="F162" s="207"/>
      <c r="G162" s="207"/>
      <c r="H162" s="207"/>
      <c r="I162" s="207"/>
    </row>
    <row r="163" spans="2:9" x14ac:dyDescent="0.2">
      <c r="C163" s="206"/>
      <c r="D163" s="207"/>
      <c r="E163" s="207"/>
      <c r="F163" s="207"/>
      <c r="G163" s="207"/>
      <c r="H163" s="207"/>
      <c r="I163" s="207"/>
    </row>
    <row r="164" spans="2:9" x14ac:dyDescent="0.2">
      <c r="C164" s="206"/>
      <c r="D164" s="207"/>
      <c r="E164" s="207"/>
      <c r="F164" s="207"/>
      <c r="G164" s="207"/>
      <c r="H164" s="207"/>
      <c r="I164" s="207"/>
    </row>
    <row r="165" spans="2:9" x14ac:dyDescent="0.2">
      <c r="C165" s="206"/>
      <c r="D165" s="207"/>
      <c r="E165" s="207"/>
      <c r="F165" s="207"/>
      <c r="G165" s="207"/>
      <c r="H165" s="207"/>
      <c r="I165" s="207"/>
    </row>
    <row r="166" spans="2:9" x14ac:dyDescent="0.2">
      <c r="B166" s="194"/>
      <c r="C166" s="206"/>
      <c r="D166" s="206"/>
    </row>
    <row r="167" spans="2:9" x14ac:dyDescent="0.2">
      <c r="C167" s="206"/>
      <c r="D167" s="207"/>
      <c r="E167" s="207"/>
      <c r="F167" s="207"/>
      <c r="G167" s="207"/>
      <c r="H167" s="207"/>
      <c r="I167" s="207"/>
    </row>
    <row r="168" spans="2:9" x14ac:dyDescent="0.2">
      <c r="C168" s="206"/>
      <c r="D168" s="207"/>
      <c r="E168" s="207"/>
      <c r="F168" s="207"/>
      <c r="G168" s="207"/>
      <c r="H168" s="207"/>
      <c r="I168" s="207"/>
    </row>
    <row r="169" spans="2:9" x14ac:dyDescent="0.2">
      <c r="B169" s="194"/>
      <c r="C169" s="206"/>
      <c r="D169" s="206"/>
    </row>
    <row r="170" spans="2:9" x14ac:dyDescent="0.2">
      <c r="C170" s="206"/>
      <c r="D170" s="239"/>
      <c r="E170" s="207"/>
      <c r="F170" s="207"/>
      <c r="G170" s="207"/>
      <c r="H170" s="207"/>
      <c r="I170" s="207"/>
    </row>
    <row r="171" spans="2:9" x14ac:dyDescent="0.2">
      <c r="C171" s="206"/>
      <c r="D171" s="239"/>
      <c r="E171" s="275"/>
      <c r="F171" s="275"/>
      <c r="G171" s="275"/>
      <c r="H171" s="275"/>
      <c r="I171" s="275"/>
    </row>
    <row r="173" spans="2:9" x14ac:dyDescent="0.2">
      <c r="B173" s="194"/>
      <c r="C173" s="206"/>
      <c r="D173" s="210"/>
      <c r="E173" s="210"/>
      <c r="F173" s="210"/>
      <c r="G173" s="210"/>
      <c r="H173" s="210"/>
      <c r="I173" s="210"/>
    </row>
    <row r="174" spans="2:9" x14ac:dyDescent="0.2">
      <c r="B174" s="194"/>
      <c r="C174" s="206"/>
      <c r="D174" s="206"/>
      <c r="E174" s="276"/>
      <c r="F174" s="194"/>
      <c r="G174" s="194"/>
      <c r="H174" s="194"/>
      <c r="I174" s="194"/>
    </row>
    <row r="175" spans="2:9" x14ac:dyDescent="0.2">
      <c r="B175" s="194"/>
      <c r="C175" s="206"/>
      <c r="D175" s="206"/>
      <c r="E175" s="237"/>
      <c r="F175" s="237"/>
      <c r="G175" s="237"/>
      <c r="H175" s="237"/>
      <c r="I175" s="237"/>
    </row>
    <row r="176" spans="2:9" x14ac:dyDescent="0.2">
      <c r="C176" s="206"/>
      <c r="D176" s="206"/>
      <c r="E176" s="207"/>
      <c r="F176" s="207"/>
      <c r="G176" s="207"/>
      <c r="H176" s="207"/>
      <c r="I176" s="207"/>
    </row>
    <row r="177" spans="2:9" x14ac:dyDescent="0.2">
      <c r="C177" s="206"/>
      <c r="D177" s="206"/>
      <c r="E177" s="207"/>
      <c r="F177" s="207"/>
      <c r="G177" s="207"/>
      <c r="H177" s="207"/>
      <c r="I177" s="207"/>
    </row>
    <row r="178" spans="2:9" x14ac:dyDescent="0.2">
      <c r="C178" s="206"/>
      <c r="D178" s="206"/>
      <c r="E178" s="207"/>
      <c r="F178" s="207"/>
      <c r="G178" s="207"/>
      <c r="H178" s="207"/>
      <c r="I178" s="207"/>
    </row>
    <row r="179" spans="2:9" x14ac:dyDescent="0.2">
      <c r="C179" s="206"/>
      <c r="D179" s="206"/>
      <c r="E179" s="207"/>
      <c r="F179" s="207"/>
      <c r="G179" s="207"/>
      <c r="H179" s="207"/>
      <c r="I179" s="207"/>
    </row>
    <row r="180" spans="2:9" x14ac:dyDescent="0.2">
      <c r="C180" s="206"/>
      <c r="D180" s="206"/>
      <c r="E180" s="277"/>
      <c r="F180" s="277"/>
      <c r="G180" s="277"/>
      <c r="H180" s="277"/>
      <c r="I180" s="277"/>
    </row>
    <row r="181" spans="2:9" x14ac:dyDescent="0.2">
      <c r="B181" s="194"/>
      <c r="C181" s="206"/>
      <c r="D181" s="206"/>
      <c r="E181" s="237"/>
      <c r="F181" s="237"/>
      <c r="G181" s="237"/>
      <c r="H181" s="237"/>
      <c r="I181" s="237"/>
    </row>
    <row r="182" spans="2:9" x14ac:dyDescent="0.2">
      <c r="C182" s="206"/>
      <c r="D182" s="206"/>
      <c r="E182" s="207"/>
      <c r="F182" s="207"/>
      <c r="G182" s="207"/>
      <c r="H182" s="207"/>
      <c r="I182" s="207"/>
    </row>
    <row r="183" spans="2:9" x14ac:dyDescent="0.2">
      <c r="C183" s="206"/>
      <c r="D183" s="206"/>
      <c r="E183" s="207"/>
      <c r="F183" s="207"/>
      <c r="G183" s="207"/>
      <c r="H183" s="207"/>
      <c r="I183" s="207"/>
    </row>
    <row r="184" spans="2:9" x14ac:dyDescent="0.2">
      <c r="C184" s="206"/>
      <c r="D184" s="206"/>
      <c r="E184" s="207"/>
      <c r="F184" s="207"/>
      <c r="G184" s="207"/>
      <c r="H184" s="207"/>
      <c r="I184" s="207"/>
    </row>
    <row r="185" spans="2:9" x14ac:dyDescent="0.2">
      <c r="C185" s="206"/>
      <c r="D185" s="206"/>
      <c r="E185" s="207"/>
      <c r="F185" s="207"/>
      <c r="G185" s="207"/>
      <c r="H185" s="207"/>
      <c r="I185" s="207"/>
    </row>
    <row r="186" spans="2:9" x14ac:dyDescent="0.2">
      <c r="C186" s="206"/>
      <c r="D186" s="206"/>
      <c r="E186" s="207"/>
      <c r="F186" s="207"/>
      <c r="G186" s="207"/>
      <c r="H186" s="207"/>
      <c r="I186" s="207"/>
    </row>
    <row r="187" spans="2:9" x14ac:dyDescent="0.2">
      <c r="B187" s="194"/>
      <c r="C187" s="206"/>
      <c r="D187" s="206"/>
      <c r="E187" s="237"/>
      <c r="F187" s="237"/>
      <c r="G187" s="237"/>
      <c r="H187" s="237"/>
      <c r="I187" s="237"/>
    </row>
    <row r="188" spans="2:9" x14ac:dyDescent="0.2">
      <c r="C188" s="206"/>
      <c r="D188" s="239"/>
      <c r="E188" s="239"/>
      <c r="F188" s="239"/>
      <c r="G188" s="239"/>
      <c r="H188" s="239"/>
      <c r="I188" s="239"/>
    </row>
    <row r="189" spans="2:9" x14ac:dyDescent="0.2">
      <c r="C189" s="206"/>
      <c r="D189" s="239"/>
      <c r="E189" s="239"/>
      <c r="F189" s="239"/>
      <c r="G189" s="239"/>
      <c r="H189" s="239"/>
      <c r="I189" s="239"/>
    </row>
    <row r="190" spans="2:9" x14ac:dyDescent="0.2">
      <c r="B190" s="200"/>
      <c r="C190" s="208"/>
      <c r="D190" s="208"/>
      <c r="E190" s="278"/>
      <c r="F190" s="278"/>
      <c r="G190" s="278"/>
      <c r="H190" s="278"/>
      <c r="I190" s="278"/>
    </row>
    <row r="191" spans="2:9" x14ac:dyDescent="0.2">
      <c r="B191" s="279"/>
      <c r="C191" s="200"/>
      <c r="D191" s="200"/>
      <c r="E191" s="280"/>
      <c r="F191" s="280"/>
      <c r="G191" s="280"/>
      <c r="H191" s="280"/>
      <c r="I191" s="280"/>
    </row>
  </sheetData>
  <mergeCells count="8">
    <mergeCell ref="B105:I105"/>
    <mergeCell ref="B143:C143"/>
    <mergeCell ref="B2:I2"/>
    <mergeCell ref="B3:I3"/>
    <mergeCell ref="B4:I4"/>
    <mergeCell ref="B103:I103"/>
    <mergeCell ref="B104:I104"/>
    <mergeCell ref="B84:D85"/>
  </mergeCells>
  <pageMargins left="0.70866141732283472" right="0.70866141732283472" top="0.74803149606299213" bottom="0.74803149606299213" header="0.31496062992125984" footer="0.31496062992125984"/>
  <pageSetup scale="48" fitToHeight="0" orientation="landscape" verticalDpi="597" r:id="rId1"/>
  <rowBreaks count="2" manualBreakCount="2">
    <brk id="101" max="16383" man="1"/>
    <brk id="14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-0.249977111117893"/>
  </sheetPr>
  <dimension ref="B2:L23"/>
  <sheetViews>
    <sheetView showGridLines="0" zoomScaleNormal="100" workbookViewId="0">
      <selection activeCell="G22" sqref="G22"/>
    </sheetView>
  </sheetViews>
  <sheetFormatPr baseColWidth="10" defaultColWidth="11.42578125" defaultRowHeight="15" x14ac:dyDescent="0.25"/>
  <cols>
    <col min="1" max="1" width="3.85546875" customWidth="1"/>
    <col min="2" max="2" width="25.85546875" customWidth="1"/>
    <col min="3" max="5" width="14.28515625" customWidth="1"/>
    <col min="6" max="6" width="13.42578125" customWidth="1"/>
    <col min="8" max="9" width="11.85546875" bestFit="1" customWidth="1"/>
  </cols>
  <sheetData>
    <row r="2" spans="2:9" s="32" customFormat="1" ht="12.75" x14ac:dyDescent="0.2">
      <c r="B2" s="36" t="s">
        <v>346</v>
      </c>
    </row>
    <row r="4" spans="2:9" x14ac:dyDescent="0.25">
      <c r="B4" s="192" t="s">
        <v>347</v>
      </c>
    </row>
    <row r="5" spans="2:9" x14ac:dyDescent="0.25">
      <c r="B5" s="952" t="s">
        <v>1473</v>
      </c>
    </row>
    <row r="6" spans="2:9" ht="15.75" thickBot="1" x14ac:dyDescent="0.3"/>
    <row r="7" spans="2:9" ht="15.75" thickBot="1" x14ac:dyDescent="0.3">
      <c r="B7" s="1581" t="s">
        <v>348</v>
      </c>
      <c r="C7" s="469" t="s">
        <v>349</v>
      </c>
      <c r="D7" s="470" t="s">
        <v>351</v>
      </c>
      <c r="E7" s="470" t="s">
        <v>1472</v>
      </c>
      <c r="F7" s="1583" t="s">
        <v>352</v>
      </c>
    </row>
    <row r="8" spans="2:9" ht="15.75" thickBot="1" x14ac:dyDescent="0.3">
      <c r="B8" s="1582"/>
      <c r="C8" s="469"/>
      <c r="D8" s="470"/>
      <c r="E8" s="470"/>
      <c r="F8" s="1583"/>
    </row>
    <row r="9" spans="2:9" x14ac:dyDescent="0.25">
      <c r="B9" s="471" t="s">
        <v>98</v>
      </c>
      <c r="C9" s="472">
        <f>Transelec!I7/100</f>
        <v>8.6132315540313892E-3</v>
      </c>
      <c r="D9" s="473">
        <f>'ISA REP'!J8/100</f>
        <v>5.670165868751114E-3</v>
      </c>
      <c r="E9" s="473">
        <f>'CEMIG-GT'!C8/100</f>
        <v>1.0412593534972613E-2</v>
      </c>
      <c r="F9" s="465"/>
    </row>
    <row r="10" spans="2:9" x14ac:dyDescent="0.25">
      <c r="B10" s="474" t="s">
        <v>100</v>
      </c>
      <c r="C10" s="475">
        <f>Transelec!I8/100</f>
        <v>1.1727982077443324E-2</v>
      </c>
      <c r="D10" s="476">
        <f>'ISA REP'!J9/100</f>
        <v>2.1473570818063861E-2</v>
      </c>
      <c r="E10" s="476">
        <f>'CEMIG-GT'!C9/100</f>
        <v>1.5308118836393703E-2</v>
      </c>
      <c r="F10" s="477"/>
    </row>
    <row r="11" spans="2:9" x14ac:dyDescent="0.25">
      <c r="B11" s="478" t="s">
        <v>353</v>
      </c>
      <c r="C11" s="479">
        <f>Transelec!I9/100</f>
        <v>2.0341213631474717E-2</v>
      </c>
      <c r="D11" s="480">
        <f>'ISA REP'!J10/100</f>
        <v>2.7143736686814975E-2</v>
      </c>
      <c r="E11" s="480">
        <f>'CEMIG-GT'!C10/100</f>
        <v>2.5720712371366316E-2</v>
      </c>
      <c r="F11" s="477"/>
    </row>
    <row r="12" spans="2:9" x14ac:dyDescent="0.25">
      <c r="B12" s="481" t="s">
        <v>354</v>
      </c>
      <c r="C12" s="482">
        <v>0.08</v>
      </c>
      <c r="D12" s="482">
        <v>0.08</v>
      </c>
      <c r="E12" s="482">
        <v>0.08</v>
      </c>
      <c r="F12" s="477"/>
    </row>
    <row r="13" spans="2:9" x14ac:dyDescent="0.25">
      <c r="B13" s="474" t="s">
        <v>98</v>
      </c>
      <c r="C13" s="475">
        <f>+C9</f>
        <v>8.6132315540313892E-3</v>
      </c>
      <c r="D13" s="475">
        <f>+D9</f>
        <v>5.670165868751114E-3</v>
      </c>
      <c r="E13" s="475">
        <f>+E9</f>
        <v>1.0412593534972613E-2</v>
      </c>
      <c r="F13" s="483">
        <f>AVERAGE(C13,D13,E13)</f>
        <v>8.2319969859183714E-3</v>
      </c>
      <c r="G13" s="679"/>
      <c r="I13" s="592"/>
    </row>
    <row r="14" spans="2:9" x14ac:dyDescent="0.25">
      <c r="B14" s="474" t="s">
        <v>100</v>
      </c>
      <c r="C14" s="475">
        <f>(1+C12)*C10</f>
        <v>1.266622064363879E-2</v>
      </c>
      <c r="D14" s="475">
        <f>(1+D12)*D10</f>
        <v>2.3191456483508972E-2</v>
      </c>
      <c r="E14" s="475">
        <f>(1+E12)*E10</f>
        <v>1.65327683433052E-2</v>
      </c>
      <c r="F14" s="483">
        <f>AVERAGE(C14,D14,E14)</f>
        <v>1.7463481823484322E-2</v>
      </c>
      <c r="G14" s="679"/>
      <c r="I14" s="592"/>
    </row>
    <row r="15" spans="2:9" x14ac:dyDescent="0.25">
      <c r="B15" s="484" t="s">
        <v>353</v>
      </c>
      <c r="C15" s="485">
        <f>+C14+C13</f>
        <v>2.127945219767018E-2</v>
      </c>
      <c r="D15" s="485">
        <f>+D14+D13</f>
        <v>2.8861622352260086E-2</v>
      </c>
      <c r="E15" s="485">
        <f>+E14+E13</f>
        <v>2.6945361878277813E-2</v>
      </c>
      <c r="F15" s="486">
        <f>AVERAGE(C15,D15,E15)</f>
        <v>2.5695478809402691E-2</v>
      </c>
      <c r="I15" s="592"/>
    </row>
    <row r="17" spans="3:12" x14ac:dyDescent="0.25">
      <c r="C17" s="645"/>
      <c r="D17" s="645"/>
      <c r="E17" s="645"/>
    </row>
    <row r="18" spans="3:12" x14ac:dyDescent="0.25">
      <c r="C18" s="645"/>
      <c r="D18" s="645"/>
      <c r="E18" s="645"/>
    </row>
    <row r="19" spans="3:12" x14ac:dyDescent="0.25">
      <c r="C19" s="645"/>
      <c r="D19" s="645"/>
      <c r="E19" s="645"/>
    </row>
    <row r="23" spans="3:12" x14ac:dyDescent="0.25">
      <c r="L23" s="1011"/>
    </row>
  </sheetData>
  <mergeCells count="2">
    <mergeCell ref="F7:F8"/>
    <mergeCell ref="B7:B8"/>
  </mergeCells>
  <pageMargins left="0.7" right="0.7" top="0.75" bottom="0.75" header="0.3" footer="0.3"/>
  <pageSetup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94"/>
  <sheetViews>
    <sheetView showGridLines="0" zoomScale="120" zoomScaleNormal="120" workbookViewId="0">
      <pane xSplit="1" ySplit="13" topLeftCell="B85" activePane="bottomRight" state="frozen"/>
      <selection pane="topRight" activeCell="B1" sqref="B1"/>
      <selection pane="bottomLeft" activeCell="A5" sqref="A5"/>
      <selection pane="bottomRight" activeCell="I89" sqref="I89"/>
    </sheetView>
  </sheetViews>
  <sheetFormatPr baseColWidth="10" defaultRowHeight="12.75" outlineLevelCol="1" x14ac:dyDescent="0.2"/>
  <cols>
    <col min="1" max="1" width="1.7109375" style="11" customWidth="1"/>
    <col min="2" max="2" width="13.28515625" style="11" customWidth="1"/>
    <col min="3" max="3" width="22.42578125" style="11" customWidth="1"/>
    <col min="4" max="4" width="15.85546875" style="1238" bestFit="1" customWidth="1"/>
    <col min="5" max="5" width="37.7109375" style="11" customWidth="1"/>
    <col min="6" max="6" width="8.85546875" style="1238" customWidth="1" outlineLevel="1"/>
    <col min="7" max="7" width="12.140625" style="1239" customWidth="1" outlineLevel="1"/>
    <col min="8" max="8" width="13.140625" style="1240" customWidth="1" outlineLevel="1"/>
    <col min="9" max="9" width="18.7109375" style="11" customWidth="1" outlineLevel="1"/>
    <col min="10" max="11" width="14.7109375" style="11" customWidth="1"/>
    <col min="12" max="12" width="14.85546875" style="11" hidden="1" customWidth="1" outlineLevel="1"/>
    <col min="13" max="14" width="11.42578125" style="11" hidden="1" customWidth="1" outlineLevel="1"/>
    <col min="15" max="15" width="14.85546875" style="11" hidden="1" customWidth="1" outlineLevel="1"/>
    <col min="16" max="16" width="17.7109375" style="11" hidden="1" customWidth="1" outlineLevel="1"/>
    <col min="17" max="17" width="13.7109375" style="11" hidden="1" customWidth="1" outlineLevel="1"/>
    <col min="18" max="18" width="13.85546875" style="11" hidden="1" customWidth="1" collapsed="1"/>
    <col min="19" max="19" width="11.7109375" style="11" hidden="1" customWidth="1" outlineLevel="1"/>
    <col min="20" max="20" width="0" style="11" hidden="1" customWidth="1" collapsed="1"/>
    <col min="21" max="23" width="11.42578125" style="11"/>
    <col min="24" max="24" width="11.85546875" style="11" bestFit="1" customWidth="1"/>
    <col min="25" max="25" width="12.28515625" style="11" customWidth="1"/>
    <col min="26" max="218" width="11.42578125" style="11"/>
    <col min="219" max="219" width="2.7109375" style="11" customWidth="1"/>
    <col min="220" max="220" width="19.42578125" style="11" customWidth="1"/>
    <col min="221" max="221" width="13.5703125" style="11" customWidth="1"/>
    <col min="222" max="222" width="35.5703125" style="11" customWidth="1"/>
    <col min="223" max="223" width="11.42578125" style="11"/>
    <col min="224" max="225" width="19" style="11" customWidth="1"/>
    <col min="226" max="226" width="21.140625" style="11" customWidth="1"/>
    <col min="227" max="474" width="11.42578125" style="11"/>
    <col min="475" max="475" width="2.7109375" style="11" customWidth="1"/>
    <col min="476" max="476" width="19.42578125" style="11" customWidth="1"/>
    <col min="477" max="477" width="13.5703125" style="11" customWidth="1"/>
    <col min="478" max="478" width="35.5703125" style="11" customWidth="1"/>
    <col min="479" max="479" width="11.42578125" style="11"/>
    <col min="480" max="481" width="19" style="11" customWidth="1"/>
    <col min="482" max="482" width="21.140625" style="11" customWidth="1"/>
    <col min="483" max="730" width="11.42578125" style="11"/>
    <col min="731" max="731" width="2.7109375" style="11" customWidth="1"/>
    <col min="732" max="732" width="19.42578125" style="11" customWidth="1"/>
    <col min="733" max="733" width="13.5703125" style="11" customWidth="1"/>
    <col min="734" max="734" width="35.5703125" style="11" customWidth="1"/>
    <col min="735" max="735" width="11.42578125" style="11"/>
    <col min="736" max="737" width="19" style="11" customWidth="1"/>
    <col min="738" max="738" width="21.140625" style="11" customWidth="1"/>
    <col min="739" max="986" width="11.42578125" style="11"/>
    <col min="987" max="987" width="2.7109375" style="11" customWidth="1"/>
    <col min="988" max="988" width="19.42578125" style="11" customWidth="1"/>
    <col min="989" max="989" width="13.5703125" style="11" customWidth="1"/>
    <col min="990" max="990" width="35.5703125" style="11" customWidth="1"/>
    <col min="991" max="991" width="11.42578125" style="11"/>
    <col min="992" max="993" width="19" style="11" customWidth="1"/>
    <col min="994" max="994" width="21.140625" style="11" customWidth="1"/>
    <col min="995" max="1242" width="11.42578125" style="11"/>
    <col min="1243" max="1243" width="2.7109375" style="11" customWidth="1"/>
    <col min="1244" max="1244" width="19.42578125" style="11" customWidth="1"/>
    <col min="1245" max="1245" width="13.5703125" style="11" customWidth="1"/>
    <col min="1246" max="1246" width="35.5703125" style="11" customWidth="1"/>
    <col min="1247" max="1247" width="11.42578125" style="11"/>
    <col min="1248" max="1249" width="19" style="11" customWidth="1"/>
    <col min="1250" max="1250" width="21.140625" style="11" customWidth="1"/>
    <col min="1251" max="1498" width="11.42578125" style="11"/>
    <col min="1499" max="1499" width="2.7109375" style="11" customWidth="1"/>
    <col min="1500" max="1500" width="19.42578125" style="11" customWidth="1"/>
    <col min="1501" max="1501" width="13.5703125" style="11" customWidth="1"/>
    <col min="1502" max="1502" width="35.5703125" style="11" customWidth="1"/>
    <col min="1503" max="1503" width="11.42578125" style="11"/>
    <col min="1504" max="1505" width="19" style="11" customWidth="1"/>
    <col min="1506" max="1506" width="21.140625" style="11" customWidth="1"/>
    <col min="1507" max="1754" width="11.42578125" style="11"/>
    <col min="1755" max="1755" width="2.7109375" style="11" customWidth="1"/>
    <col min="1756" max="1756" width="19.42578125" style="11" customWidth="1"/>
    <col min="1757" max="1757" width="13.5703125" style="11" customWidth="1"/>
    <col min="1758" max="1758" width="35.5703125" style="11" customWidth="1"/>
    <col min="1759" max="1759" width="11.42578125" style="11"/>
    <col min="1760" max="1761" width="19" style="11" customWidth="1"/>
    <col min="1762" max="1762" width="21.140625" style="11" customWidth="1"/>
    <col min="1763" max="2010" width="11.42578125" style="11"/>
    <col min="2011" max="2011" width="2.7109375" style="11" customWidth="1"/>
    <col min="2012" max="2012" width="19.42578125" style="11" customWidth="1"/>
    <col min="2013" max="2013" width="13.5703125" style="11" customWidth="1"/>
    <col min="2014" max="2014" width="35.5703125" style="11" customWidth="1"/>
    <col min="2015" max="2015" width="11.42578125" style="11"/>
    <col min="2016" max="2017" width="19" style="11" customWidth="1"/>
    <col min="2018" max="2018" width="21.140625" style="11" customWidth="1"/>
    <col min="2019" max="2266" width="11.42578125" style="11"/>
    <col min="2267" max="2267" width="2.7109375" style="11" customWidth="1"/>
    <col min="2268" max="2268" width="19.42578125" style="11" customWidth="1"/>
    <col min="2269" max="2269" width="13.5703125" style="11" customWidth="1"/>
    <col min="2270" max="2270" width="35.5703125" style="11" customWidth="1"/>
    <col min="2271" max="2271" width="11.42578125" style="11"/>
    <col min="2272" max="2273" width="19" style="11" customWidth="1"/>
    <col min="2274" max="2274" width="21.140625" style="11" customWidth="1"/>
    <col min="2275" max="2522" width="11.42578125" style="11"/>
    <col min="2523" max="2523" width="2.7109375" style="11" customWidth="1"/>
    <col min="2524" max="2524" width="19.42578125" style="11" customWidth="1"/>
    <col min="2525" max="2525" width="13.5703125" style="11" customWidth="1"/>
    <col min="2526" max="2526" width="35.5703125" style="11" customWidth="1"/>
    <col min="2527" max="2527" width="11.42578125" style="11"/>
    <col min="2528" max="2529" width="19" style="11" customWidth="1"/>
    <col min="2530" max="2530" width="21.140625" style="11" customWidth="1"/>
    <col min="2531" max="2778" width="11.42578125" style="11"/>
    <col min="2779" max="2779" width="2.7109375" style="11" customWidth="1"/>
    <col min="2780" max="2780" width="19.42578125" style="11" customWidth="1"/>
    <col min="2781" max="2781" width="13.5703125" style="11" customWidth="1"/>
    <col min="2782" max="2782" width="35.5703125" style="11" customWidth="1"/>
    <col min="2783" max="2783" width="11.42578125" style="11"/>
    <col min="2784" max="2785" width="19" style="11" customWidth="1"/>
    <col min="2786" max="2786" width="21.140625" style="11" customWidth="1"/>
    <col min="2787" max="3034" width="11.42578125" style="11"/>
    <col min="3035" max="3035" width="2.7109375" style="11" customWidth="1"/>
    <col min="3036" max="3036" width="19.42578125" style="11" customWidth="1"/>
    <col min="3037" max="3037" width="13.5703125" style="11" customWidth="1"/>
    <col min="3038" max="3038" width="35.5703125" style="11" customWidth="1"/>
    <col min="3039" max="3039" width="11.42578125" style="11"/>
    <col min="3040" max="3041" width="19" style="11" customWidth="1"/>
    <col min="3042" max="3042" width="21.140625" style="11" customWidth="1"/>
    <col min="3043" max="3290" width="11.42578125" style="11"/>
    <col min="3291" max="3291" width="2.7109375" style="11" customWidth="1"/>
    <col min="3292" max="3292" width="19.42578125" style="11" customWidth="1"/>
    <col min="3293" max="3293" width="13.5703125" style="11" customWidth="1"/>
    <col min="3294" max="3294" width="35.5703125" style="11" customWidth="1"/>
    <col min="3295" max="3295" width="11.42578125" style="11"/>
    <col min="3296" max="3297" width="19" style="11" customWidth="1"/>
    <col min="3298" max="3298" width="21.140625" style="11" customWidth="1"/>
    <col min="3299" max="3546" width="11.42578125" style="11"/>
    <col min="3547" max="3547" width="2.7109375" style="11" customWidth="1"/>
    <col min="3548" max="3548" width="19.42578125" style="11" customWidth="1"/>
    <col min="3549" max="3549" width="13.5703125" style="11" customWidth="1"/>
    <col min="3550" max="3550" width="35.5703125" style="11" customWidth="1"/>
    <col min="3551" max="3551" width="11.42578125" style="11"/>
    <col min="3552" max="3553" width="19" style="11" customWidth="1"/>
    <col min="3554" max="3554" width="21.140625" style="11" customWidth="1"/>
    <col min="3555" max="3802" width="11.42578125" style="11"/>
    <col min="3803" max="3803" width="2.7109375" style="11" customWidth="1"/>
    <col min="3804" max="3804" width="19.42578125" style="11" customWidth="1"/>
    <col min="3805" max="3805" width="13.5703125" style="11" customWidth="1"/>
    <col min="3806" max="3806" width="35.5703125" style="11" customWidth="1"/>
    <col min="3807" max="3807" width="11.42578125" style="11"/>
    <col min="3808" max="3809" width="19" style="11" customWidth="1"/>
    <col min="3810" max="3810" width="21.140625" style="11" customWidth="1"/>
    <col min="3811" max="4058" width="11.42578125" style="11"/>
    <col min="4059" max="4059" width="2.7109375" style="11" customWidth="1"/>
    <col min="4060" max="4060" width="19.42578125" style="11" customWidth="1"/>
    <col min="4061" max="4061" width="13.5703125" style="11" customWidth="1"/>
    <col min="4062" max="4062" width="35.5703125" style="11" customWidth="1"/>
    <col min="4063" max="4063" width="11.42578125" style="11"/>
    <col min="4064" max="4065" width="19" style="11" customWidth="1"/>
    <col min="4066" max="4066" width="21.140625" style="11" customWidth="1"/>
    <col min="4067" max="4314" width="11.42578125" style="11"/>
    <col min="4315" max="4315" width="2.7109375" style="11" customWidth="1"/>
    <col min="4316" max="4316" width="19.42578125" style="11" customWidth="1"/>
    <col min="4317" max="4317" width="13.5703125" style="11" customWidth="1"/>
    <col min="4318" max="4318" width="35.5703125" style="11" customWidth="1"/>
    <col min="4319" max="4319" width="11.42578125" style="11"/>
    <col min="4320" max="4321" width="19" style="11" customWidth="1"/>
    <col min="4322" max="4322" width="21.140625" style="11" customWidth="1"/>
    <col min="4323" max="4570" width="11.42578125" style="11"/>
    <col min="4571" max="4571" width="2.7109375" style="11" customWidth="1"/>
    <col min="4572" max="4572" width="19.42578125" style="11" customWidth="1"/>
    <col min="4573" max="4573" width="13.5703125" style="11" customWidth="1"/>
    <col min="4574" max="4574" width="35.5703125" style="11" customWidth="1"/>
    <col min="4575" max="4575" width="11.42578125" style="11"/>
    <col min="4576" max="4577" width="19" style="11" customWidth="1"/>
    <col min="4578" max="4578" width="21.140625" style="11" customWidth="1"/>
    <col min="4579" max="4826" width="11.42578125" style="11"/>
    <col min="4827" max="4827" width="2.7109375" style="11" customWidth="1"/>
    <col min="4828" max="4828" width="19.42578125" style="11" customWidth="1"/>
    <col min="4829" max="4829" width="13.5703125" style="11" customWidth="1"/>
    <col min="4830" max="4830" width="35.5703125" style="11" customWidth="1"/>
    <col min="4831" max="4831" width="11.42578125" style="11"/>
    <col min="4832" max="4833" width="19" style="11" customWidth="1"/>
    <col min="4834" max="4834" width="21.140625" style="11" customWidth="1"/>
    <col min="4835" max="5082" width="11.42578125" style="11"/>
    <col min="5083" max="5083" width="2.7109375" style="11" customWidth="1"/>
    <col min="5084" max="5084" width="19.42578125" style="11" customWidth="1"/>
    <col min="5085" max="5085" width="13.5703125" style="11" customWidth="1"/>
    <col min="5086" max="5086" width="35.5703125" style="11" customWidth="1"/>
    <col min="5087" max="5087" width="11.42578125" style="11"/>
    <col min="5088" max="5089" width="19" style="11" customWidth="1"/>
    <col min="5090" max="5090" width="21.140625" style="11" customWidth="1"/>
    <col min="5091" max="5338" width="11.42578125" style="11"/>
    <col min="5339" max="5339" width="2.7109375" style="11" customWidth="1"/>
    <col min="5340" max="5340" width="19.42578125" style="11" customWidth="1"/>
    <col min="5341" max="5341" width="13.5703125" style="11" customWidth="1"/>
    <col min="5342" max="5342" width="35.5703125" style="11" customWidth="1"/>
    <col min="5343" max="5343" width="11.42578125" style="11"/>
    <col min="5344" max="5345" width="19" style="11" customWidth="1"/>
    <col min="5346" max="5346" width="21.140625" style="11" customWidth="1"/>
    <col min="5347" max="5594" width="11.42578125" style="11"/>
    <col min="5595" max="5595" width="2.7109375" style="11" customWidth="1"/>
    <col min="5596" max="5596" width="19.42578125" style="11" customWidth="1"/>
    <col min="5597" max="5597" width="13.5703125" style="11" customWidth="1"/>
    <col min="5598" max="5598" width="35.5703125" style="11" customWidth="1"/>
    <col min="5599" max="5599" width="11.42578125" style="11"/>
    <col min="5600" max="5601" width="19" style="11" customWidth="1"/>
    <col min="5602" max="5602" width="21.140625" style="11" customWidth="1"/>
    <col min="5603" max="5850" width="11.42578125" style="11"/>
    <col min="5851" max="5851" width="2.7109375" style="11" customWidth="1"/>
    <col min="5852" max="5852" width="19.42578125" style="11" customWidth="1"/>
    <col min="5853" max="5853" width="13.5703125" style="11" customWidth="1"/>
    <col min="5854" max="5854" width="35.5703125" style="11" customWidth="1"/>
    <col min="5855" max="5855" width="11.42578125" style="11"/>
    <col min="5856" max="5857" width="19" style="11" customWidth="1"/>
    <col min="5858" max="5858" width="21.140625" style="11" customWidth="1"/>
    <col min="5859" max="6106" width="11.42578125" style="11"/>
    <col min="6107" max="6107" width="2.7109375" style="11" customWidth="1"/>
    <col min="6108" max="6108" width="19.42578125" style="11" customWidth="1"/>
    <col min="6109" max="6109" width="13.5703125" style="11" customWidth="1"/>
    <col min="6110" max="6110" width="35.5703125" style="11" customWidth="1"/>
    <col min="6111" max="6111" width="11.42578125" style="11"/>
    <col min="6112" max="6113" width="19" style="11" customWidth="1"/>
    <col min="6114" max="6114" width="21.140625" style="11" customWidth="1"/>
    <col min="6115" max="6362" width="11.42578125" style="11"/>
    <col min="6363" max="6363" width="2.7109375" style="11" customWidth="1"/>
    <col min="6364" max="6364" width="19.42578125" style="11" customWidth="1"/>
    <col min="6365" max="6365" width="13.5703125" style="11" customWidth="1"/>
    <col min="6366" max="6366" width="35.5703125" style="11" customWidth="1"/>
    <col min="6367" max="6367" width="11.42578125" style="11"/>
    <col min="6368" max="6369" width="19" style="11" customWidth="1"/>
    <col min="6370" max="6370" width="21.140625" style="11" customWidth="1"/>
    <col min="6371" max="6618" width="11.42578125" style="11"/>
    <col min="6619" max="6619" width="2.7109375" style="11" customWidth="1"/>
    <col min="6620" max="6620" width="19.42578125" style="11" customWidth="1"/>
    <col min="6621" max="6621" width="13.5703125" style="11" customWidth="1"/>
    <col min="6622" max="6622" width="35.5703125" style="11" customWidth="1"/>
    <col min="6623" max="6623" width="11.42578125" style="11"/>
    <col min="6624" max="6625" width="19" style="11" customWidth="1"/>
    <col min="6626" max="6626" width="21.140625" style="11" customWidth="1"/>
    <col min="6627" max="6874" width="11.42578125" style="11"/>
    <col min="6875" max="6875" width="2.7109375" style="11" customWidth="1"/>
    <col min="6876" max="6876" width="19.42578125" style="11" customWidth="1"/>
    <col min="6877" max="6877" width="13.5703125" style="11" customWidth="1"/>
    <col min="6878" max="6878" width="35.5703125" style="11" customWidth="1"/>
    <col min="6879" max="6879" width="11.42578125" style="11"/>
    <col min="6880" max="6881" width="19" style="11" customWidth="1"/>
    <col min="6882" max="6882" width="21.140625" style="11" customWidth="1"/>
    <col min="6883" max="7130" width="11.42578125" style="11"/>
    <col min="7131" max="7131" width="2.7109375" style="11" customWidth="1"/>
    <col min="7132" max="7132" width="19.42578125" style="11" customWidth="1"/>
    <col min="7133" max="7133" width="13.5703125" style="11" customWidth="1"/>
    <col min="7134" max="7134" width="35.5703125" style="11" customWidth="1"/>
    <col min="7135" max="7135" width="11.42578125" style="11"/>
    <col min="7136" max="7137" width="19" style="11" customWidth="1"/>
    <col min="7138" max="7138" width="21.140625" style="11" customWidth="1"/>
    <col min="7139" max="7386" width="11.42578125" style="11"/>
    <col min="7387" max="7387" width="2.7109375" style="11" customWidth="1"/>
    <col min="7388" max="7388" width="19.42578125" style="11" customWidth="1"/>
    <col min="7389" max="7389" width="13.5703125" style="11" customWidth="1"/>
    <col min="7390" max="7390" width="35.5703125" style="11" customWidth="1"/>
    <col min="7391" max="7391" width="11.42578125" style="11"/>
    <col min="7392" max="7393" width="19" style="11" customWidth="1"/>
    <col min="7394" max="7394" width="21.140625" style="11" customWidth="1"/>
    <col min="7395" max="7642" width="11.42578125" style="11"/>
    <col min="7643" max="7643" width="2.7109375" style="11" customWidth="1"/>
    <col min="7644" max="7644" width="19.42578125" style="11" customWidth="1"/>
    <col min="7645" max="7645" width="13.5703125" style="11" customWidth="1"/>
    <col min="7646" max="7646" width="35.5703125" style="11" customWidth="1"/>
    <col min="7647" max="7647" width="11.42578125" style="11"/>
    <col min="7648" max="7649" width="19" style="11" customWidth="1"/>
    <col min="7650" max="7650" width="21.140625" style="11" customWidth="1"/>
    <col min="7651" max="7898" width="11.42578125" style="11"/>
    <col min="7899" max="7899" width="2.7109375" style="11" customWidth="1"/>
    <col min="7900" max="7900" width="19.42578125" style="11" customWidth="1"/>
    <col min="7901" max="7901" width="13.5703125" style="11" customWidth="1"/>
    <col min="7902" max="7902" width="35.5703125" style="11" customWidth="1"/>
    <col min="7903" max="7903" width="11.42578125" style="11"/>
    <col min="7904" max="7905" width="19" style="11" customWidth="1"/>
    <col min="7906" max="7906" width="21.140625" style="11" customWidth="1"/>
    <col min="7907" max="8154" width="11.42578125" style="11"/>
    <col min="8155" max="8155" width="2.7109375" style="11" customWidth="1"/>
    <col min="8156" max="8156" width="19.42578125" style="11" customWidth="1"/>
    <col min="8157" max="8157" width="13.5703125" style="11" customWidth="1"/>
    <col min="8158" max="8158" width="35.5703125" style="11" customWidth="1"/>
    <col min="8159" max="8159" width="11.42578125" style="11"/>
    <col min="8160" max="8161" width="19" style="11" customWidth="1"/>
    <col min="8162" max="8162" width="21.140625" style="11" customWidth="1"/>
    <col min="8163" max="8410" width="11.42578125" style="11"/>
    <col min="8411" max="8411" width="2.7109375" style="11" customWidth="1"/>
    <col min="8412" max="8412" width="19.42578125" style="11" customWidth="1"/>
    <col min="8413" max="8413" width="13.5703125" style="11" customWidth="1"/>
    <col min="8414" max="8414" width="35.5703125" style="11" customWidth="1"/>
    <col min="8415" max="8415" width="11.42578125" style="11"/>
    <col min="8416" max="8417" width="19" style="11" customWidth="1"/>
    <col min="8418" max="8418" width="21.140625" style="11" customWidth="1"/>
    <col min="8419" max="8666" width="11.42578125" style="11"/>
    <col min="8667" max="8667" width="2.7109375" style="11" customWidth="1"/>
    <col min="8668" max="8668" width="19.42578125" style="11" customWidth="1"/>
    <col min="8669" max="8669" width="13.5703125" style="11" customWidth="1"/>
    <col min="8670" max="8670" width="35.5703125" style="11" customWidth="1"/>
    <col min="8671" max="8671" width="11.42578125" style="11"/>
    <col min="8672" max="8673" width="19" style="11" customWidth="1"/>
    <col min="8674" max="8674" width="21.140625" style="11" customWidth="1"/>
    <col min="8675" max="8922" width="11.42578125" style="11"/>
    <col min="8923" max="8923" width="2.7109375" style="11" customWidth="1"/>
    <col min="8924" max="8924" width="19.42578125" style="11" customWidth="1"/>
    <col min="8925" max="8925" width="13.5703125" style="11" customWidth="1"/>
    <col min="8926" max="8926" width="35.5703125" style="11" customWidth="1"/>
    <col min="8927" max="8927" width="11.42578125" style="11"/>
    <col min="8928" max="8929" width="19" style="11" customWidth="1"/>
    <col min="8930" max="8930" width="21.140625" style="11" customWidth="1"/>
    <col min="8931" max="9178" width="11.42578125" style="11"/>
    <col min="9179" max="9179" width="2.7109375" style="11" customWidth="1"/>
    <col min="9180" max="9180" width="19.42578125" style="11" customWidth="1"/>
    <col min="9181" max="9181" width="13.5703125" style="11" customWidth="1"/>
    <col min="9182" max="9182" width="35.5703125" style="11" customWidth="1"/>
    <col min="9183" max="9183" width="11.42578125" style="11"/>
    <col min="9184" max="9185" width="19" style="11" customWidth="1"/>
    <col min="9186" max="9186" width="21.140625" style="11" customWidth="1"/>
    <col min="9187" max="9434" width="11.42578125" style="11"/>
    <col min="9435" max="9435" width="2.7109375" style="11" customWidth="1"/>
    <col min="9436" max="9436" width="19.42578125" style="11" customWidth="1"/>
    <col min="9437" max="9437" width="13.5703125" style="11" customWidth="1"/>
    <col min="9438" max="9438" width="35.5703125" style="11" customWidth="1"/>
    <col min="9439" max="9439" width="11.42578125" style="11"/>
    <col min="9440" max="9441" width="19" style="11" customWidth="1"/>
    <col min="9442" max="9442" width="21.140625" style="11" customWidth="1"/>
    <col min="9443" max="9690" width="11.42578125" style="11"/>
    <col min="9691" max="9691" width="2.7109375" style="11" customWidth="1"/>
    <col min="9692" max="9692" width="19.42578125" style="11" customWidth="1"/>
    <col min="9693" max="9693" width="13.5703125" style="11" customWidth="1"/>
    <col min="9694" max="9694" width="35.5703125" style="11" customWidth="1"/>
    <col min="9695" max="9695" width="11.42578125" style="11"/>
    <col min="9696" max="9697" width="19" style="11" customWidth="1"/>
    <col min="9698" max="9698" width="21.140625" style="11" customWidth="1"/>
    <col min="9699" max="9946" width="11.42578125" style="11"/>
    <col min="9947" max="9947" width="2.7109375" style="11" customWidth="1"/>
    <col min="9948" max="9948" width="19.42578125" style="11" customWidth="1"/>
    <col min="9949" max="9949" width="13.5703125" style="11" customWidth="1"/>
    <col min="9950" max="9950" width="35.5703125" style="11" customWidth="1"/>
    <col min="9951" max="9951" width="11.42578125" style="11"/>
    <col min="9952" max="9953" width="19" style="11" customWidth="1"/>
    <col min="9954" max="9954" width="21.140625" style="11" customWidth="1"/>
    <col min="9955" max="10202" width="11.42578125" style="11"/>
    <col min="10203" max="10203" width="2.7109375" style="11" customWidth="1"/>
    <col min="10204" max="10204" width="19.42578125" style="11" customWidth="1"/>
    <col min="10205" max="10205" width="13.5703125" style="11" customWidth="1"/>
    <col min="10206" max="10206" width="35.5703125" style="11" customWidth="1"/>
    <col min="10207" max="10207" width="11.42578125" style="11"/>
    <col min="10208" max="10209" width="19" style="11" customWidth="1"/>
    <col min="10210" max="10210" width="21.140625" style="11" customWidth="1"/>
    <col min="10211" max="10458" width="11.42578125" style="11"/>
    <col min="10459" max="10459" width="2.7109375" style="11" customWidth="1"/>
    <col min="10460" max="10460" width="19.42578125" style="11" customWidth="1"/>
    <col min="10461" max="10461" width="13.5703125" style="11" customWidth="1"/>
    <col min="10462" max="10462" width="35.5703125" style="11" customWidth="1"/>
    <col min="10463" max="10463" width="11.42578125" style="11"/>
    <col min="10464" max="10465" width="19" style="11" customWidth="1"/>
    <col min="10466" max="10466" width="21.140625" style="11" customWidth="1"/>
    <col min="10467" max="10714" width="11.42578125" style="11"/>
    <col min="10715" max="10715" width="2.7109375" style="11" customWidth="1"/>
    <col min="10716" max="10716" width="19.42578125" style="11" customWidth="1"/>
    <col min="10717" max="10717" width="13.5703125" style="11" customWidth="1"/>
    <col min="10718" max="10718" width="35.5703125" style="11" customWidth="1"/>
    <col min="10719" max="10719" width="11.42578125" style="11"/>
    <col min="10720" max="10721" width="19" style="11" customWidth="1"/>
    <col min="10722" max="10722" width="21.140625" style="11" customWidth="1"/>
    <col min="10723" max="10970" width="11.42578125" style="11"/>
    <col min="10971" max="10971" width="2.7109375" style="11" customWidth="1"/>
    <col min="10972" max="10972" width="19.42578125" style="11" customWidth="1"/>
    <col min="10973" max="10973" width="13.5703125" style="11" customWidth="1"/>
    <col min="10974" max="10974" width="35.5703125" style="11" customWidth="1"/>
    <col min="10975" max="10975" width="11.42578125" style="11"/>
    <col min="10976" max="10977" width="19" style="11" customWidth="1"/>
    <col min="10978" max="10978" width="21.140625" style="11" customWidth="1"/>
    <col min="10979" max="11226" width="11.42578125" style="11"/>
    <col min="11227" max="11227" width="2.7109375" style="11" customWidth="1"/>
    <col min="11228" max="11228" width="19.42578125" style="11" customWidth="1"/>
    <col min="11229" max="11229" width="13.5703125" style="11" customWidth="1"/>
    <col min="11230" max="11230" width="35.5703125" style="11" customWidth="1"/>
    <col min="11231" max="11231" width="11.42578125" style="11"/>
    <col min="11232" max="11233" width="19" style="11" customWidth="1"/>
    <col min="11234" max="11234" width="21.140625" style="11" customWidth="1"/>
    <col min="11235" max="11482" width="11.42578125" style="11"/>
    <col min="11483" max="11483" width="2.7109375" style="11" customWidth="1"/>
    <col min="11484" max="11484" width="19.42578125" style="11" customWidth="1"/>
    <col min="11485" max="11485" width="13.5703125" style="11" customWidth="1"/>
    <col min="11486" max="11486" width="35.5703125" style="11" customWidth="1"/>
    <col min="11487" max="11487" width="11.42578125" style="11"/>
    <col min="11488" max="11489" width="19" style="11" customWidth="1"/>
    <col min="11490" max="11490" width="21.140625" style="11" customWidth="1"/>
    <col min="11491" max="11738" width="11.42578125" style="11"/>
    <col min="11739" max="11739" width="2.7109375" style="11" customWidth="1"/>
    <col min="11740" max="11740" width="19.42578125" style="11" customWidth="1"/>
    <col min="11741" max="11741" width="13.5703125" style="11" customWidth="1"/>
    <col min="11742" max="11742" width="35.5703125" style="11" customWidth="1"/>
    <col min="11743" max="11743" width="11.42578125" style="11"/>
    <col min="11744" max="11745" width="19" style="11" customWidth="1"/>
    <col min="11746" max="11746" width="21.140625" style="11" customWidth="1"/>
    <col min="11747" max="11994" width="11.42578125" style="11"/>
    <col min="11995" max="11995" width="2.7109375" style="11" customWidth="1"/>
    <col min="11996" max="11996" width="19.42578125" style="11" customWidth="1"/>
    <col min="11997" max="11997" width="13.5703125" style="11" customWidth="1"/>
    <col min="11998" max="11998" width="35.5703125" style="11" customWidth="1"/>
    <col min="11999" max="11999" width="11.42578125" style="11"/>
    <col min="12000" max="12001" width="19" style="11" customWidth="1"/>
    <col min="12002" max="12002" width="21.140625" style="11" customWidth="1"/>
    <col min="12003" max="12250" width="11.42578125" style="11"/>
    <col min="12251" max="12251" width="2.7109375" style="11" customWidth="1"/>
    <col min="12252" max="12252" width="19.42578125" style="11" customWidth="1"/>
    <col min="12253" max="12253" width="13.5703125" style="11" customWidth="1"/>
    <col min="12254" max="12254" width="35.5703125" style="11" customWidth="1"/>
    <col min="12255" max="12255" width="11.42578125" style="11"/>
    <col min="12256" max="12257" width="19" style="11" customWidth="1"/>
    <col min="12258" max="12258" width="21.140625" style="11" customWidth="1"/>
    <col min="12259" max="12506" width="11.42578125" style="11"/>
    <col min="12507" max="12507" width="2.7109375" style="11" customWidth="1"/>
    <col min="12508" max="12508" width="19.42578125" style="11" customWidth="1"/>
    <col min="12509" max="12509" width="13.5703125" style="11" customWidth="1"/>
    <col min="12510" max="12510" width="35.5703125" style="11" customWidth="1"/>
    <col min="12511" max="12511" width="11.42578125" style="11"/>
    <col min="12512" max="12513" width="19" style="11" customWidth="1"/>
    <col min="12514" max="12514" width="21.140625" style="11" customWidth="1"/>
    <col min="12515" max="12762" width="11.42578125" style="11"/>
    <col min="12763" max="12763" width="2.7109375" style="11" customWidth="1"/>
    <col min="12764" max="12764" width="19.42578125" style="11" customWidth="1"/>
    <col min="12765" max="12765" width="13.5703125" style="11" customWidth="1"/>
    <col min="12766" max="12766" width="35.5703125" style="11" customWidth="1"/>
    <col min="12767" max="12767" width="11.42578125" style="11"/>
    <col min="12768" max="12769" width="19" style="11" customWidth="1"/>
    <col min="12770" max="12770" width="21.140625" style="11" customWidth="1"/>
    <col min="12771" max="13018" width="11.42578125" style="11"/>
    <col min="13019" max="13019" width="2.7109375" style="11" customWidth="1"/>
    <col min="13020" max="13020" width="19.42578125" style="11" customWidth="1"/>
    <col min="13021" max="13021" width="13.5703125" style="11" customWidth="1"/>
    <col min="13022" max="13022" width="35.5703125" style="11" customWidth="1"/>
    <col min="13023" max="13023" width="11.42578125" style="11"/>
    <col min="13024" max="13025" width="19" style="11" customWidth="1"/>
    <col min="13026" max="13026" width="21.140625" style="11" customWidth="1"/>
    <col min="13027" max="13274" width="11.42578125" style="11"/>
    <col min="13275" max="13275" width="2.7109375" style="11" customWidth="1"/>
    <col min="13276" max="13276" width="19.42578125" style="11" customWidth="1"/>
    <col min="13277" max="13277" width="13.5703125" style="11" customWidth="1"/>
    <col min="13278" max="13278" width="35.5703125" style="11" customWidth="1"/>
    <col min="13279" max="13279" width="11.42578125" style="11"/>
    <col min="13280" max="13281" width="19" style="11" customWidth="1"/>
    <col min="13282" max="13282" width="21.140625" style="11" customWidth="1"/>
    <col min="13283" max="13530" width="11.42578125" style="11"/>
    <col min="13531" max="13531" width="2.7109375" style="11" customWidth="1"/>
    <col min="13532" max="13532" width="19.42578125" style="11" customWidth="1"/>
    <col min="13533" max="13533" width="13.5703125" style="11" customWidth="1"/>
    <col min="13534" max="13534" width="35.5703125" style="11" customWidth="1"/>
    <col min="13535" max="13535" width="11.42578125" style="11"/>
    <col min="13536" max="13537" width="19" style="11" customWidth="1"/>
    <col min="13538" max="13538" width="21.140625" style="11" customWidth="1"/>
    <col min="13539" max="13786" width="11.42578125" style="11"/>
    <col min="13787" max="13787" width="2.7109375" style="11" customWidth="1"/>
    <col min="13788" max="13788" width="19.42578125" style="11" customWidth="1"/>
    <col min="13789" max="13789" width="13.5703125" style="11" customWidth="1"/>
    <col min="13790" max="13790" width="35.5703125" style="11" customWidth="1"/>
    <col min="13791" max="13791" width="11.42578125" style="11"/>
    <col min="13792" max="13793" width="19" style="11" customWidth="1"/>
    <col min="13794" max="13794" width="21.140625" style="11" customWidth="1"/>
    <col min="13795" max="14042" width="11.42578125" style="11"/>
    <col min="14043" max="14043" width="2.7109375" style="11" customWidth="1"/>
    <col min="14044" max="14044" width="19.42578125" style="11" customWidth="1"/>
    <col min="14045" max="14045" width="13.5703125" style="11" customWidth="1"/>
    <col min="14046" max="14046" width="35.5703125" style="11" customWidth="1"/>
    <col min="14047" max="14047" width="11.42578125" style="11"/>
    <col min="14048" max="14049" width="19" style="11" customWidth="1"/>
    <col min="14050" max="14050" width="21.140625" style="11" customWidth="1"/>
    <col min="14051" max="14298" width="11.42578125" style="11"/>
    <col min="14299" max="14299" width="2.7109375" style="11" customWidth="1"/>
    <col min="14300" max="14300" width="19.42578125" style="11" customWidth="1"/>
    <col min="14301" max="14301" width="13.5703125" style="11" customWidth="1"/>
    <col min="14302" max="14302" width="35.5703125" style="11" customWidth="1"/>
    <col min="14303" max="14303" width="11.42578125" style="11"/>
    <col min="14304" max="14305" width="19" style="11" customWidth="1"/>
    <col min="14306" max="14306" width="21.140625" style="11" customWidth="1"/>
    <col min="14307" max="14554" width="11.42578125" style="11"/>
    <col min="14555" max="14555" width="2.7109375" style="11" customWidth="1"/>
    <col min="14556" max="14556" width="19.42578125" style="11" customWidth="1"/>
    <col min="14557" max="14557" width="13.5703125" style="11" customWidth="1"/>
    <col min="14558" max="14558" width="35.5703125" style="11" customWidth="1"/>
    <col min="14559" max="14559" width="11.42578125" style="11"/>
    <col min="14560" max="14561" width="19" style="11" customWidth="1"/>
    <col min="14562" max="14562" width="21.140625" style="11" customWidth="1"/>
    <col min="14563" max="14810" width="11.42578125" style="11"/>
    <col min="14811" max="14811" width="2.7109375" style="11" customWidth="1"/>
    <col min="14812" max="14812" width="19.42578125" style="11" customWidth="1"/>
    <col min="14813" max="14813" width="13.5703125" style="11" customWidth="1"/>
    <col min="14814" max="14814" width="35.5703125" style="11" customWidth="1"/>
    <col min="14815" max="14815" width="11.42578125" style="11"/>
    <col min="14816" max="14817" width="19" style="11" customWidth="1"/>
    <col min="14818" max="14818" width="21.140625" style="11" customWidth="1"/>
    <col min="14819" max="15066" width="11.42578125" style="11"/>
    <col min="15067" max="15067" width="2.7109375" style="11" customWidth="1"/>
    <col min="15068" max="15068" width="19.42578125" style="11" customWidth="1"/>
    <col min="15069" max="15069" width="13.5703125" style="11" customWidth="1"/>
    <col min="15070" max="15070" width="35.5703125" style="11" customWidth="1"/>
    <col min="15071" max="15071" width="11.42578125" style="11"/>
    <col min="15072" max="15073" width="19" style="11" customWidth="1"/>
    <col min="15074" max="15074" width="21.140625" style="11" customWidth="1"/>
    <col min="15075" max="15322" width="11.42578125" style="11"/>
    <col min="15323" max="15323" width="2.7109375" style="11" customWidth="1"/>
    <col min="15324" max="15324" width="19.42578125" style="11" customWidth="1"/>
    <col min="15325" max="15325" width="13.5703125" style="11" customWidth="1"/>
    <col min="15326" max="15326" width="35.5703125" style="11" customWidth="1"/>
    <col min="15327" max="15327" width="11.42578125" style="11"/>
    <col min="15328" max="15329" width="19" style="11" customWidth="1"/>
    <col min="15330" max="15330" width="21.140625" style="11" customWidth="1"/>
    <col min="15331" max="15578" width="11.42578125" style="11"/>
    <col min="15579" max="15579" width="2.7109375" style="11" customWidth="1"/>
    <col min="15580" max="15580" width="19.42578125" style="11" customWidth="1"/>
    <col min="15581" max="15581" width="13.5703125" style="11" customWidth="1"/>
    <col min="15582" max="15582" width="35.5703125" style="11" customWidth="1"/>
    <col min="15583" max="15583" width="11.42578125" style="11"/>
    <col min="15584" max="15585" width="19" style="11" customWidth="1"/>
    <col min="15586" max="15586" width="21.140625" style="11" customWidth="1"/>
    <col min="15587" max="15834" width="11.42578125" style="11"/>
    <col min="15835" max="15835" width="2.7109375" style="11" customWidth="1"/>
    <col min="15836" max="15836" width="19.42578125" style="11" customWidth="1"/>
    <col min="15837" max="15837" width="13.5703125" style="11" customWidth="1"/>
    <col min="15838" max="15838" width="35.5703125" style="11" customWidth="1"/>
    <col min="15839" max="15839" width="11.42578125" style="11"/>
    <col min="15840" max="15841" width="19" style="11" customWidth="1"/>
    <col min="15842" max="15842" width="21.140625" style="11" customWidth="1"/>
    <col min="15843" max="16090" width="11.42578125" style="11"/>
    <col min="16091" max="16091" width="2.7109375" style="11" customWidth="1"/>
    <col min="16092" max="16092" width="19.42578125" style="11" customWidth="1"/>
    <col min="16093" max="16093" width="13.5703125" style="11" customWidth="1"/>
    <col min="16094" max="16094" width="35.5703125" style="11" customWidth="1"/>
    <col min="16095" max="16095" width="11.42578125" style="11"/>
    <col min="16096" max="16097" width="19" style="11" customWidth="1"/>
    <col min="16098" max="16098" width="21.140625" style="11" customWidth="1"/>
    <col min="16099" max="16359" width="11.42578125" style="11"/>
    <col min="16360" max="16372" width="11.42578125" style="11" customWidth="1"/>
    <col min="16373" max="16384" width="11.42578125" style="11"/>
  </cols>
  <sheetData>
    <row r="1" spans="1:29" x14ac:dyDescent="0.2">
      <c r="C1" s="12" t="s">
        <v>1470</v>
      </c>
    </row>
    <row r="3" spans="1:29" x14ac:dyDescent="0.2">
      <c r="D3" s="1241" t="s">
        <v>355</v>
      </c>
      <c r="E3" s="1241" t="s">
        <v>356</v>
      </c>
      <c r="F3" s="11"/>
      <c r="G3" s="11"/>
      <c r="H3" s="11"/>
    </row>
    <row r="4" spans="1:29" x14ac:dyDescent="0.2">
      <c r="C4" s="1242" t="s">
        <v>107</v>
      </c>
      <c r="D4" s="1243">
        <f>K70</f>
        <v>872210864.07301414</v>
      </c>
      <c r="E4" s="1243">
        <f>D4</f>
        <v>872210864.07301414</v>
      </c>
      <c r="F4" s="11"/>
      <c r="G4" s="11"/>
      <c r="H4" s="11"/>
    </row>
    <row r="5" spans="1:29" x14ac:dyDescent="0.2">
      <c r="C5" s="1242" t="s">
        <v>109</v>
      </c>
      <c r="D5" s="1243">
        <f>R88</f>
        <v>0</v>
      </c>
      <c r="E5" s="1243">
        <f>D5</f>
        <v>0</v>
      </c>
      <c r="F5" s="11"/>
      <c r="G5" s="11"/>
      <c r="H5" s="11"/>
    </row>
    <row r="6" spans="1:29" x14ac:dyDescent="0.2">
      <c r="C6" s="1242" t="s">
        <v>110</v>
      </c>
      <c r="D6" s="1244">
        <f>K83</f>
        <v>34234198.249109991</v>
      </c>
      <c r="E6" s="1244">
        <f>D6</f>
        <v>34234198.249109991</v>
      </c>
      <c r="F6" s="11"/>
      <c r="G6" s="11"/>
      <c r="H6" s="11"/>
    </row>
    <row r="8" spans="1:29" x14ac:dyDescent="0.2">
      <c r="E8" s="10"/>
    </row>
    <row r="10" spans="1:29" x14ac:dyDescent="0.2">
      <c r="L10" s="1245"/>
      <c r="O10" s="1245" t="s">
        <v>1454</v>
      </c>
      <c r="P10" s="11">
        <f>[7]Indices!$G$38</f>
        <v>1.2669154580311224</v>
      </c>
    </row>
    <row r="11" spans="1:29" ht="13.5" thickBot="1" x14ac:dyDescent="0.25">
      <c r="A11" s="113"/>
      <c r="B11" s="113"/>
      <c r="C11" s="113"/>
      <c r="D11" s="113"/>
      <c r="E11" s="113"/>
      <c r="F11" s="113"/>
      <c r="G11" s="1246"/>
      <c r="H11" s="1247"/>
      <c r="I11" s="113"/>
      <c r="J11" s="113"/>
      <c r="R11" s="10">
        <f>SUM(K39:K43)</f>
        <v>67107776.418499999</v>
      </c>
    </row>
    <row r="12" spans="1:29" ht="38.25" x14ac:dyDescent="0.2">
      <c r="A12" s="113"/>
      <c r="B12" s="113"/>
      <c r="C12" s="1248" t="s">
        <v>935</v>
      </c>
      <c r="D12" s="1248"/>
      <c r="E12" s="1248" t="s">
        <v>934</v>
      </c>
      <c r="F12" s="1248" t="s">
        <v>1453</v>
      </c>
      <c r="G12" s="1249" t="s">
        <v>1452</v>
      </c>
      <c r="H12" s="1250" t="s">
        <v>1451</v>
      </c>
      <c r="I12" s="1251" t="s">
        <v>1450</v>
      </c>
      <c r="J12" s="1252" t="s">
        <v>1449</v>
      </c>
      <c r="K12" s="1252" t="s">
        <v>1810</v>
      </c>
      <c r="L12" s="1252" t="s">
        <v>449</v>
      </c>
      <c r="M12" s="1252" t="s">
        <v>1448</v>
      </c>
      <c r="N12" s="1252" t="s">
        <v>1710</v>
      </c>
      <c r="O12" s="1252" t="s">
        <v>1447</v>
      </c>
      <c r="P12" s="1252" t="s">
        <v>1446</v>
      </c>
      <c r="Q12" s="1252" t="s">
        <v>1445</v>
      </c>
      <c r="R12" s="1252" t="s">
        <v>1444</v>
      </c>
      <c r="S12" s="1252" t="s">
        <v>1443</v>
      </c>
      <c r="T12" s="1252" t="s">
        <v>357</v>
      </c>
    </row>
    <row r="13" spans="1:29" ht="13.5" thickBot="1" x14ac:dyDescent="0.25">
      <c r="A13" s="113"/>
      <c r="B13" s="113"/>
      <c r="C13" s="1253"/>
      <c r="D13" s="1253"/>
      <c r="E13" s="1253"/>
      <c r="F13" s="1253"/>
      <c r="G13" s="1254" t="s">
        <v>1442</v>
      </c>
      <c r="H13" s="1255" t="s">
        <v>1442</v>
      </c>
      <c r="I13" s="1256"/>
      <c r="J13" s="1257" t="s">
        <v>1441</v>
      </c>
      <c r="K13" s="1257"/>
      <c r="L13" s="1257" t="s">
        <v>1441</v>
      </c>
      <c r="M13" s="1257" t="s">
        <v>5</v>
      </c>
      <c r="N13" s="1257" t="s">
        <v>5</v>
      </c>
      <c r="O13" s="1257" t="s">
        <v>1441</v>
      </c>
      <c r="P13" s="1257" t="s">
        <v>1441</v>
      </c>
      <c r="Q13" s="1257" t="s">
        <v>1441</v>
      </c>
      <c r="R13" s="1257" t="s">
        <v>1441</v>
      </c>
      <c r="S13" s="1257" t="s">
        <v>5</v>
      </c>
      <c r="T13" s="1257" t="s">
        <v>5</v>
      </c>
    </row>
    <row r="14" spans="1:29" ht="13.5" thickBot="1" x14ac:dyDescent="0.25">
      <c r="C14" s="1258" t="s">
        <v>1440</v>
      </c>
      <c r="D14" s="1259"/>
      <c r="E14" s="1260"/>
      <c r="F14" s="1260"/>
      <c r="G14" s="1261"/>
      <c r="H14" s="1262"/>
      <c r="I14" s="1263"/>
      <c r="J14" s="1264"/>
      <c r="K14" s="1259"/>
      <c r="L14" s="1259"/>
      <c r="M14" s="1259"/>
      <c r="N14" s="1259"/>
      <c r="O14" s="1259"/>
      <c r="P14" s="1259"/>
      <c r="Q14" s="1259"/>
      <c r="R14" s="1259"/>
      <c r="S14" s="1259"/>
      <c r="T14" s="1265"/>
    </row>
    <row r="15" spans="1:29" x14ac:dyDescent="0.2">
      <c r="C15" s="1266" t="s">
        <v>1439</v>
      </c>
      <c r="D15" s="1267"/>
      <c r="E15" s="1268"/>
      <c r="F15" s="1269"/>
      <c r="G15" s="1270"/>
      <c r="H15" s="1271"/>
      <c r="I15" s="1272"/>
      <c r="J15" s="1273"/>
      <c r="K15" s="1273"/>
      <c r="L15" s="1273"/>
      <c r="M15" s="1273"/>
      <c r="N15" s="1273"/>
      <c r="O15" s="1273"/>
      <c r="P15" s="1273"/>
      <c r="Q15" s="1273"/>
      <c r="R15" s="1273"/>
      <c r="S15" s="1273"/>
      <c r="T15" s="1273"/>
    </row>
    <row r="16" spans="1:29" s="1" customFormat="1" ht="15" customHeight="1" x14ac:dyDescent="0.2">
      <c r="B16" s="113"/>
      <c r="C16" s="1589" t="s">
        <v>1438</v>
      </c>
      <c r="D16" s="1274" t="s">
        <v>1437</v>
      </c>
      <c r="E16" s="1422" t="s">
        <v>358</v>
      </c>
      <c r="F16" s="1275">
        <v>1976</v>
      </c>
      <c r="G16" s="1276">
        <v>50.88</v>
      </c>
      <c r="H16" s="1277">
        <f>+G16*1</f>
        <v>50.88</v>
      </c>
      <c r="I16" s="1278" t="s">
        <v>1410</v>
      </c>
      <c r="J16" s="1279">
        <f>'[8]VNR 2025'!I7*1000</f>
        <v>38084291.017627068</v>
      </c>
      <c r="K16" s="1279">
        <f>'[9]VNR 2025'!I7*1000</f>
        <v>33719346.9038084</v>
      </c>
      <c r="L16" s="1279">
        <v>28469831.825914901</v>
      </c>
      <c r="M16" s="1280">
        <f>J16/L16-1</f>
        <v>0.33770691904686712</v>
      </c>
      <c r="N16" s="1280">
        <f>K16/L16-1</f>
        <v>0.18438869291511173</v>
      </c>
      <c r="O16" s="1279">
        <v>26254185.861637991</v>
      </c>
      <c r="P16" s="1279">
        <f>+O16*$P$10</f>
        <v>33261833.906131312</v>
      </c>
      <c r="Q16" s="1279">
        <f>IFERROR(INDEX(AdicionesVNR_actualiz!$L:$L,MATCH(D16,AdicionesVNR_actualiz!$B:$B,0)),0)</f>
        <v>59709.263324118983</v>
      </c>
      <c r="R16" s="1279">
        <f>SUM(P16:Q19)</f>
        <v>33321543.169455431</v>
      </c>
      <c r="S16" s="1281">
        <f>R16/O16-1</f>
        <v>0.26918973397472978</v>
      </c>
      <c r="T16" s="1280">
        <f>IF(ISNUMBER(J16),R16/J16-1,"")</f>
        <v>-0.12505806779932516</v>
      </c>
      <c r="U16" s="14"/>
      <c r="Y16" s="21"/>
      <c r="Z16" s="21"/>
      <c r="AC16" s="21"/>
    </row>
    <row r="17" spans="2:29" s="1" customFormat="1" ht="15" customHeight="1" x14ac:dyDescent="0.2">
      <c r="B17" s="113"/>
      <c r="C17" s="1590"/>
      <c r="D17" s="1282" t="s">
        <v>1436</v>
      </c>
      <c r="E17" s="61" t="s">
        <v>360</v>
      </c>
      <c r="F17" s="1283">
        <v>1976</v>
      </c>
      <c r="G17" s="1284">
        <v>19.010000000000002</v>
      </c>
      <c r="H17" s="1285">
        <f>+G17*1</f>
        <v>19.010000000000002</v>
      </c>
      <c r="I17" s="1286" t="s">
        <v>1410</v>
      </c>
      <c r="J17" s="1287"/>
      <c r="K17" s="1287"/>
      <c r="L17" s="1287"/>
      <c r="M17" s="1288"/>
      <c r="N17" s="1288"/>
      <c r="O17" s="1287"/>
      <c r="P17" s="1287"/>
      <c r="Q17" s="1287"/>
      <c r="R17" s="1287"/>
      <c r="S17" s="1289"/>
      <c r="T17" s="1288"/>
      <c r="U17" s="14"/>
      <c r="Y17" s="21"/>
      <c r="Z17" s="21"/>
      <c r="AC17" s="21"/>
    </row>
    <row r="18" spans="2:29" s="1" customFormat="1" ht="15" customHeight="1" x14ac:dyDescent="0.2">
      <c r="B18" s="113"/>
      <c r="C18" s="1590"/>
      <c r="D18" s="1282" t="s">
        <v>359</v>
      </c>
      <c r="E18" s="61" t="s">
        <v>362</v>
      </c>
      <c r="F18" s="1283">
        <v>1976</v>
      </c>
      <c r="G18" s="1549">
        <v>60.53</v>
      </c>
      <c r="H18" s="1285">
        <f>+G18*1</f>
        <v>60.53</v>
      </c>
      <c r="I18" s="1286" t="s">
        <v>1410</v>
      </c>
      <c r="J18" s="1287"/>
      <c r="K18" s="1287"/>
      <c r="L18" s="1287"/>
      <c r="M18" s="1288"/>
      <c r="N18" s="1288"/>
      <c r="O18" s="1287"/>
      <c r="P18" s="1287"/>
      <c r="Q18" s="1287"/>
      <c r="R18" s="1287"/>
      <c r="S18" s="1289"/>
      <c r="T18" s="1288"/>
      <c r="U18" s="14"/>
      <c r="Y18" s="21"/>
      <c r="Z18" s="21"/>
      <c r="AC18" s="21"/>
    </row>
    <row r="19" spans="2:29" s="1" customFormat="1" ht="15" customHeight="1" x14ac:dyDescent="0.2">
      <c r="B19" s="113"/>
      <c r="C19" s="1590"/>
      <c r="D19" s="1290" t="s">
        <v>361</v>
      </c>
      <c r="E19" s="1423" t="s">
        <v>363</v>
      </c>
      <c r="F19" s="1291">
        <v>1976</v>
      </c>
      <c r="G19" s="1292">
        <v>10.67</v>
      </c>
      <c r="H19" s="1293">
        <f>+G19*1</f>
        <v>10.67</v>
      </c>
      <c r="I19" s="1294" t="s">
        <v>1410</v>
      </c>
      <c r="J19" s="1295"/>
      <c r="K19" s="1295"/>
      <c r="L19" s="1295"/>
      <c r="M19" s="1296"/>
      <c r="N19" s="1296"/>
      <c r="O19" s="1295"/>
      <c r="P19" s="1295"/>
      <c r="Q19" s="1295"/>
      <c r="R19" s="1295"/>
      <c r="S19" s="1297"/>
      <c r="T19" s="1296"/>
      <c r="U19" s="14"/>
      <c r="Y19" s="21"/>
      <c r="Z19" s="21"/>
      <c r="AC19" s="21"/>
    </row>
    <row r="20" spans="2:29" x14ac:dyDescent="0.2">
      <c r="B20" s="113"/>
      <c r="C20" s="1590"/>
      <c r="D20" s="1282" t="s">
        <v>1435</v>
      </c>
      <c r="E20" s="11" t="s">
        <v>364</v>
      </c>
      <c r="F20" s="1298">
        <v>1976</v>
      </c>
      <c r="G20" s="1299">
        <v>13.09</v>
      </c>
      <c r="H20" s="1285">
        <f>+G20*2</f>
        <v>26.18</v>
      </c>
      <c r="I20" s="1300" t="s">
        <v>1415</v>
      </c>
      <c r="J20" s="1287">
        <f>'[8]VNR 2025'!I11*1000</f>
        <v>12203954.261928184</v>
      </c>
      <c r="K20" s="1287">
        <f>'[9]VNR 2025'!I11*1000</f>
        <v>6385499.4388067136</v>
      </c>
      <c r="L20" s="1287">
        <v>6365251.3720569806</v>
      </c>
      <c r="M20" s="1288">
        <f>J20/L20-1</f>
        <v>0.91727766094245866</v>
      </c>
      <c r="N20" s="1288">
        <f t="shared" ref="N20:N24" si="0">K20/L20-1</f>
        <v>3.1810317560467816E-3</v>
      </c>
      <c r="O20" s="1287">
        <v>5291307.4606879503</v>
      </c>
      <c r="P20" s="1287">
        <f>+O20*$P$10</f>
        <v>6703639.2151409695</v>
      </c>
      <c r="Q20" s="1287">
        <f>IFERROR(INDEX(AdicionesVNR_actualiz!$L:$L,MATCH(D20,AdicionesVNR_actualiz!$B:$B,0)),0)</f>
        <v>-0.10995556481482927</v>
      </c>
      <c r="R20" s="1287">
        <f>SUM(P20:Q20)</f>
        <v>6703639.1051854044</v>
      </c>
      <c r="S20" s="1289">
        <f>R20/O20-1</f>
        <v>0.26691543725070743</v>
      </c>
      <c r="T20" s="1288">
        <f>IF(ISNUMBER(J20),R20/J20-1,"")</f>
        <v>-0.45069942403026908</v>
      </c>
      <c r="U20" s="14"/>
      <c r="W20" s="1"/>
      <c r="X20" s="1"/>
      <c r="Y20" s="21"/>
      <c r="Z20" s="21"/>
      <c r="AC20" s="21"/>
    </row>
    <row r="21" spans="2:29" x14ac:dyDescent="0.2">
      <c r="B21" s="113"/>
      <c r="C21" s="1590"/>
      <c r="D21" s="440" t="s">
        <v>365</v>
      </c>
      <c r="E21" s="11" t="s">
        <v>366</v>
      </c>
      <c r="F21" s="1298">
        <v>1978</v>
      </c>
      <c r="G21" s="1299">
        <v>40.479999999999997</v>
      </c>
      <c r="H21" s="1285">
        <f>+G21*2</f>
        <v>80.959999999999994</v>
      </c>
      <c r="I21" s="1286" t="s">
        <v>1421</v>
      </c>
      <c r="J21" s="1287">
        <f>'[8]VNR 2025'!I12*1000</f>
        <v>30118121.422274753</v>
      </c>
      <c r="K21" s="1287">
        <f>'[9]VNR 2025'!I12*1000</f>
        <v>17923365.693365164</v>
      </c>
      <c r="L21" s="1287">
        <v>16336505.667489335</v>
      </c>
      <c r="M21" s="1288">
        <f>J21/L21-1</f>
        <v>0.84360854366865579</v>
      </c>
      <c r="N21" s="1288">
        <f t="shared" si="0"/>
        <v>9.7135829300006193E-2</v>
      </c>
      <c r="O21" s="1287">
        <v>13601353.423229374</v>
      </c>
      <c r="P21" s="1287">
        <f>+O21*$P$10</f>
        <v>17231764.902033817</v>
      </c>
      <c r="Q21" s="1287">
        <f>IFERROR(INDEX(AdicionesVNR_actualiz!$L:$L,MATCH(D21,AdicionesVNR_actualiz!$B:$B,0)),0)</f>
        <v>6275260.4966962896</v>
      </c>
      <c r="R21" s="1287">
        <f>SUM(P21:Q21)</f>
        <v>23507025.398730107</v>
      </c>
      <c r="S21" s="1289">
        <f>R21/O21-1</f>
        <v>0.72828575710584142</v>
      </c>
      <c r="T21" s="1288">
        <f>IF(ISNUMBER(J21),R21/J21-1,"")</f>
        <v>-0.21950559036710748</v>
      </c>
      <c r="U21" s="14"/>
      <c r="W21" s="1"/>
      <c r="X21" s="1"/>
      <c r="Y21" s="21"/>
      <c r="Z21" s="21"/>
      <c r="AC21" s="21"/>
    </row>
    <row r="22" spans="2:29" x14ac:dyDescent="0.2">
      <c r="B22" s="113"/>
      <c r="C22" s="1590"/>
      <c r="D22" s="440" t="s">
        <v>367</v>
      </c>
      <c r="E22" s="11" t="s">
        <v>368</v>
      </c>
      <c r="F22" s="1298">
        <v>1978</v>
      </c>
      <c r="G22" s="1299">
        <v>60.81</v>
      </c>
      <c r="H22" s="1285">
        <f>+G22*2</f>
        <v>121.62</v>
      </c>
      <c r="I22" s="1286" t="s">
        <v>1421</v>
      </c>
      <c r="J22" s="1287">
        <f>'[8]VNR 2025'!I13*1000</f>
        <v>45244144.359894462</v>
      </c>
      <c r="K22" s="1287">
        <f>'[9]VNR 2025'!I13*1000</f>
        <v>26924897.920294855</v>
      </c>
      <c r="L22" s="1287">
        <v>24541079.783597495</v>
      </c>
      <c r="M22" s="1288">
        <f>J22/L22-1</f>
        <v>0.84360854366865556</v>
      </c>
      <c r="N22" s="1288">
        <f t="shared" si="0"/>
        <v>9.7135829300006193E-2</v>
      </c>
      <c r="O22" s="1287">
        <v>20432270.298087407</v>
      </c>
      <c r="P22" s="1287">
        <f>+O22*$P$10</f>
        <v>25885959.083317105</v>
      </c>
      <c r="Q22" s="1287">
        <f>IFERROR(INDEX(AdicionesVNR_actualiz!$L:$L,MATCH(D22,AdicionesVNR_actualiz!$B:$B,0)),0)</f>
        <v>0</v>
      </c>
      <c r="R22" s="1287">
        <f>SUM(P22:Q22)</f>
        <v>25885959.083317105</v>
      </c>
      <c r="S22" s="1289">
        <f>R22/O22-1</f>
        <v>0.26691545803112238</v>
      </c>
      <c r="T22" s="1288">
        <f>IF(ISNUMBER(J22),R22/J22-1,"")</f>
        <v>-0.42786056738287959</v>
      </c>
      <c r="U22" s="14"/>
      <c r="W22" s="1"/>
      <c r="X22" s="1"/>
      <c r="Y22" s="21"/>
      <c r="Z22" s="21"/>
      <c r="AC22" s="21"/>
    </row>
    <row r="23" spans="2:29" x14ac:dyDescent="0.2">
      <c r="B23" s="113"/>
      <c r="C23" s="1590"/>
      <c r="D23" s="440" t="s">
        <v>369</v>
      </c>
      <c r="E23" s="11" t="s">
        <v>370</v>
      </c>
      <c r="F23" s="1298">
        <v>1978</v>
      </c>
      <c r="G23" s="1299">
        <v>81.93</v>
      </c>
      <c r="H23" s="1285">
        <f>+G23*2</f>
        <v>163.86</v>
      </c>
      <c r="I23" s="1286" t="s">
        <v>1421</v>
      </c>
      <c r="J23" s="1287">
        <f>'[8]VNR 2025'!I14*1000</f>
        <v>60957946.841081284</v>
      </c>
      <c r="K23" s="1287">
        <f>'[9]VNR 2025'!I14*1000</f>
        <v>36276219.151615806</v>
      </c>
      <c r="L23" s="1287">
        <v>33064474.044896275</v>
      </c>
      <c r="M23" s="1288">
        <f>J23/L23-1</f>
        <v>0.84360854366865556</v>
      </c>
      <c r="N23" s="1288">
        <f t="shared" si="0"/>
        <v>9.7135829300006193E-2</v>
      </c>
      <c r="O23" s="1287">
        <v>27528628.605859261</v>
      </c>
      <c r="P23" s="1287">
        <f>+O23*$P$10</f>
        <v>34876445.119160846</v>
      </c>
      <c r="Q23" s="1287">
        <f>IFERROR(INDEX(AdicionesVNR_actualiz!$L:$L,MATCH(D23,AdicionesVNR_actualiz!$B:$B,0)),0)</f>
        <v>2833318.8041851548</v>
      </c>
      <c r="R23" s="1287">
        <f>SUM(P23:Q23)</f>
        <v>37709763.923345998</v>
      </c>
      <c r="S23" s="1289">
        <f>R23/O23-1</f>
        <v>0.36983808613407487</v>
      </c>
      <c r="T23" s="1288">
        <f>IF(ISNUMBER(J23),R23/J23-1,"")</f>
        <v>-0.38138067507988438</v>
      </c>
      <c r="U23" s="14"/>
      <c r="W23" s="1"/>
      <c r="X23" s="1"/>
      <c r="Y23" s="21"/>
      <c r="Z23" s="21"/>
      <c r="AC23" s="21"/>
    </row>
    <row r="24" spans="2:29" ht="15" customHeight="1" x14ac:dyDescent="0.2">
      <c r="B24" s="113"/>
      <c r="C24" s="1590"/>
      <c r="D24" s="1301" t="s">
        <v>1434</v>
      </c>
      <c r="E24" s="1424" t="s">
        <v>371</v>
      </c>
      <c r="F24" s="1302">
        <v>1978</v>
      </c>
      <c r="G24" s="1303">
        <v>110.65</v>
      </c>
      <c r="H24" s="1277">
        <f>+G24*1</f>
        <v>110.65</v>
      </c>
      <c r="I24" s="1278" t="s">
        <v>1421</v>
      </c>
      <c r="J24" s="1279">
        <f>'[8]VNR 2025'!I15*1000</f>
        <v>61721318.186582148</v>
      </c>
      <c r="K24" s="1279">
        <f>'[9]VNR 2025'!I15*1000</f>
        <v>50316484.125346281</v>
      </c>
      <c r="L24" s="1279">
        <v>45861672.530965619</v>
      </c>
      <c r="M24" s="1280">
        <f>J24/L24-1</f>
        <v>0.34581481181062812</v>
      </c>
      <c r="N24" s="1280">
        <f t="shared" si="0"/>
        <v>9.7135829300006193E-2</v>
      </c>
      <c r="O24" s="1279">
        <v>38183246.121931471</v>
      </c>
      <c r="P24" s="1279">
        <f>+O24*$P$10</f>
        <v>48374944.74968189</v>
      </c>
      <c r="Q24" s="1279">
        <f>IFERROR(INDEX(AdicionesVNR_actualiz!$L:$L,MATCH(D24,AdicionesVNR_actualiz!$B:$B,0)),0)</f>
        <v>-0.30237785700293235</v>
      </c>
      <c r="R24" s="1279">
        <f>SUM(P24:Q26)</f>
        <v>48374944.447304033</v>
      </c>
      <c r="S24" s="1281">
        <f>R24/O24-1</f>
        <v>0.26691545011199858</v>
      </c>
      <c r="T24" s="1280">
        <f>IF(ISNUMBER(J24),R24/J24-1,"")</f>
        <v>-0.21623604503928984</v>
      </c>
      <c r="U24" s="14"/>
      <c r="W24" s="1"/>
      <c r="X24" s="1"/>
      <c r="Y24" s="21"/>
      <c r="Z24" s="21"/>
      <c r="AC24" s="21"/>
    </row>
    <row r="25" spans="2:29" ht="15" customHeight="1" x14ac:dyDescent="0.2">
      <c r="B25" s="113"/>
      <c r="C25" s="1590"/>
      <c r="D25" s="440" t="s">
        <v>372</v>
      </c>
      <c r="E25" s="11" t="s">
        <v>373</v>
      </c>
      <c r="F25" s="1298">
        <v>1978</v>
      </c>
      <c r="G25" s="1299">
        <v>107.97</v>
      </c>
      <c r="H25" s="1285">
        <f>+G25*1</f>
        <v>107.97</v>
      </c>
      <c r="I25" s="1286" t="s">
        <v>1421</v>
      </c>
      <c r="J25" s="1287"/>
      <c r="K25" s="1287"/>
      <c r="L25" s="1287"/>
      <c r="M25" s="1288"/>
      <c r="N25" s="1288"/>
      <c r="O25" s="1287"/>
      <c r="P25" s="1287"/>
      <c r="Q25" s="1287"/>
      <c r="R25" s="1287"/>
      <c r="S25" s="1289"/>
      <c r="T25" s="1288"/>
      <c r="U25" s="14"/>
      <c r="W25" s="1"/>
      <c r="X25" s="1"/>
      <c r="Y25" s="21"/>
      <c r="Z25" s="21"/>
      <c r="AC25" s="21"/>
    </row>
    <row r="26" spans="2:29" ht="15" customHeight="1" x14ac:dyDescent="0.2">
      <c r="B26" s="113"/>
      <c r="C26" s="1590"/>
      <c r="D26" s="1304" t="s">
        <v>374</v>
      </c>
      <c r="E26" s="1421" t="s">
        <v>375</v>
      </c>
      <c r="F26" s="1305">
        <v>1978</v>
      </c>
      <c r="G26" s="1306">
        <v>8.66</v>
      </c>
      <c r="H26" s="1293">
        <f>+G26*1</f>
        <v>8.66</v>
      </c>
      <c r="I26" s="1294" t="s">
        <v>1421</v>
      </c>
      <c r="J26" s="1295"/>
      <c r="K26" s="1295"/>
      <c r="L26" s="1295"/>
      <c r="M26" s="1296"/>
      <c r="N26" s="1296"/>
      <c r="O26" s="1295"/>
      <c r="P26" s="1295"/>
      <c r="Q26" s="1295"/>
      <c r="R26" s="1295"/>
      <c r="S26" s="1297"/>
      <c r="T26" s="1296"/>
      <c r="U26" s="14"/>
      <c r="W26" s="1"/>
      <c r="X26" s="1"/>
      <c r="Y26" s="21"/>
      <c r="Z26" s="21"/>
      <c r="AC26" s="21"/>
    </row>
    <row r="27" spans="2:29" x14ac:dyDescent="0.2">
      <c r="B27" s="113"/>
      <c r="C27" s="1590"/>
      <c r="D27" s="440" t="s">
        <v>1811</v>
      </c>
      <c r="E27" s="11" t="s">
        <v>377</v>
      </c>
      <c r="F27" s="1298">
        <v>1979</v>
      </c>
      <c r="G27" s="1299">
        <v>85.6</v>
      </c>
      <c r="H27" s="1285">
        <f t="shared" ref="H27:H33" si="1">+G27*2</f>
        <v>171.2</v>
      </c>
      <c r="I27" s="1286" t="s">
        <v>1812</v>
      </c>
      <c r="J27" s="1287">
        <f>'[8]VNR 2025'!I18*1000</f>
        <v>94578714.617443994</v>
      </c>
      <c r="K27" s="1287">
        <f>'[9]VNR 2025'!I18*1000</f>
        <v>37901188.323914483</v>
      </c>
      <c r="L27" s="1287">
        <v>45292347.605514526</v>
      </c>
      <c r="M27" s="1288">
        <f t="shared" ref="M27:M35" si="2">J27/L27-1</f>
        <v>1.0881830953255478</v>
      </c>
      <c r="N27" s="1288">
        <f t="shared" ref="N27:N35" si="3">K27/L27-1</f>
        <v>-0.16318781587510689</v>
      </c>
      <c r="O27" s="1287">
        <v>39616050.914236382</v>
      </c>
      <c r="P27" s="1287">
        <f t="shared" ref="P27:P35" si="4">+O27*$P$10</f>
        <v>50190187.289394051</v>
      </c>
      <c r="Q27" s="1287">
        <f>IFERROR(INDEX(AdicionesVNR_actualiz!$L:$L,MATCH(D27,AdicionesVNR_actualiz!$B:$B,0)),0)</f>
        <v>0</v>
      </c>
      <c r="R27" s="1287">
        <f t="shared" ref="R27:R34" si="5">SUM(P27:Q27)</f>
        <v>50190187.289394051</v>
      </c>
      <c r="S27" s="1289">
        <f t="shared" ref="S27:S35" si="6">R27/O27-1</f>
        <v>0.26691545803112238</v>
      </c>
      <c r="T27" s="1288">
        <f t="shared" ref="T27:T35" si="7">IF(ISNUMBER(J27),R27/J27-1,"")</f>
        <v>-0.46932893418560984</v>
      </c>
      <c r="U27" s="14"/>
      <c r="W27" s="1"/>
      <c r="X27" s="1"/>
      <c r="Y27" s="21"/>
      <c r="Z27" s="21"/>
      <c r="AC27" s="21"/>
    </row>
    <row r="28" spans="2:29" x14ac:dyDescent="0.2">
      <c r="B28" s="113"/>
      <c r="C28" s="1591"/>
      <c r="D28" s="1304" t="s">
        <v>378</v>
      </c>
      <c r="E28" s="1420" t="s">
        <v>379</v>
      </c>
      <c r="F28" s="1305">
        <v>1984</v>
      </c>
      <c r="G28" s="1306">
        <v>37.72</v>
      </c>
      <c r="H28" s="1293">
        <f t="shared" si="1"/>
        <v>75.44</v>
      </c>
      <c r="I28" s="1294" t="s">
        <v>1421</v>
      </c>
      <c r="J28" s="1287">
        <f>'[8]VNR 2025'!I19*1000</f>
        <v>28064613.143483289</v>
      </c>
      <c r="K28" s="1287">
        <f>'[9]VNR 2025'!I19*1000</f>
        <v>16701318.032453906</v>
      </c>
      <c r="L28" s="1295">
        <v>15222653.008342337</v>
      </c>
      <c r="M28" s="1296">
        <f t="shared" si="2"/>
        <v>0.84360854366865512</v>
      </c>
      <c r="N28" s="1296">
        <f t="shared" si="3"/>
        <v>9.7135829300006415E-2</v>
      </c>
      <c r="O28" s="1295">
        <v>14379459.392710263</v>
      </c>
      <c r="P28" s="1295">
        <f t="shared" si="4"/>
        <v>18217559.382755447</v>
      </c>
      <c r="Q28" s="1295">
        <f>IFERROR(INDEX(AdicionesVNR_actualiz!$L:$L,MATCH(D28,AdicionesVNR_actualiz!$B:$B,0)),0)</f>
        <v>478415.10980989167</v>
      </c>
      <c r="R28" s="1295">
        <f t="shared" si="5"/>
        <v>18695974.492565338</v>
      </c>
      <c r="S28" s="1297">
        <f t="shared" si="6"/>
        <v>0.30018618794830032</v>
      </c>
      <c r="T28" s="1296">
        <f t="shared" si="7"/>
        <v>-0.33382390140280216</v>
      </c>
      <c r="U28" s="14"/>
      <c r="W28" s="1"/>
      <c r="X28" s="1"/>
      <c r="Y28" s="21"/>
      <c r="Z28" s="21"/>
      <c r="AC28" s="21"/>
    </row>
    <row r="29" spans="2:29" x14ac:dyDescent="0.2">
      <c r="B29" s="113"/>
      <c r="C29" s="1592" t="s">
        <v>1433</v>
      </c>
      <c r="D29" s="1301" t="s">
        <v>380</v>
      </c>
      <c r="E29" s="1425" t="s">
        <v>1674</v>
      </c>
      <c r="F29" s="1301">
        <v>2006</v>
      </c>
      <c r="G29" s="1407">
        <v>14.75</v>
      </c>
      <c r="H29" s="1308">
        <f t="shared" si="1"/>
        <v>29.5</v>
      </c>
      <c r="I29" s="1278" t="s">
        <v>1425</v>
      </c>
      <c r="J29" s="1279">
        <f>'[8]VNR 2025'!I20*1000</f>
        <v>14219433.60281462</v>
      </c>
      <c r="K29" s="1279">
        <f>'[9]VNR 2025'!I20*1000</f>
        <v>8072346.8862500004</v>
      </c>
      <c r="L29" s="1279">
        <v>73832859.239131868</v>
      </c>
      <c r="M29" s="1280">
        <f t="shared" si="2"/>
        <v>-0.80741049785488683</v>
      </c>
      <c r="N29" s="1280">
        <f t="shared" si="3"/>
        <v>-0.89066728595590394</v>
      </c>
      <c r="O29" s="1279">
        <v>60898971.207499489</v>
      </c>
      <c r="P29" s="1279">
        <f t="shared" si="4"/>
        <v>77153848.000973344</v>
      </c>
      <c r="Q29" s="1279">
        <f>IFERROR(INDEX(AdicionesVNR_actualiz!$L:$L,MATCH(D29,AdicionesVNR_actualiz!$B:$B,0)),0)</f>
        <v>-1380618.0975216161</v>
      </c>
      <c r="R29" s="1279">
        <f t="shared" si="5"/>
        <v>75773229.903451726</v>
      </c>
      <c r="S29" s="1281">
        <f t="shared" si="6"/>
        <v>0.24424482714611973</v>
      </c>
      <c r="T29" s="1280">
        <f t="shared" si="7"/>
        <v>4.3288500808114492</v>
      </c>
      <c r="U29" s="14"/>
      <c r="W29" s="1"/>
      <c r="X29" s="1"/>
      <c r="Y29" s="21"/>
      <c r="Z29" s="21"/>
      <c r="AC29" s="21"/>
    </row>
    <row r="30" spans="2:29" x14ac:dyDescent="0.2">
      <c r="B30" s="113"/>
      <c r="C30" s="1593"/>
      <c r="D30" s="1282" t="s">
        <v>381</v>
      </c>
      <c r="E30" s="648" t="s">
        <v>1675</v>
      </c>
      <c r="F30" s="440">
        <v>2006</v>
      </c>
      <c r="G30" s="1408">
        <v>135.58000000000001</v>
      </c>
      <c r="H30" s="1310">
        <f t="shared" si="1"/>
        <v>271.16000000000003</v>
      </c>
      <c r="I30" s="1286" t="s">
        <v>1425</v>
      </c>
      <c r="J30" s="1287">
        <f>'[8]VNR 2025'!I21*1000</f>
        <v>122346190.19363216</v>
      </c>
      <c r="K30" s="1287">
        <f>'[9]VNR 2025'!I21*1000</f>
        <v>74199918.022900015</v>
      </c>
      <c r="L30" s="1287">
        <v>21807482.734849758</v>
      </c>
      <c r="M30" s="1288">
        <f t="shared" si="2"/>
        <v>4.6102848586973808</v>
      </c>
      <c r="N30" s="1288">
        <f t="shared" si="3"/>
        <v>2.4024980748614224</v>
      </c>
      <c r="O30" s="1287">
        <v>17987292.87831483</v>
      </c>
      <c r="P30" s="1287">
        <f t="shared" si="4"/>
        <v>22788379.395670179</v>
      </c>
      <c r="Q30" s="1287">
        <f>IFERROR(INDEX(AdicionesVNR_actualiz!$L:$L,MATCH(D30,AdicionesVNR_actualiz!$B:$B,0)),0)</f>
        <v>0</v>
      </c>
      <c r="R30" s="1287">
        <f t="shared" si="5"/>
        <v>22788379.395670179</v>
      </c>
      <c r="S30" s="1289">
        <f t="shared" si="6"/>
        <v>0.26691545803112238</v>
      </c>
      <c r="T30" s="1288">
        <f t="shared" si="7"/>
        <v>-0.81373854502862764</v>
      </c>
      <c r="U30" s="14"/>
      <c r="W30" s="1"/>
      <c r="X30" s="1"/>
      <c r="Y30" s="21"/>
      <c r="Z30" s="21"/>
      <c r="AC30" s="21"/>
    </row>
    <row r="31" spans="2:29" x14ac:dyDescent="0.2">
      <c r="B31" s="113"/>
      <c r="C31" s="1593"/>
      <c r="D31" s="440" t="s">
        <v>382</v>
      </c>
      <c r="E31" s="1" t="s">
        <v>383</v>
      </c>
      <c r="F31" s="440">
        <v>2004</v>
      </c>
      <c r="G31" s="1309">
        <v>68.2</v>
      </c>
      <c r="H31" s="1310">
        <f t="shared" si="1"/>
        <v>136.4</v>
      </c>
      <c r="I31" s="1286" t="s">
        <v>1425</v>
      </c>
      <c r="J31" s="1287">
        <f>'[8]VNR 2025'!I22*1000</f>
        <v>61029916.407297492</v>
      </c>
      <c r="K31" s="1287">
        <f>'[9]VNR 2025'!I22*1000</f>
        <v>37324342.891000003</v>
      </c>
      <c r="L31" s="1287">
        <v>33309525.700263243</v>
      </c>
      <c r="M31" s="1288">
        <f t="shared" si="2"/>
        <v>0.83220610694000885</v>
      </c>
      <c r="N31" s="1288">
        <f t="shared" si="3"/>
        <v>0.12053060217261002</v>
      </c>
      <c r="O31" s="1287">
        <v>27474431.675275955</v>
      </c>
      <c r="P31" s="1287">
        <f t="shared" si="4"/>
        <v>34807782.190027013</v>
      </c>
      <c r="Q31" s="1287">
        <f>IFERROR(INDEX(AdicionesVNR_actualiz!$L:$L,MATCH(D31,AdicionesVNR_actualiz!$B:$B,0)),0)</f>
        <v>1531163.5165630225</v>
      </c>
      <c r="R31" s="1287">
        <f t="shared" si="5"/>
        <v>36338945.706590034</v>
      </c>
      <c r="S31" s="1289">
        <f t="shared" si="6"/>
        <v>0.32264594718773343</v>
      </c>
      <c r="T31" s="1288">
        <f t="shared" si="7"/>
        <v>-0.4045715962631582</v>
      </c>
      <c r="U31" s="14"/>
      <c r="W31" s="1"/>
      <c r="X31" s="1"/>
      <c r="Y31" s="21"/>
      <c r="Z31" s="21"/>
      <c r="AC31" s="21"/>
    </row>
    <row r="32" spans="2:29" x14ac:dyDescent="0.2">
      <c r="B32" s="113"/>
      <c r="C32" s="1593"/>
      <c r="D32" s="440" t="s">
        <v>384</v>
      </c>
      <c r="E32" s="1" t="s">
        <v>385</v>
      </c>
      <c r="F32" s="440">
        <v>2004</v>
      </c>
      <c r="G32" s="1309">
        <v>42.89</v>
      </c>
      <c r="H32" s="1310">
        <f t="shared" si="1"/>
        <v>85.78</v>
      </c>
      <c r="I32" s="1286" t="s">
        <v>1425</v>
      </c>
      <c r="J32" s="1287">
        <f>'[8]VNR 2025'!I23*1000</f>
        <v>38380837.459076084</v>
      </c>
      <c r="K32" s="1287">
        <f>'[9]VNR 2025'!I23*1000</f>
        <v>23472742.911949996</v>
      </c>
      <c r="L32" s="1287">
        <v>20947882.07161716</v>
      </c>
      <c r="M32" s="1288">
        <f t="shared" si="2"/>
        <v>0.83220610694000885</v>
      </c>
      <c r="N32" s="1288">
        <f t="shared" si="3"/>
        <v>0.12053060217261002</v>
      </c>
      <c r="O32" s="1287">
        <v>17278275.286694802</v>
      </c>
      <c r="P32" s="1287">
        <f t="shared" si="4"/>
        <v>21890114.048830766</v>
      </c>
      <c r="Q32" s="1287">
        <f>IFERROR(INDEX(AdicionesVNR_actualiz!$L:$L,MATCH(D32,AdicionesVNR_actualiz!$B:$B,0)),0)</f>
        <v>0</v>
      </c>
      <c r="R32" s="1287">
        <f t="shared" si="5"/>
        <v>21890114.048830766</v>
      </c>
      <c r="S32" s="1289">
        <f t="shared" si="6"/>
        <v>0.26691545803112238</v>
      </c>
      <c r="T32" s="1288">
        <f t="shared" si="7"/>
        <v>-0.42966033317612473</v>
      </c>
      <c r="U32" s="14"/>
      <c r="W32" s="1"/>
      <c r="X32" s="1"/>
      <c r="Y32" s="21"/>
      <c r="Z32" s="21"/>
      <c r="AC32" s="21"/>
    </row>
    <row r="33" spans="1:29" x14ac:dyDescent="0.2">
      <c r="B33" s="113"/>
      <c r="C33" s="1594"/>
      <c r="D33" s="1304" t="s">
        <v>386</v>
      </c>
      <c r="E33" s="1421" t="s">
        <v>387</v>
      </c>
      <c r="F33" s="1304">
        <v>2004</v>
      </c>
      <c r="G33" s="1311">
        <v>84.81</v>
      </c>
      <c r="H33" s="1312">
        <f t="shared" si="1"/>
        <v>169.62</v>
      </c>
      <c r="I33" s="1294" t="s">
        <v>1425</v>
      </c>
      <c r="J33" s="1295">
        <f>'[8]VNR 2025'!I24*1000</f>
        <v>75893654.112945765</v>
      </c>
      <c r="K33" s="1295">
        <f>'[9]VNR 2025'!I24*1000</f>
        <v>46414626.401549995</v>
      </c>
      <c r="L33" s="1295">
        <v>41422006.959520906</v>
      </c>
      <c r="M33" s="1296">
        <f t="shared" si="2"/>
        <v>0.83220610694000907</v>
      </c>
      <c r="N33" s="1296">
        <f t="shared" si="3"/>
        <v>0.1205306021726098</v>
      </c>
      <c r="O33" s="1295">
        <v>34165785.196189933</v>
      </c>
      <c r="P33" s="1295">
        <f t="shared" si="4"/>
        <v>43285161.400823906</v>
      </c>
      <c r="Q33" s="1295">
        <f>IFERROR(INDEX(AdicionesVNR_actualiz!$L:$L,MATCH(D33,AdicionesVNR_actualiz!$B:$B,0)),0)</f>
        <v>1368403.775763076</v>
      </c>
      <c r="R33" s="1295">
        <f t="shared" si="5"/>
        <v>44653565.176586986</v>
      </c>
      <c r="S33" s="1297">
        <f t="shared" si="6"/>
        <v>0.30696733355235817</v>
      </c>
      <c r="T33" s="1296">
        <f t="shared" si="7"/>
        <v>-0.41162979041524261</v>
      </c>
      <c r="U33" s="14"/>
      <c r="W33" s="1"/>
      <c r="X33" s="1"/>
      <c r="Y33" s="21"/>
      <c r="Z33" s="21"/>
      <c r="AC33" s="21"/>
    </row>
    <row r="34" spans="1:29" x14ac:dyDescent="0.2">
      <c r="B34" s="113"/>
      <c r="C34" s="1595" t="s">
        <v>1432</v>
      </c>
      <c r="D34" s="1301" t="s">
        <v>1431</v>
      </c>
      <c r="E34" s="1424" t="s">
        <v>388</v>
      </c>
      <c r="F34" s="1301"/>
      <c r="G34" s="1307">
        <v>16.41</v>
      </c>
      <c r="H34" s="1308">
        <f>+G34</f>
        <v>16.41</v>
      </c>
      <c r="I34" s="1278" t="s">
        <v>1425</v>
      </c>
      <c r="J34" s="1279">
        <f>'[8]VNR 2025'!I25*1000</f>
        <v>10883799.646593206</v>
      </c>
      <c r="K34" s="1279">
        <f>'[9]VNR 2025'!I25*1000</f>
        <v>8419459.1392799988</v>
      </c>
      <c r="L34" s="1279">
        <v>8014799.365708502</v>
      </c>
      <c r="M34" s="1280">
        <f t="shared" si="2"/>
        <v>0.35796283225251835</v>
      </c>
      <c r="N34" s="1280">
        <f t="shared" si="3"/>
        <v>5.0489070918336765E-2</v>
      </c>
      <c r="O34" s="1279">
        <v>6610783.3400480701</v>
      </c>
      <c r="P34" s="1279">
        <f t="shared" si="4"/>
        <v>8375303.6032015141</v>
      </c>
      <c r="Q34" s="1279">
        <f>IFERROR(INDEX(AdicionesVNR_actualiz!$L:$L,MATCH(D34,AdicionesVNR_actualiz!$B:$B,0)),0)</f>
        <v>0.22907409179972058</v>
      </c>
      <c r="R34" s="1279">
        <f t="shared" si="5"/>
        <v>8375303.8322756058</v>
      </c>
      <c r="S34" s="1281">
        <f t="shared" si="6"/>
        <v>0.26691549268270309</v>
      </c>
      <c r="T34" s="1280">
        <f t="shared" si="7"/>
        <v>-0.23047978608305209</v>
      </c>
      <c r="U34" s="14"/>
      <c r="W34" s="1"/>
      <c r="X34" s="1"/>
      <c r="Y34" s="21"/>
      <c r="Z34" s="21"/>
      <c r="AC34" s="21"/>
    </row>
    <row r="35" spans="1:29" x14ac:dyDescent="0.2">
      <c r="B35" s="113"/>
      <c r="C35" s="1596"/>
      <c r="D35" s="440" t="s">
        <v>1430</v>
      </c>
      <c r="E35" s="1426" t="s">
        <v>389</v>
      </c>
      <c r="F35" s="1301">
        <v>2009</v>
      </c>
      <c r="G35" s="1307">
        <v>97.43</v>
      </c>
      <c r="H35" s="1308">
        <v>97.43</v>
      </c>
      <c r="I35" s="1278" t="s">
        <v>1421</v>
      </c>
      <c r="J35" s="1279">
        <f>'[8]VNR 2025'!I26*1000</f>
        <v>66815879.64900858</v>
      </c>
      <c r="K35" s="1279">
        <f>'[9]VNR 2025'!I26*1000</f>
        <v>54501782.492699996</v>
      </c>
      <c r="L35" s="1279">
        <v>46631691.494128108</v>
      </c>
      <c r="M35" s="1280">
        <f t="shared" si="2"/>
        <v>0.43284271936440644</v>
      </c>
      <c r="N35" s="1280">
        <f t="shared" si="3"/>
        <v>0.16877129579489725</v>
      </c>
      <c r="O35" s="1279">
        <v>39245755.782732472</v>
      </c>
      <c r="P35" s="1279">
        <f t="shared" si="4"/>
        <v>49721054.663258076</v>
      </c>
      <c r="Q35" s="1279">
        <f>IFERROR(INDEX(AdicionesVNR_actualiz!$L:$L,MATCH(D35,AdicionesVNR_actualiz!$B:$B,0)),0)</f>
        <v>511242.92667394091</v>
      </c>
      <c r="R35" s="1279">
        <f>SUM(P35:Q38)</f>
        <v>50232297.589932017</v>
      </c>
      <c r="S35" s="1281">
        <f t="shared" si="6"/>
        <v>0.27994216414182183</v>
      </c>
      <c r="T35" s="1280">
        <f t="shared" si="7"/>
        <v>-0.24819821494818306</v>
      </c>
      <c r="U35" s="14"/>
      <c r="W35" s="1"/>
      <c r="X35" s="1"/>
      <c r="Y35" s="21"/>
      <c r="Z35" s="21"/>
      <c r="AC35" s="21"/>
    </row>
    <row r="36" spans="1:29" x14ac:dyDescent="0.2">
      <c r="B36" s="113"/>
      <c r="C36" s="1596"/>
      <c r="D36" s="440" t="s">
        <v>1429</v>
      </c>
      <c r="E36" s="1" t="s">
        <v>390</v>
      </c>
      <c r="F36" s="440">
        <v>2009</v>
      </c>
      <c r="G36" s="1239">
        <f>8.5+16.16</f>
        <v>24.66</v>
      </c>
      <c r="H36" s="1310">
        <f>+G36*1</f>
        <v>24.66</v>
      </c>
      <c r="I36" s="1286" t="s">
        <v>1421</v>
      </c>
      <c r="J36" s="1287"/>
      <c r="K36" s="1287"/>
      <c r="L36" s="1287"/>
      <c r="M36" s="1288"/>
      <c r="N36" s="1288"/>
      <c r="O36" s="1287"/>
      <c r="P36" s="1287"/>
      <c r="Q36" s="1287"/>
      <c r="R36" s="1287"/>
      <c r="S36" s="1289"/>
      <c r="T36" s="1288"/>
      <c r="U36" s="14"/>
      <c r="W36" s="1"/>
      <c r="X36" s="1"/>
      <c r="Y36" s="21"/>
      <c r="Z36" s="21"/>
      <c r="AC36" s="21"/>
    </row>
    <row r="37" spans="1:29" x14ac:dyDescent="0.2">
      <c r="B37" s="113"/>
      <c r="C37" s="1596"/>
      <c r="D37" s="440" t="s">
        <v>1428</v>
      </c>
      <c r="E37" s="11" t="s">
        <v>391</v>
      </c>
      <c r="F37" s="440">
        <v>2012</v>
      </c>
      <c r="G37" s="1239">
        <v>45.57</v>
      </c>
      <c r="H37" s="1310">
        <v>45.57</v>
      </c>
      <c r="I37" s="1300" t="s">
        <v>1427</v>
      </c>
      <c r="J37" s="1287"/>
      <c r="K37" s="1287"/>
      <c r="L37" s="1287"/>
      <c r="M37" s="1288"/>
      <c r="N37" s="1288"/>
      <c r="O37" s="1287"/>
      <c r="P37" s="1287"/>
      <c r="Q37" s="1287"/>
      <c r="R37" s="1287"/>
      <c r="S37" s="1289"/>
      <c r="T37" s="1288"/>
      <c r="U37" s="14"/>
      <c r="W37" s="1"/>
      <c r="X37" s="1"/>
      <c r="Y37" s="21"/>
      <c r="Z37" s="21"/>
      <c r="AC37" s="21"/>
    </row>
    <row r="38" spans="1:29" x14ac:dyDescent="0.2">
      <c r="B38" s="113"/>
      <c r="C38" s="1597"/>
      <c r="D38" s="1304" t="s">
        <v>1426</v>
      </c>
      <c r="E38" s="1420" t="s">
        <v>392</v>
      </c>
      <c r="F38" s="1304">
        <v>2012</v>
      </c>
      <c r="G38" s="1313">
        <v>78.38</v>
      </c>
      <c r="H38" s="1312">
        <f>+G38*1</f>
        <v>78.38</v>
      </c>
      <c r="I38" s="1294" t="s">
        <v>1421</v>
      </c>
      <c r="J38" s="1295"/>
      <c r="K38" s="1295"/>
      <c r="L38" s="1295"/>
      <c r="M38" s="1296"/>
      <c r="N38" s="1296"/>
      <c r="O38" s="1295"/>
      <c r="P38" s="1295"/>
      <c r="Q38" s="1295"/>
      <c r="R38" s="1295"/>
      <c r="S38" s="1297"/>
      <c r="T38" s="1296"/>
      <c r="U38" s="14"/>
      <c r="W38" s="1"/>
      <c r="X38" s="1"/>
      <c r="Y38" s="21"/>
      <c r="Z38" s="21"/>
      <c r="AC38" s="21"/>
    </row>
    <row r="39" spans="1:29" x14ac:dyDescent="0.2">
      <c r="B39" s="113"/>
      <c r="C39" s="1606" t="s">
        <v>1684</v>
      </c>
      <c r="D39" s="440" t="s">
        <v>1808</v>
      </c>
      <c r="E39" s="648" t="s">
        <v>1685</v>
      </c>
      <c r="F39" s="440"/>
      <c r="G39" s="1408">
        <v>50.7</v>
      </c>
      <c r="H39" s="1310">
        <f>+G39*2</f>
        <v>101.4</v>
      </c>
      <c r="I39" s="1286" t="s">
        <v>1425</v>
      </c>
      <c r="J39" s="1287">
        <f>'[8]VNR 2025'!I30*1000</f>
        <v>45844026.650232419</v>
      </c>
      <c r="K39" s="1287">
        <f>'[9]VNR 2025'!I30*1000</f>
        <v>27746982.178499997</v>
      </c>
      <c r="L39" s="1287">
        <v>24288602.830998398</v>
      </c>
      <c r="M39" s="1409">
        <f>J39/L39-1</f>
        <v>0.88747071905362329</v>
      </c>
      <c r="N39" s="1409">
        <f>K39/L39-1</f>
        <v>0.14238691997086939</v>
      </c>
      <c r="O39" s="1287">
        <v>20033775.47230899</v>
      </c>
      <c r="P39" s="1287">
        <f>+O39*$P$10</f>
        <v>25381099.828593008</v>
      </c>
      <c r="Q39" s="1287">
        <f>IFERROR(INDEX(AdicionesVNR_actualiz!$L:$L,MATCH(D39,AdicionesVNR_actualiz!$B:$B,0)),0)</f>
        <v>0</v>
      </c>
      <c r="R39" s="1287">
        <f>SUM(P39:Q39)</f>
        <v>25381099.828593008</v>
      </c>
      <c r="S39" s="1410">
        <f>R39/O39-1</f>
        <v>0.26691545803112238</v>
      </c>
      <c r="T39" s="1409">
        <f>IF(ISNUMBER(J39),R39/J39-1,"")</f>
        <v>-0.44635971830663068</v>
      </c>
      <c r="U39" s="14"/>
      <c r="AC39" s="21"/>
    </row>
    <row r="40" spans="1:29" x14ac:dyDescent="0.2">
      <c r="B40" s="113"/>
      <c r="C40" s="1607"/>
      <c r="D40" s="1411"/>
      <c r="E40" s="648"/>
      <c r="F40" s="1411"/>
      <c r="G40" s="1408"/>
      <c r="H40" s="1310"/>
      <c r="I40" s="1286"/>
      <c r="J40" s="1287"/>
      <c r="K40" s="1287"/>
      <c r="L40" s="1287"/>
      <c r="M40" s="1409"/>
      <c r="N40" s="1409"/>
      <c r="O40" s="1287"/>
      <c r="P40" s="1287"/>
      <c r="Q40" s="1287"/>
      <c r="R40" s="1287"/>
      <c r="S40" s="1410"/>
      <c r="T40" s="1409" t="str">
        <f>IF(ISNUMBER(J40),R40/J40-1,"")</f>
        <v/>
      </c>
      <c r="U40" s="1132"/>
      <c r="AC40" s="21"/>
    </row>
    <row r="41" spans="1:29" x14ac:dyDescent="0.2">
      <c r="B41" s="113"/>
      <c r="C41" s="1607"/>
      <c r="D41" s="440"/>
      <c r="E41" s="1"/>
      <c r="F41" s="1411"/>
      <c r="G41" s="1408"/>
      <c r="H41" s="1310"/>
      <c r="I41" s="1286"/>
      <c r="J41" s="1287"/>
      <c r="K41" s="1287"/>
      <c r="L41" s="1287"/>
      <c r="M41" s="1409"/>
      <c r="N41" s="1409"/>
      <c r="O41" s="1287"/>
      <c r="P41" s="1287"/>
      <c r="Q41" s="1287"/>
      <c r="R41" s="1287"/>
      <c r="S41" s="1410"/>
      <c r="T41" s="1409"/>
      <c r="U41" s="14"/>
      <c r="AC41" s="21"/>
    </row>
    <row r="42" spans="1:29" x14ac:dyDescent="0.2">
      <c r="B42" s="113"/>
      <c r="C42" s="1607"/>
      <c r="D42" s="440"/>
      <c r="E42" s="1"/>
      <c r="F42" s="1411"/>
      <c r="G42" s="1408"/>
      <c r="H42" s="1310"/>
      <c r="I42" s="1286"/>
      <c r="J42" s="1287"/>
      <c r="K42" s="1287"/>
      <c r="L42" s="1287"/>
      <c r="M42" s="1409"/>
      <c r="N42" s="1409"/>
      <c r="O42" s="1287"/>
      <c r="P42" s="1287"/>
      <c r="Q42" s="1287"/>
      <c r="R42" s="1287"/>
      <c r="S42" s="1410"/>
      <c r="T42" s="1409"/>
      <c r="U42" s="14"/>
      <c r="AC42" s="21"/>
    </row>
    <row r="43" spans="1:29" x14ac:dyDescent="0.2">
      <c r="B43" s="113"/>
      <c r="C43" s="1608"/>
      <c r="D43" s="1411" t="s">
        <v>1703</v>
      </c>
      <c r="E43" s="648" t="s">
        <v>1704</v>
      </c>
      <c r="F43" s="1411">
        <v>2024</v>
      </c>
      <c r="G43" s="1408">
        <v>46</v>
      </c>
      <c r="H43" s="1412">
        <f>+G43*2</f>
        <v>92</v>
      </c>
      <c r="I43" s="1300" t="s">
        <v>1425</v>
      </c>
      <c r="J43" s="1287">
        <f>'[8]VNR 2025'!I34*1000</f>
        <v>43714243.643643461</v>
      </c>
      <c r="K43" s="1287">
        <f>'[9]VNR 2025'!I34*1000</f>
        <v>39360794.240000002</v>
      </c>
      <c r="L43" s="1287"/>
      <c r="M43" s="1409"/>
      <c r="N43" s="1409"/>
      <c r="O43" s="1287"/>
      <c r="P43" s="1287"/>
      <c r="Q43" s="1287"/>
      <c r="R43" s="1314">
        <f>Sabanitas_PanamaIII!C6*(1+7%)</f>
        <v>41657165.891800001</v>
      </c>
      <c r="S43" s="1410"/>
      <c r="T43" s="1409">
        <f>IF(ISNUMBER(J43),R43/J43-1,"")</f>
        <v>-4.7057379480534234E-2</v>
      </c>
      <c r="U43" s="1132"/>
      <c r="AC43" s="21"/>
    </row>
    <row r="44" spans="1:29" x14ac:dyDescent="0.2">
      <c r="A44" s="407"/>
      <c r="B44" s="113"/>
      <c r="C44" s="1592" t="s">
        <v>1424</v>
      </c>
      <c r="D44" s="1427" t="s">
        <v>1681</v>
      </c>
      <c r="E44" s="1425" t="s">
        <v>1682</v>
      </c>
      <c r="F44" s="1301"/>
      <c r="G44" s="1407">
        <v>2.48</v>
      </c>
      <c r="H44" s="1308">
        <v>7.28</v>
      </c>
      <c r="I44" s="1278" t="s">
        <v>1425</v>
      </c>
      <c r="J44" s="1279">
        <f>'[8]VNR 2025'!I35*1000</f>
        <v>2708250.0488409121</v>
      </c>
      <c r="K44" s="1279">
        <f>'[9]VNR 2025'!I35*1000</f>
        <v>1357248.8324000002</v>
      </c>
      <c r="L44" s="1279">
        <v>18593748.437082428</v>
      </c>
      <c r="M44" s="1552">
        <f>SUM(J45,J44)/L44-1</f>
        <v>0.89735234870732916</v>
      </c>
      <c r="N44" s="1552">
        <f>SUM(K45,K44)/L44-1</f>
        <v>0.11258357662528651</v>
      </c>
      <c r="O44" s="1279">
        <v>15336533.927826326</v>
      </c>
      <c r="P44" s="1279">
        <f>+O44*$P$10</f>
        <v>19430091.90578194</v>
      </c>
      <c r="Q44" s="1279">
        <f>IFERROR(INDEX(AdicionesVNR_actualiz!$L:$L,MATCH(D44,AdicionesVNR_actualiz!$B:$B,0)),0)</f>
        <v>0</v>
      </c>
      <c r="R44" s="1551">
        <f>K44</f>
        <v>1357248.8324000002</v>
      </c>
      <c r="S44" s="1281">
        <f>R44/O44-1</f>
        <v>-0.91150224432800731</v>
      </c>
      <c r="T44" s="1280">
        <f>IF(ISNUMBER(J44),R44/J44-1,"")</f>
        <v>-0.49884655850707693</v>
      </c>
      <c r="U44" s="14"/>
      <c r="AC44" s="21"/>
    </row>
    <row r="45" spans="1:29" x14ac:dyDescent="0.2">
      <c r="A45" s="407"/>
      <c r="B45" s="113"/>
      <c r="C45" s="1593"/>
      <c r="D45" s="1411" t="s">
        <v>1683</v>
      </c>
      <c r="E45" s="648" t="s">
        <v>394</v>
      </c>
      <c r="F45" s="440"/>
      <c r="G45" s="1408">
        <v>35.32</v>
      </c>
      <c r="H45" s="1310">
        <v>72.959999999999994</v>
      </c>
      <c r="I45" s="1286" t="s">
        <v>1425</v>
      </c>
      <c r="J45" s="1287">
        <f>'[8]VNR 2025'!I36*1000</f>
        <v>32570642.219530661</v>
      </c>
      <c r="K45" s="1287">
        <f>'[9]VNR 2025'!I36*1000</f>
        <v>19329850.306599997</v>
      </c>
      <c r="L45" s="1287"/>
      <c r="M45" s="1288"/>
      <c r="N45" s="1288"/>
      <c r="O45" s="1287"/>
      <c r="P45" s="1287"/>
      <c r="Q45" s="1287">
        <f>IFERROR(INDEX(AdicionesVNR_actualiz!$L:$L,MATCH(D45,AdicionesVNR_actualiz!$B:$B,0)),0)</f>
        <v>210155.31216983209</v>
      </c>
      <c r="R45" s="1314">
        <f t="shared" ref="R45:R49" si="8">K45</f>
        <v>19329850.306599997</v>
      </c>
      <c r="S45" s="1289"/>
      <c r="T45" s="1288"/>
      <c r="U45" s="14"/>
      <c r="AC45" s="21"/>
    </row>
    <row r="46" spans="1:29" x14ac:dyDescent="0.2">
      <c r="A46" s="407"/>
      <c r="B46" s="113"/>
      <c r="C46" s="1593"/>
      <c r="D46" s="1411" t="s">
        <v>1676</v>
      </c>
      <c r="E46" s="1" t="s">
        <v>395</v>
      </c>
      <c r="F46" s="440"/>
      <c r="G46" s="1239">
        <v>156.19</v>
      </c>
      <c r="H46" s="1310">
        <f>+G46*2</f>
        <v>312.38</v>
      </c>
      <c r="I46" s="1286" t="s">
        <v>1425</v>
      </c>
      <c r="J46" s="1287">
        <f>'[8]VNR 2025'!I37*1000</f>
        <v>103591753.00435059</v>
      </c>
      <c r="K46" s="1287">
        <f>'[9]VNR 2025'!I37*1000</f>
        <v>80136217.121520028</v>
      </c>
      <c r="L46" s="1287">
        <v>76284674.767215759</v>
      </c>
      <c r="M46" s="1288">
        <f>J46/L46-1</f>
        <v>0.35796283225251901</v>
      </c>
      <c r="N46" s="1288">
        <f>K46/L46-1</f>
        <v>5.0489070918337431E-2</v>
      </c>
      <c r="O46" s="1287">
        <v>62921282.747233883</v>
      </c>
      <c r="P46" s="1287">
        <f>+O46*$P$10</f>
        <v>79715945.751617566</v>
      </c>
      <c r="Q46" s="1287">
        <f>IFERROR(INDEX(AdicionesVNR_actualiz!$L:$L,MATCH(D46,AdicionesVNR_actualiz!$B:$B,0)),0)</f>
        <v>28.437891390031837</v>
      </c>
      <c r="R46" s="1314">
        <f t="shared" si="8"/>
        <v>80136217.121520028</v>
      </c>
      <c r="S46" s="1289">
        <f>R46/O46-1</f>
        <v>0.27359477783441943</v>
      </c>
      <c r="T46" s="1288">
        <f>IF(ISNUMBER(J46),R46/J46-1,"")</f>
        <v>-0.22642281072167481</v>
      </c>
      <c r="U46" s="14"/>
      <c r="AC46" s="21"/>
    </row>
    <row r="47" spans="1:29" x14ac:dyDescent="0.2">
      <c r="A47" s="407"/>
      <c r="B47" s="113"/>
      <c r="C47" s="1593"/>
      <c r="D47" s="1411" t="s">
        <v>1677</v>
      </c>
      <c r="E47" s="648" t="s">
        <v>1678</v>
      </c>
      <c r="F47" s="440"/>
      <c r="G47" s="1239">
        <v>95.2</v>
      </c>
      <c r="H47" s="1310">
        <f>+G47</f>
        <v>95.2</v>
      </c>
      <c r="I47" s="1286" t="s">
        <v>1425</v>
      </c>
      <c r="J47" s="1287">
        <f>'[8]VNR 2025'!I38*1000</f>
        <v>51705996.93208921</v>
      </c>
      <c r="K47" s="1287">
        <f>'[9]VNR 2025'!I38*1000</f>
        <v>48844150.521599993</v>
      </c>
      <c r="L47" s="1287"/>
      <c r="M47" s="1288"/>
      <c r="N47" s="1288"/>
      <c r="O47" s="1287"/>
      <c r="P47" s="1287"/>
      <c r="Q47" s="1287"/>
      <c r="R47" s="1314">
        <f t="shared" si="8"/>
        <v>48844150.521599993</v>
      </c>
      <c r="S47" s="1289"/>
      <c r="T47" s="1288"/>
      <c r="U47" s="14"/>
      <c r="AC47" s="21"/>
    </row>
    <row r="48" spans="1:29" x14ac:dyDescent="0.2">
      <c r="A48" s="407"/>
      <c r="B48" s="113"/>
      <c r="C48" s="1593"/>
      <c r="D48" s="1411" t="s">
        <v>1679</v>
      </c>
      <c r="E48" s="648" t="s">
        <v>1680</v>
      </c>
      <c r="F48" s="440"/>
      <c r="G48" s="1239">
        <v>60.99</v>
      </c>
      <c r="H48" s="1310">
        <f>+G48</f>
        <v>60.99</v>
      </c>
      <c r="I48" s="1286" t="s">
        <v>1425</v>
      </c>
      <c r="J48" s="1287">
        <f>'[8]VNR 2025'!I39*1000</f>
        <v>22604454.652620222</v>
      </c>
      <c r="K48" s="1287">
        <f>'[9]VNR 2025'!I39*1000</f>
        <v>31292066.599920005</v>
      </c>
      <c r="L48" s="1287"/>
      <c r="M48" s="1288"/>
      <c r="N48" s="1288"/>
      <c r="O48" s="1287"/>
      <c r="P48" s="1287"/>
      <c r="Q48" s="1287"/>
      <c r="R48" s="1314">
        <f t="shared" si="8"/>
        <v>31292066.599920005</v>
      </c>
      <c r="S48" s="1289"/>
      <c r="T48" s="1288"/>
      <c r="U48" s="14"/>
      <c r="AC48" s="21"/>
    </row>
    <row r="49" spans="1:29" x14ac:dyDescent="0.2">
      <c r="A49" s="407"/>
      <c r="B49" s="113"/>
      <c r="C49" s="1593"/>
      <c r="D49" s="440" t="s">
        <v>396</v>
      </c>
      <c r="E49" s="1" t="s">
        <v>397</v>
      </c>
      <c r="F49" s="440"/>
      <c r="G49" s="1239">
        <v>111.38</v>
      </c>
      <c r="H49" s="1310">
        <f>+G49*2</f>
        <v>222.76</v>
      </c>
      <c r="I49" s="1286" t="s">
        <v>1425</v>
      </c>
      <c r="J49" s="1287">
        <f>'[8]VNR 2025'!I40*1000</f>
        <v>99670265.241126046</v>
      </c>
      <c r="K49" s="1287">
        <f>'[9]VNR 2025'!I40*1000</f>
        <v>60955796.351899989</v>
      </c>
      <c r="L49" s="1287">
        <v>54399046.517526679</v>
      </c>
      <c r="M49" s="1288">
        <f>J49/L49-1</f>
        <v>0.83220610694000974</v>
      </c>
      <c r="N49" s="1288">
        <f t="shared" ref="N49:N50" si="9">K49/L49-1</f>
        <v>0.12053060217261002</v>
      </c>
      <c r="O49" s="1287">
        <v>44869533.724226326</v>
      </c>
      <c r="P49" s="1287">
        <f>+O49*$P$10</f>
        <v>56845905.869871087</v>
      </c>
      <c r="Q49" s="1287">
        <f>IFERROR(INDEX(AdicionesVNR_actualiz!$L:$L,MATCH(D49,AdicionesVNR_actualiz!$B:$B,0)),0)</f>
        <v>4906620.0833518505</v>
      </c>
      <c r="R49" s="1314">
        <f t="shared" si="8"/>
        <v>60955796.351899989</v>
      </c>
      <c r="S49" s="1289">
        <f>R49/O49-1</f>
        <v>0.3585119187228869</v>
      </c>
      <c r="T49" s="1288">
        <f>IF(ISNUMBER(J49),R49/J49-1,"")</f>
        <v>-0.38842546265495093</v>
      </c>
      <c r="U49" s="14"/>
      <c r="AC49" s="21"/>
    </row>
    <row r="50" spans="1:29" ht="13.5" thickBot="1" x14ac:dyDescent="0.25">
      <c r="B50" s="113"/>
      <c r="C50" s="1315" t="s">
        <v>1413</v>
      </c>
      <c r="D50" s="1316"/>
      <c r="E50" s="1317"/>
      <c r="F50" s="1316"/>
      <c r="G50" s="1318" t="s">
        <v>467</v>
      </c>
      <c r="H50" s="1319">
        <f>SUM(H16:H49)</f>
        <v>2927.51</v>
      </c>
      <c r="I50" s="1320" t="s">
        <v>467</v>
      </c>
      <c r="J50" s="1321">
        <f>SUM(J16:J49)</f>
        <v>1162952447.3141165</v>
      </c>
      <c r="K50" s="1321">
        <f>SUM(K16:K49)</f>
        <v>787576644.48767555</v>
      </c>
      <c r="L50" s="1321">
        <f>SUM(L16:L49)</f>
        <v>634686135.95682037</v>
      </c>
      <c r="M50" s="1322">
        <f>J50/L50-1</f>
        <v>0.8323268485468156</v>
      </c>
      <c r="N50" s="1322">
        <f t="shared" si="9"/>
        <v>0.24089152081503284</v>
      </c>
      <c r="O50" s="1321">
        <f>SUM(O16:O49)</f>
        <v>532108923.31673121</v>
      </c>
      <c r="P50" s="1321">
        <f>SUM(P16:P49)</f>
        <v>674137020.3062638</v>
      </c>
      <c r="Q50" s="1321">
        <f>SUM(Q16:Q49)</f>
        <v>16793699.44564762</v>
      </c>
      <c r="R50" s="1321">
        <f>SUM(R16:R49)</f>
        <v>813394468.01696789</v>
      </c>
      <c r="S50" s="1322">
        <f>R50/O50-1</f>
        <v>0.52862399477710875</v>
      </c>
      <c r="T50" s="1322">
        <f>IF(ISNUMBER(J50),R50/J50-1,"")</f>
        <v>-0.30057805037898688</v>
      </c>
      <c r="U50" s="14"/>
      <c r="AC50" s="21"/>
    </row>
    <row r="51" spans="1:29" x14ac:dyDescent="0.2">
      <c r="B51" s="113"/>
      <c r="C51" s="1323" t="s">
        <v>1423</v>
      </c>
      <c r="D51" s="1324"/>
      <c r="E51" s="717"/>
      <c r="F51" s="1325"/>
      <c r="G51" s="1326"/>
      <c r="H51" s="1327"/>
      <c r="I51" s="1328"/>
      <c r="J51" s="1329"/>
      <c r="K51" s="1273"/>
      <c r="L51" s="1273"/>
      <c r="M51" s="1273"/>
      <c r="N51" s="1273"/>
      <c r="O51" s="1273"/>
      <c r="P51" s="1273"/>
      <c r="Q51" s="1273"/>
      <c r="R51" s="1273"/>
      <c r="S51" s="1273" t="str">
        <f>IF(ISNUMBER(R51),R51/O51-1,"")</f>
        <v/>
      </c>
      <c r="T51" s="1273" t="str">
        <f>IF(ISNUMBER(R51),J51/R51-1,"")</f>
        <v/>
      </c>
      <c r="U51" s="14"/>
      <c r="AC51" s="21"/>
    </row>
    <row r="52" spans="1:29" ht="14.25" customHeight="1" x14ac:dyDescent="0.2">
      <c r="B52" s="113"/>
      <c r="C52" s="1603" t="s">
        <v>1422</v>
      </c>
      <c r="D52" s="1274" t="s">
        <v>398</v>
      </c>
      <c r="E52" s="1419" t="s">
        <v>399</v>
      </c>
      <c r="F52" s="1301">
        <v>1986</v>
      </c>
      <c r="G52" s="1307">
        <v>24.17</v>
      </c>
      <c r="H52" s="1330">
        <f>+G52</f>
        <v>24.17</v>
      </c>
      <c r="I52" s="1278" t="s">
        <v>1421</v>
      </c>
      <c r="J52" s="1287">
        <f>'[8]VNR 2025'!I43*1000</f>
        <v>7034795.9809072632</v>
      </c>
      <c r="K52" s="1331">
        <f>'[9]VNR 2025'!I43*1000</f>
        <v>7338931.9102000007</v>
      </c>
      <c r="L52" s="1331">
        <v>5368310.67235603</v>
      </c>
      <c r="M52" s="1332">
        <f>J52/L52-1</f>
        <v>0.31043011670929443</v>
      </c>
      <c r="N52" s="1332">
        <f t="shared" ref="N52:N56" si="10">K52/L52-1</f>
        <v>0.36708405271543465</v>
      </c>
      <c r="O52" s="1331">
        <v>5150857.9506010301</v>
      </c>
      <c r="P52" s="1331">
        <f>+O52*$P$10</f>
        <v>6525701.5597389527</v>
      </c>
      <c r="Q52" s="1331">
        <f>IFERROR(INDEX(AdicionesVNR_actualiz!$L:$L,MATCH(D52,AdicionesVNR_actualiz!$B:$B,0)),0)</f>
        <v>8.2466671051019486E-2</v>
      </c>
      <c r="R52" s="1331">
        <f>SUM(P52:Q52)</f>
        <v>6525701.6422056239</v>
      </c>
      <c r="S52" s="1333">
        <f>R52/O52-1</f>
        <v>0.26691547404140104</v>
      </c>
      <c r="T52" s="1332">
        <f>IF(ISNUMBER(J52),R52/J52-1,"")</f>
        <v>-7.2368031721650961E-2</v>
      </c>
      <c r="U52" s="14"/>
      <c r="Y52" s="10"/>
      <c r="Z52" s="21"/>
      <c r="AC52" s="21"/>
    </row>
    <row r="53" spans="1:29" ht="14.25" customHeight="1" x14ac:dyDescent="0.2">
      <c r="B53" s="113"/>
      <c r="C53" s="1602"/>
      <c r="D53" s="1282" t="s">
        <v>400</v>
      </c>
      <c r="E53" s="1" t="s">
        <v>401</v>
      </c>
      <c r="F53" s="440">
        <v>1986</v>
      </c>
      <c r="G53" s="1309">
        <v>29.95</v>
      </c>
      <c r="H53" s="1334">
        <f>+G53</f>
        <v>29.95</v>
      </c>
      <c r="I53" s="1286" t="s">
        <v>1421</v>
      </c>
      <c r="J53" s="1287">
        <f>'[8]VNR 2025'!I44*1000</f>
        <v>8717093.0752243493</v>
      </c>
      <c r="K53" s="1335">
        <f>'[9]VNR 2025'!I44*1000</f>
        <v>9093959.8969999999</v>
      </c>
      <c r="L53" s="1335">
        <v>6652085.4214755101</v>
      </c>
      <c r="M53" s="1336">
        <f>J53/L53-1</f>
        <v>0.31043011670929443</v>
      </c>
      <c r="N53" s="1336">
        <f t="shared" si="10"/>
        <v>0.36708405271543465</v>
      </c>
      <c r="O53" s="1335">
        <v>6382631.1799958963</v>
      </c>
      <c r="P53" s="1335">
        <f>+O53*$P$10</f>
        <v>8086254.1048482237</v>
      </c>
      <c r="Q53" s="1335">
        <f>IFERROR(INDEX(AdicionesVNR_actualiz!$L:$L,MATCH(D53,AdicionesVNR_actualiz!$B:$B,0)),0)</f>
        <v>0</v>
      </c>
      <c r="R53" s="1335">
        <f>SUM(P53:Q53)</f>
        <v>8086254.1048482237</v>
      </c>
      <c r="S53" s="1337">
        <f>R53/O53-1</f>
        <v>0.26691545803112238</v>
      </c>
      <c r="T53" s="1336">
        <f>IF(ISNUMBER(J53),R53/J53-1,"")</f>
        <v>-7.2368043444332453E-2</v>
      </c>
      <c r="U53" s="14"/>
      <c r="Y53" s="10"/>
      <c r="Z53" s="21"/>
      <c r="AC53" s="21"/>
    </row>
    <row r="54" spans="1:29" x14ac:dyDescent="0.2">
      <c r="B54" s="113"/>
      <c r="C54" s="1602"/>
      <c r="D54" s="440" t="s">
        <v>402</v>
      </c>
      <c r="E54" s="1" t="s">
        <v>403</v>
      </c>
      <c r="F54" s="440">
        <v>1986</v>
      </c>
      <c r="G54" s="1309">
        <v>9.81</v>
      </c>
      <c r="H54" s="1334">
        <f>+G54</f>
        <v>9.81</v>
      </c>
      <c r="I54" s="1286" t="s">
        <v>1421</v>
      </c>
      <c r="J54" s="1287">
        <f>'[8]VNR 2025'!I45*1000</f>
        <v>2855248.182569311</v>
      </c>
      <c r="K54" s="1335">
        <f>'[9]VNR 2025'!I45*1000</f>
        <v>2978689.3686000002</v>
      </c>
      <c r="L54" s="1335">
        <v>2178863.3717754511</v>
      </c>
      <c r="M54" s="1336">
        <f>J54/L54-1</f>
        <v>0.31043011670929443</v>
      </c>
      <c r="N54" s="1336">
        <f t="shared" si="10"/>
        <v>0.36708405271543443</v>
      </c>
      <c r="O54" s="1335">
        <v>2090604.7370871375</v>
      </c>
      <c r="P54" s="1335">
        <f>+O54*$P$10</f>
        <v>2648619.4580487851</v>
      </c>
      <c r="Q54" s="1335">
        <f>IFERROR(INDEX(AdicionesVNR_actualiz!$L:$L,MATCH(D54,AdicionesVNR_actualiz!$B:$B,0)),0)</f>
        <v>0.28405187314042585</v>
      </c>
      <c r="R54" s="1335">
        <f>SUM(P54:Q54)</f>
        <v>2648619.7421006584</v>
      </c>
      <c r="S54" s="1337">
        <f>R54/O54-1</f>
        <v>0.26691559390179576</v>
      </c>
      <c r="T54" s="1336">
        <f>IF(ISNUMBER(J54),R54/J54-1,"")</f>
        <v>-7.236794396020485E-2</v>
      </c>
      <c r="U54" s="14"/>
      <c r="Y54" s="10"/>
      <c r="Z54" s="21"/>
      <c r="AC54" s="21"/>
    </row>
    <row r="55" spans="1:29" x14ac:dyDescent="0.2">
      <c r="B55" s="113"/>
      <c r="C55" s="1604"/>
      <c r="D55" s="1304" t="s">
        <v>404</v>
      </c>
      <c r="E55" s="1421" t="s">
        <v>405</v>
      </c>
      <c r="F55" s="1304">
        <v>2011</v>
      </c>
      <c r="G55" s="1313">
        <v>13.51</v>
      </c>
      <c r="H55" s="1338">
        <f>+G55</f>
        <v>13.51</v>
      </c>
      <c r="I55" s="1294" t="s">
        <v>1421</v>
      </c>
      <c r="J55" s="1287">
        <f>'[8]VNR 2025'!I46*1000</f>
        <v>5007151.7028512741</v>
      </c>
      <c r="K55" s="1339">
        <f>'[9]VNR 2025'!I46*1000</f>
        <v>4102150.1906000003</v>
      </c>
      <c r="L55" s="1339">
        <v>3762562.6964360769</v>
      </c>
      <c r="M55" s="1340">
        <f>J55/L55-1</f>
        <v>0.33078226379963849</v>
      </c>
      <c r="N55" s="1340">
        <f t="shared" si="10"/>
        <v>9.0254308449287279E-2</v>
      </c>
      <c r="O55" s="1339">
        <v>3126948.7909317156</v>
      </c>
      <c r="P55" s="1339">
        <f>+O55*$P$10</f>
        <v>3961579.7597031188</v>
      </c>
      <c r="Q55" s="1339">
        <f>IFERROR(INDEX(AdicionesVNR_actualiz!$L:$L,MATCH(D55,AdicionesVNR_actualiz!$B:$B,0)),0)</f>
        <v>39332.905543604524</v>
      </c>
      <c r="R55" s="1339">
        <f>SUM(P55:Q55)</f>
        <v>4000912.6652467232</v>
      </c>
      <c r="S55" s="1341">
        <f>R55/O55-1</f>
        <v>0.27949414357201507</v>
      </c>
      <c r="T55" s="1340">
        <f>IF(ISNUMBER(J55),R55/J55-1,"")</f>
        <v>-0.20096036575675502</v>
      </c>
      <c r="U55" s="14"/>
      <c r="Y55" s="10"/>
      <c r="Z55" s="21"/>
      <c r="AC55" s="21"/>
    </row>
    <row r="56" spans="1:29" ht="13.5" thickBot="1" x14ac:dyDescent="0.25">
      <c r="B56" s="113"/>
      <c r="C56" s="1315" t="s">
        <v>1413</v>
      </c>
      <c r="D56" s="1316"/>
      <c r="E56" s="1317"/>
      <c r="F56" s="1316"/>
      <c r="G56" s="1318" t="s">
        <v>467</v>
      </c>
      <c r="H56" s="1319">
        <f>SUM(H52:H55)</f>
        <v>77.440000000000012</v>
      </c>
      <c r="I56" s="1320" t="s">
        <v>467</v>
      </c>
      <c r="J56" s="1321">
        <f>SUM(J52:J55)</f>
        <v>23614288.941552196</v>
      </c>
      <c r="K56" s="1321">
        <f>SUM(K52:K55)</f>
        <v>23513731.3664</v>
      </c>
      <c r="L56" s="1321">
        <f>SUM(L52:L55)</f>
        <v>17961822.162043069</v>
      </c>
      <c r="M56" s="1322">
        <f>J56/L56-1</f>
        <v>0.31469339405073971</v>
      </c>
      <c r="N56" s="1322">
        <f t="shared" si="10"/>
        <v>0.30909498792885426</v>
      </c>
      <c r="O56" s="1321">
        <f>SUM(O52:O55)</f>
        <v>16751042.658615779</v>
      </c>
      <c r="P56" s="1321">
        <f>SUM(P52:P55)</f>
        <v>21222154.882339079</v>
      </c>
      <c r="Q56" s="1321">
        <f>SUM(Q52:Q55)</f>
        <v>39333.272062148717</v>
      </c>
      <c r="R56" s="1321">
        <f>SUM(R52:R55)</f>
        <v>21261488.154401228</v>
      </c>
      <c r="S56" s="1322">
        <f>R56/O56-1</f>
        <v>0.26926356691388009</v>
      </c>
      <c r="T56" s="1322">
        <f>IF(ISNUMBER(J56),R56/J56-1,"")</f>
        <v>-9.9634623467782291E-2</v>
      </c>
      <c r="U56" s="14"/>
      <c r="AC56" s="21"/>
    </row>
    <row r="57" spans="1:29" x14ac:dyDescent="0.2">
      <c r="B57" s="113"/>
      <c r="C57" s="1323" t="s">
        <v>1420</v>
      </c>
      <c r="D57" s="1324"/>
      <c r="E57" s="717"/>
      <c r="F57" s="1325"/>
      <c r="G57" s="1326"/>
      <c r="H57" s="1327"/>
      <c r="I57" s="1328"/>
      <c r="J57" s="1329"/>
      <c r="K57" s="1273"/>
      <c r="L57" s="1273"/>
      <c r="M57" s="1273"/>
      <c r="N57" s="1273"/>
      <c r="O57" s="1273"/>
      <c r="P57" s="1273"/>
      <c r="Q57" s="1273"/>
      <c r="R57" s="1273"/>
      <c r="S57" s="1273" t="str">
        <f>IF(ISNUMBER(R57),R57/O57-1,"")</f>
        <v/>
      </c>
      <c r="T57" s="1273" t="str">
        <f>IF(ISNUMBER(R57),J57/R57-1,"")</f>
        <v/>
      </c>
      <c r="U57" s="14"/>
      <c r="AC57" s="21"/>
    </row>
    <row r="58" spans="1:29" ht="15" customHeight="1" x14ac:dyDescent="0.2">
      <c r="B58" s="113"/>
      <c r="C58" s="1601" t="s">
        <v>1419</v>
      </c>
      <c r="D58" s="1342" t="s">
        <v>406</v>
      </c>
      <c r="E58" s="1417" t="s">
        <v>1418</v>
      </c>
      <c r="F58" s="1342">
        <v>2016</v>
      </c>
      <c r="G58" s="1343">
        <v>47.81</v>
      </c>
      <c r="H58" s="1344">
        <f>+G58*2</f>
        <v>95.62</v>
      </c>
      <c r="I58" s="1345" t="s">
        <v>1410</v>
      </c>
      <c r="J58" s="1244">
        <f>'[8]VNR 2025'!I52*1000</f>
        <v>31786033.406516589</v>
      </c>
      <c r="K58" s="1244">
        <f>'[9]VNR 2025'!I52*1000</f>
        <v>23080204.111650005</v>
      </c>
      <c r="L58" s="1244">
        <v>17761874.453666452</v>
      </c>
      <c r="M58" s="1346">
        <f>J58/L58-1</f>
        <v>0.78956525615770423</v>
      </c>
      <c r="N58" s="1346">
        <f t="shared" ref="N58:N60" si="11">K58/L58-1</f>
        <v>0.29942389649566126</v>
      </c>
      <c r="O58" s="1244">
        <v>13841311.940392131</v>
      </c>
      <c r="P58" s="1244">
        <f>+O58*$P$10</f>
        <v>17535772.05671354</v>
      </c>
      <c r="Q58" s="1244">
        <f>IFERROR(INDEX(AdicionesVNR_actualiz!$L:$L,MATCH(D58,AdicionesVNR_actualiz!$B:$B,0)),0)</f>
        <v>0.21074816703291274</v>
      </c>
      <c r="R58" s="1244">
        <f>SUM(P58:Q58)</f>
        <v>17535772.267461706</v>
      </c>
      <c r="S58" s="1346">
        <f>R58/O58-1</f>
        <v>0.26691547325714771</v>
      </c>
      <c r="T58" s="1346">
        <f>IF(ISNUMBER(J58),R58/J58-1,"")</f>
        <v>-0.44831832134592098</v>
      </c>
      <c r="U58" s="14"/>
      <c r="Y58" s="10"/>
      <c r="Z58" s="21"/>
      <c r="AC58" s="21"/>
    </row>
    <row r="59" spans="1:29" x14ac:dyDescent="0.2">
      <c r="B59" s="113"/>
      <c r="C59" s="1601"/>
      <c r="D59" s="440" t="s">
        <v>407</v>
      </c>
      <c r="E59" s="1" t="s">
        <v>1417</v>
      </c>
      <c r="F59" s="440">
        <v>2004</v>
      </c>
      <c r="G59" s="1309">
        <v>7.27</v>
      </c>
      <c r="H59" s="1310">
        <f>+G59*2</f>
        <v>14.54</v>
      </c>
      <c r="I59" s="1286" t="s">
        <v>1415</v>
      </c>
      <c r="J59" s="1244">
        <f>'[8]VNR 2025'!I53*1000</f>
        <v>5904138.4625202538</v>
      </c>
      <c r="K59" s="1244">
        <f>'[9]VNR 2025'!I53*1000</f>
        <v>3509581.3405500003</v>
      </c>
      <c r="L59" s="1335">
        <v>3076679.707810156</v>
      </c>
      <c r="M59" s="1346">
        <f>J59/L59-1</f>
        <v>0.9189967832961583</v>
      </c>
      <c r="N59" s="1346">
        <f t="shared" si="11"/>
        <v>0.14070415963056626</v>
      </c>
      <c r="O59" s="1335">
        <v>2474013.4271548484</v>
      </c>
      <c r="P59" s="1335">
        <f>+O59*$P$10</f>
        <v>3134365.8542390317</v>
      </c>
      <c r="Q59" s="1335">
        <f>IFERROR(INDEX(AdicionesVNR_actualiz!$L:$L,MATCH(D59,AdicionesVNR_actualiz!$B:$B,0)),0)</f>
        <v>32419.913873866499</v>
      </c>
      <c r="R59" s="1335">
        <f>SUM(P59:Q59)</f>
        <v>3166785.7681128983</v>
      </c>
      <c r="S59" s="1346">
        <f>R59/O59-1</f>
        <v>0.28001963665765084</v>
      </c>
      <c r="T59" s="1346">
        <f>IF(ISNUMBER(J59),R59/J59-1,"")</f>
        <v>-0.46363287578436685</v>
      </c>
      <c r="U59" s="14"/>
      <c r="Y59" s="10"/>
      <c r="Z59" s="21"/>
      <c r="AC59" s="21"/>
    </row>
    <row r="60" spans="1:29" ht="15" customHeight="1" x14ac:dyDescent="0.2">
      <c r="B60" s="113"/>
      <c r="C60" s="1601"/>
      <c r="D60" s="1301" t="s">
        <v>408</v>
      </c>
      <c r="E60" s="1419" t="s">
        <v>409</v>
      </c>
      <c r="F60" s="1274">
        <v>1972</v>
      </c>
      <c r="G60" s="1307">
        <v>22.85</v>
      </c>
      <c r="H60" s="1308">
        <f>+G60*1</f>
        <v>22.85</v>
      </c>
      <c r="I60" s="1278" t="s">
        <v>1415</v>
      </c>
      <c r="J60" s="1331">
        <f>'[8]VNR 2025'!I54*1000</f>
        <v>32168150.678423826</v>
      </c>
      <c r="K60" s="1331">
        <f>'[9]VNR 2025'!I54*1000</f>
        <v>23037295.076160002</v>
      </c>
      <c r="L60" s="1331">
        <v>23597752.476959329</v>
      </c>
      <c r="M60" s="1347">
        <f>J60/L60-1</f>
        <v>0.36318705392950323</v>
      </c>
      <c r="N60" s="1347">
        <f t="shared" si="11"/>
        <v>-2.3750456800771702E-2</v>
      </c>
      <c r="O60" s="1331">
        <v>18975376.71226332</v>
      </c>
      <c r="P60" s="1331">
        <f>+O60*$P$10</f>
        <v>24040198.078730177</v>
      </c>
      <c r="Q60" s="1331">
        <f>IFERROR(INDEX(AdicionesVNR_actualiz!$L:$L,MATCH(D60,AdicionesVNR_actualiz!$B:$B,0)),0)</f>
        <v>0</v>
      </c>
      <c r="R60" s="1331">
        <f>SUM(P60:Q63)</f>
        <v>25071808.731977463</v>
      </c>
      <c r="S60" s="1347">
        <f>R60/O60-1</f>
        <v>0.32128121154897382</v>
      </c>
      <c r="T60" s="1347">
        <f>IF(ISNUMBER(J60),R60/J60-1,"")</f>
        <v>-0.22060148926142964</v>
      </c>
      <c r="U60" s="14"/>
      <c r="Y60" s="10"/>
      <c r="Z60" s="21"/>
      <c r="AC60" s="21"/>
    </row>
    <row r="61" spans="1:29" ht="15" customHeight="1" x14ac:dyDescent="0.2">
      <c r="B61" s="113"/>
      <c r="C61" s="1601"/>
      <c r="D61" s="440" t="s">
        <v>410</v>
      </c>
      <c r="E61" s="1" t="s">
        <v>411</v>
      </c>
      <c r="F61" s="1282">
        <v>1972</v>
      </c>
      <c r="G61" s="1309">
        <v>32.08</v>
      </c>
      <c r="H61" s="1310">
        <f>+G61*1</f>
        <v>32.08</v>
      </c>
      <c r="I61" s="1286" t="s">
        <v>1415</v>
      </c>
      <c r="J61" s="1335"/>
      <c r="K61" s="1335"/>
      <c r="L61" s="1335"/>
      <c r="M61" s="1347"/>
      <c r="N61" s="1347"/>
      <c r="O61" s="1335"/>
      <c r="P61" s="1335"/>
      <c r="Q61" s="1335">
        <f>IFERROR(INDEX(AdicionesVNR_actualiz!$L:$L,MATCH(D61,AdicionesVNR_actualiz!$B:$B,0)),0)</f>
        <v>0</v>
      </c>
      <c r="R61" s="1335"/>
      <c r="S61" s="1347"/>
      <c r="T61" s="1347"/>
      <c r="U61" s="14"/>
      <c r="AC61" s="21"/>
    </row>
    <row r="62" spans="1:29" ht="15" customHeight="1" x14ac:dyDescent="0.2">
      <c r="B62" s="113"/>
      <c r="C62" s="1601"/>
      <c r="D62" s="440" t="s">
        <v>412</v>
      </c>
      <c r="E62" s="1" t="s">
        <v>413</v>
      </c>
      <c r="F62" s="1282">
        <v>1972</v>
      </c>
      <c r="G62" s="1309">
        <v>31.18</v>
      </c>
      <c r="H62" s="1310">
        <f>+G62*1</f>
        <v>31.18</v>
      </c>
      <c r="I62" s="1286" t="s">
        <v>1415</v>
      </c>
      <c r="J62" s="1335"/>
      <c r="K62" s="1335"/>
      <c r="L62" s="1335"/>
      <c r="M62" s="1347"/>
      <c r="N62" s="1347"/>
      <c r="O62" s="1335"/>
      <c r="P62" s="1335"/>
      <c r="Q62" s="1335">
        <f>IFERROR(INDEX(AdicionesVNR_actualiz!$L:$L,MATCH(D62,AdicionesVNR_actualiz!$B:$B,0)),0)</f>
        <v>409489.33684461133</v>
      </c>
      <c r="R62" s="1335"/>
      <c r="S62" s="1347"/>
      <c r="T62" s="1347"/>
      <c r="U62" s="14"/>
      <c r="AC62" s="21"/>
    </row>
    <row r="63" spans="1:29" ht="15" customHeight="1" x14ac:dyDescent="0.2">
      <c r="B63" s="113"/>
      <c r="C63" s="1601"/>
      <c r="D63" s="1304" t="s">
        <v>414</v>
      </c>
      <c r="E63" s="1420" t="s">
        <v>1416</v>
      </c>
      <c r="F63" s="1290">
        <v>1972</v>
      </c>
      <c r="G63" s="1311">
        <v>25.41</v>
      </c>
      <c r="H63" s="1312">
        <f>+G63*1</f>
        <v>25.41</v>
      </c>
      <c r="I63" s="1294" t="s">
        <v>1415</v>
      </c>
      <c r="J63" s="1339"/>
      <c r="K63" s="1339"/>
      <c r="L63" s="1339"/>
      <c r="M63" s="1347"/>
      <c r="N63" s="1347"/>
      <c r="O63" s="1339"/>
      <c r="P63" s="1339"/>
      <c r="Q63" s="1339">
        <f>IFERROR(INDEX(AdicionesVNR_actualiz!$L:$L,MATCH(D63,AdicionesVNR_actualiz!$B:$B,0)),0)</f>
        <v>622121.31640267489</v>
      </c>
      <c r="R63" s="1339"/>
      <c r="S63" s="1347"/>
      <c r="T63" s="1347"/>
      <c r="U63" s="14"/>
      <c r="AC63" s="21"/>
    </row>
    <row r="64" spans="1:29" x14ac:dyDescent="0.2">
      <c r="B64" s="113"/>
      <c r="C64" s="1605"/>
      <c r="D64" s="1342" t="s">
        <v>415</v>
      </c>
      <c r="E64" s="1417" t="s">
        <v>416</v>
      </c>
      <c r="F64" s="1342">
        <v>1979</v>
      </c>
      <c r="G64" s="1348">
        <v>25.32</v>
      </c>
      <c r="H64" s="1344">
        <f>+G64*2</f>
        <v>50.64</v>
      </c>
      <c r="I64" s="1349" t="s">
        <v>1410</v>
      </c>
      <c r="J64" s="1244">
        <f>'[8]VNR 2025'!I58*1000</f>
        <v>16833766.280129675</v>
      </c>
      <c r="K64" s="1244">
        <f>'[9]VNR 2025'!I58*1000</f>
        <v>10460981.193119999</v>
      </c>
      <c r="L64" s="1244">
        <v>9406623.3249703962</v>
      </c>
      <c r="M64" s="1346">
        <f>J64/L64-1</f>
        <v>0.78956525615770334</v>
      </c>
      <c r="N64" s="1346">
        <f t="shared" ref="N64:N65" si="12">K64/L64-1</f>
        <v>0.11208675331463014</v>
      </c>
      <c r="O64" s="1244">
        <v>7330307.850464941</v>
      </c>
      <c r="P64" s="1244">
        <f>+O64*$P$10</f>
        <v>9286880.3278809227</v>
      </c>
      <c r="Q64" s="1244">
        <f>IFERROR(INDEX(AdicionesVNR_actualiz!$L:$L,MATCH(D64,AdicionesVNR_actualiz!$B:$B,0)),0)</f>
        <v>0.44898522142937913</v>
      </c>
      <c r="R64" s="1244">
        <f>SUM(P64:Q64)</f>
        <v>9286880.7768661436</v>
      </c>
      <c r="S64" s="1346">
        <f>R64/O64-1</f>
        <v>0.26691551928164969</v>
      </c>
      <c r="T64" s="1346">
        <f>IF(ISNUMBER(J64),R64/J64-1,"")</f>
        <v>-0.44831830130443007</v>
      </c>
      <c r="U64" s="14"/>
      <c r="Y64" s="10"/>
      <c r="Z64" s="21"/>
      <c r="AC64" s="21"/>
    </row>
    <row r="65" spans="2:29" s="1" customFormat="1" ht="13.5" thickBot="1" x14ac:dyDescent="0.25">
      <c r="B65" s="113"/>
      <c r="C65" s="1315" t="s">
        <v>1413</v>
      </c>
      <c r="D65" s="1316"/>
      <c r="E65" s="1317"/>
      <c r="F65" s="1316"/>
      <c r="G65" s="1318" t="s">
        <v>467</v>
      </c>
      <c r="H65" s="1319">
        <f>SUM(H58:H64)</f>
        <v>272.32</v>
      </c>
      <c r="I65" s="1320"/>
      <c r="J65" s="1321">
        <f>SUM(J58:J64)</f>
        <v>86692088.827590346</v>
      </c>
      <c r="K65" s="1321">
        <f>SUM(K58:K64)</f>
        <v>60088061.721480012</v>
      </c>
      <c r="L65" s="1321">
        <f>SUM(L58:L64)</f>
        <v>53842929.963406332</v>
      </c>
      <c r="M65" s="1322">
        <f>J65/L65-1</f>
        <v>0.61009233499197624</v>
      </c>
      <c r="N65" s="1322">
        <f t="shared" si="12"/>
        <v>0.11598796280808088</v>
      </c>
      <c r="O65" s="1321">
        <f>SUM(O58:O64)</f>
        <v>42621009.930275239</v>
      </c>
      <c r="P65" s="1321">
        <f>SUM(P58:P64)</f>
        <v>53997216.317563668</v>
      </c>
      <c r="Q65" s="1321">
        <f>SUM(Q58:Q64)</f>
        <v>1064031.2268545411</v>
      </c>
      <c r="R65" s="1321">
        <f>SUM(R58:R64)</f>
        <v>55061247.544418208</v>
      </c>
      <c r="S65" s="1322">
        <f>R65/O65-1</f>
        <v>0.29188040439431773</v>
      </c>
      <c r="T65" s="1322">
        <f>IF(ISNUMBER(J65),R65/J65-1,"")</f>
        <v>-0.36486421899555621</v>
      </c>
      <c r="U65" s="14"/>
      <c r="AC65" s="21"/>
    </row>
    <row r="66" spans="2:29" x14ac:dyDescent="0.2">
      <c r="B66" s="113"/>
      <c r="C66" s="1323" t="s">
        <v>1411</v>
      </c>
      <c r="D66" s="1324"/>
      <c r="E66" s="717"/>
      <c r="F66" s="1325"/>
      <c r="G66" s="1326"/>
      <c r="H66" s="1327"/>
      <c r="I66" s="1328"/>
      <c r="J66" s="1329"/>
      <c r="K66" s="1273"/>
      <c r="L66" s="1273"/>
      <c r="M66" s="1273"/>
      <c r="N66" s="1273"/>
      <c r="O66" s="1273"/>
      <c r="P66" s="1273"/>
      <c r="Q66" s="1273"/>
      <c r="R66" s="1273"/>
      <c r="S66" s="1273" t="str">
        <f>IF(ISNUMBER(R66),R66/O66-1,"")</f>
        <v/>
      </c>
      <c r="T66" s="1273" t="str">
        <f>IF(ISNUMBER(R66),J66/R66-1,"")</f>
        <v/>
      </c>
      <c r="U66" s="14"/>
      <c r="AC66" s="21"/>
    </row>
    <row r="67" spans="2:29" x14ac:dyDescent="0.2">
      <c r="B67" s="113"/>
      <c r="C67" s="1601" t="s">
        <v>1411</v>
      </c>
      <c r="D67" s="1342" t="s">
        <v>417</v>
      </c>
      <c r="E67" s="1417" t="s">
        <v>418</v>
      </c>
      <c r="F67" s="1342">
        <v>1976</v>
      </c>
      <c r="G67" s="1348">
        <v>0.81</v>
      </c>
      <c r="H67" s="1350">
        <f>+G67*1</f>
        <v>0.81</v>
      </c>
      <c r="I67" s="1349" t="s">
        <v>1410</v>
      </c>
      <c r="J67" s="1244">
        <f>'[8]VNR 2025'!I61*1000</f>
        <v>368466.29021965677</v>
      </c>
      <c r="K67" s="1331">
        <f>'[9]VNR 2025'!I61*1000</f>
        <v>311141.13093000004</v>
      </c>
      <c r="L67" s="1331">
        <v>272517.95196508185</v>
      </c>
      <c r="M67" s="1351">
        <f>J67/L67-1</f>
        <v>0.35208079894446342</v>
      </c>
      <c r="N67" s="1351">
        <f t="shared" ref="N67:N70" si="13">K67/L67-1</f>
        <v>0.14172709976136555</v>
      </c>
      <c r="O67" s="1331">
        <v>205439.50442595445</v>
      </c>
      <c r="P67" s="1331">
        <f>+O67*$P$10</f>
        <v>260274.48384749488</v>
      </c>
      <c r="Q67" s="1331">
        <f>IFERROR(INDEX(AdicionesVNR_actualiz!$L:$L,MATCH(D67,AdicionesVNR_actualiz!$B:$B,0)),0)</f>
        <v>0.42149632809225307</v>
      </c>
      <c r="R67" s="1331">
        <f>SUM(P67:Q67)</f>
        <v>260274.90534382296</v>
      </c>
      <c r="S67" s="1352">
        <f>R67/O67-1</f>
        <v>0.26691750971212347</v>
      </c>
      <c r="T67" s="1346">
        <f>IF(ISNUMBER(J67),R67/J67-1,"")</f>
        <v>-0.2936262766706198</v>
      </c>
      <c r="U67" s="14"/>
      <c r="AC67" s="21"/>
    </row>
    <row r="68" spans="2:29" x14ac:dyDescent="0.2">
      <c r="B68" s="113"/>
      <c r="C68" s="1602"/>
      <c r="D68" s="1342" t="s">
        <v>419</v>
      </c>
      <c r="E68" s="1417" t="s">
        <v>420</v>
      </c>
      <c r="F68" s="1342">
        <v>2008</v>
      </c>
      <c r="G68" s="1550">
        <f>0.81</f>
        <v>0.81</v>
      </c>
      <c r="H68" s="1350">
        <f>+G68*1</f>
        <v>0.81</v>
      </c>
      <c r="I68" s="1345" t="s">
        <v>1414</v>
      </c>
      <c r="J68" s="1244">
        <f>'[8]VNR 2025'!I66*1000</f>
        <v>721285.36652855994</v>
      </c>
      <c r="K68" s="1331">
        <f>'[9]VNR 2025'!I66*1000</f>
        <v>721285.36652855994</v>
      </c>
      <c r="L68" s="1331">
        <v>1073428.2380640004</v>
      </c>
      <c r="M68" s="1351">
        <f>J68/L68-1</f>
        <v>-0.3280544139313436</v>
      </c>
      <c r="N68" s="1351">
        <f t="shared" si="13"/>
        <v>-0.3280544139313436</v>
      </c>
      <c r="O68" s="1331">
        <v>1073428.2380640004</v>
      </c>
      <c r="P68" s="1331">
        <f>+O68*$P$10</f>
        <v>1359942.8278903938</v>
      </c>
      <c r="Q68" s="1331">
        <f>IFERROR(INDEX(AdicionesVNR_actualiz!$L:$L,MATCH(D68,AdicionesVNR_actualiz!$B:$B,0)),0)</f>
        <v>0.21074816393945559</v>
      </c>
      <c r="R68" s="1331">
        <f>SUM(P68:Q68)</f>
        <v>1359943.0386385578</v>
      </c>
      <c r="S68" s="1352">
        <f>R68/O68-1</f>
        <v>0.26691565436298381</v>
      </c>
      <c r="T68" s="1346">
        <f>IF(ISNUMBER(J68),R68/J68-1,"")</f>
        <v>0.8854438225799075</v>
      </c>
      <c r="U68" s="14"/>
      <c r="AC68" s="21"/>
    </row>
    <row r="69" spans="2:29" ht="13.5" thickBot="1" x14ac:dyDescent="0.25">
      <c r="B69" s="113"/>
      <c r="C69" s="1315" t="s">
        <v>1413</v>
      </c>
      <c r="D69" s="1316"/>
      <c r="E69" s="1317"/>
      <c r="F69" s="1316"/>
      <c r="G69" s="1318"/>
      <c r="H69" s="1319">
        <f>SUM(H67:H68)</f>
        <v>1.62</v>
      </c>
      <c r="I69" s="1320"/>
      <c r="J69" s="1321">
        <f>SUM(J67:J68)</f>
        <v>1089751.6567482166</v>
      </c>
      <c r="K69" s="1321">
        <f>SUM(K67:K68)</f>
        <v>1032426.4974585599</v>
      </c>
      <c r="L69" s="1321">
        <f>SUM(L67:L68)</f>
        <v>1345946.1900290824</v>
      </c>
      <c r="M69" s="1322">
        <f>J69/L69-1</f>
        <v>-0.19034530145319561</v>
      </c>
      <c r="N69" s="1322">
        <f t="shared" si="13"/>
        <v>-0.23293627553100626</v>
      </c>
      <c r="O69" s="1321">
        <f>SUM(O67:O68)</f>
        <v>1278867.7424899549</v>
      </c>
      <c r="P69" s="1321">
        <f>SUM(P67:P68)</f>
        <v>1620217.3117378887</v>
      </c>
      <c r="Q69" s="1321">
        <f>SUM(Q67:Q68)</f>
        <v>0.63224449203170863</v>
      </c>
      <c r="R69" s="1321">
        <f>SUM(R67:R68)</f>
        <v>1620217.9439823807</v>
      </c>
      <c r="S69" s="1322">
        <f>R69/O69-1</f>
        <v>0.2669159524094471</v>
      </c>
      <c r="T69" s="1322">
        <f>IF(ISNUMBER(J69),R69/J69-1,"")</f>
        <v>0.48677722483768293</v>
      </c>
      <c r="U69" s="14"/>
      <c r="AC69" s="21"/>
    </row>
    <row r="70" spans="2:29" ht="13.5" thickBot="1" x14ac:dyDescent="0.25">
      <c r="B70" s="113"/>
      <c r="C70" s="1353" t="s">
        <v>325</v>
      </c>
      <c r="D70" s="1354"/>
      <c r="E70" s="1355"/>
      <c r="F70" s="1354"/>
      <c r="G70" s="1356"/>
      <c r="H70" s="1357">
        <f>H50+H56+H65+H69</f>
        <v>3278.8900000000003</v>
      </c>
      <c r="I70" s="1358"/>
      <c r="J70" s="1359">
        <f>J50+J56+J65+J69</f>
        <v>1274348576.7400074</v>
      </c>
      <c r="K70" s="1359">
        <f>K50+K56+K65+K69</f>
        <v>872210864.07301414</v>
      </c>
      <c r="L70" s="1359">
        <f>L50+L56+L65+L69</f>
        <v>707836834.27229881</v>
      </c>
      <c r="M70" s="1360">
        <f>J70/L70-1</f>
        <v>0.80034227527890467</v>
      </c>
      <c r="N70" s="1360">
        <f t="shared" si="13"/>
        <v>0.23222022624705918</v>
      </c>
      <c r="O70" s="1359">
        <f>O50+O56+O65+O69</f>
        <v>592759843.64811218</v>
      </c>
      <c r="P70" s="1359">
        <f>P50+P56+P65+P69</f>
        <v>750976608.81790447</v>
      </c>
      <c r="Q70" s="1359">
        <f>Q50+Q56+Q65+Q69</f>
        <v>17897064.576808803</v>
      </c>
      <c r="R70" s="1359">
        <f>R50+R56+R65+R69</f>
        <v>891337421.65976965</v>
      </c>
      <c r="S70" s="1360">
        <f>R70/O70-1</f>
        <v>0.50370749842647244</v>
      </c>
      <c r="T70" s="1360">
        <f>IF(ISNUMBER(J70),R70/J70-1,"")</f>
        <v>-0.30055446529398033</v>
      </c>
      <c r="U70" s="14"/>
      <c r="AC70" s="21"/>
    </row>
    <row r="71" spans="2:29" ht="13.5" thickBot="1" x14ac:dyDescent="0.25">
      <c r="B71" s="113"/>
      <c r="C71" s="1361"/>
      <c r="D71" s="1362"/>
      <c r="E71" s="1363"/>
      <c r="F71" s="1362"/>
      <c r="G71" s="1364"/>
      <c r="H71" s="1365"/>
      <c r="I71" s="1366"/>
      <c r="J71" s="1367"/>
      <c r="K71" s="1368"/>
      <c r="L71" s="1368"/>
      <c r="M71" s="1369"/>
      <c r="N71" s="1369"/>
      <c r="O71" s="1368"/>
      <c r="P71" s="1368"/>
      <c r="Q71" s="1368"/>
      <c r="R71" s="1368"/>
      <c r="S71" s="1370"/>
      <c r="T71" s="1370"/>
      <c r="AC71" s="21"/>
    </row>
    <row r="72" spans="2:29" ht="13.5" thickBot="1" x14ac:dyDescent="0.25">
      <c r="B72" s="113"/>
      <c r="C72" s="1371" t="s">
        <v>1412</v>
      </c>
      <c r="D72" s="1372"/>
      <c r="E72" s="1373"/>
      <c r="F72" s="1373"/>
      <c r="G72" s="1374"/>
      <c r="H72" s="1375"/>
      <c r="I72" s="1376"/>
      <c r="J72" s="1377"/>
      <c r="K72" s="1372"/>
      <c r="L72" s="1372"/>
      <c r="M72" s="1372"/>
      <c r="N72" s="1372"/>
      <c r="O72" s="1372"/>
      <c r="P72" s="1372"/>
      <c r="Q72" s="1372"/>
      <c r="R72" s="1372"/>
      <c r="S72" s="1372"/>
      <c r="T72" s="1378"/>
      <c r="AC72" s="21"/>
    </row>
    <row r="73" spans="2:29" x14ac:dyDescent="0.2">
      <c r="B73" s="113"/>
      <c r="C73" s="1323" t="s">
        <v>1423</v>
      </c>
      <c r="D73" s="1324"/>
      <c r="E73" s="717"/>
      <c r="F73" s="1325"/>
      <c r="G73" s="1326"/>
      <c r="H73" s="1327"/>
      <c r="I73" s="1328"/>
      <c r="J73" s="1329"/>
      <c r="K73" s="1329"/>
      <c r="L73" s="1273"/>
      <c r="M73" s="1273"/>
      <c r="N73" s="1273"/>
      <c r="O73" s="1273"/>
      <c r="P73" s="1273"/>
      <c r="Q73" s="1273"/>
      <c r="R73" s="1273"/>
      <c r="S73" s="1273"/>
      <c r="T73" s="1379"/>
      <c r="AC73" s="21"/>
    </row>
    <row r="74" spans="2:29" x14ac:dyDescent="0.2">
      <c r="B74" s="113"/>
      <c r="C74" s="1598" t="s">
        <v>1423</v>
      </c>
      <c r="D74" s="1342" t="s">
        <v>1809</v>
      </c>
      <c r="E74" s="1417" t="s">
        <v>1705</v>
      </c>
      <c r="F74" s="1342">
        <v>2024</v>
      </c>
      <c r="G74" s="1550">
        <v>16.399999999999999</v>
      </c>
      <c r="H74" s="1350">
        <v>16.399999999999999</v>
      </c>
      <c r="I74" s="1349" t="s">
        <v>1425</v>
      </c>
      <c r="J74" s="1244">
        <f>'[8]VNR 2025'!I31*1000</f>
        <v>10492486.923162986</v>
      </c>
      <c r="K74" s="1244">
        <f>'[9]VNR 2025'!I31*1000</f>
        <v>11383075.6556</v>
      </c>
      <c r="L74" s="1244"/>
      <c r="M74" s="1352"/>
      <c r="N74" s="1352"/>
      <c r="O74" s="1244"/>
      <c r="P74" s="1244"/>
      <c r="Q74" s="1244"/>
      <c r="R74" s="1438">
        <f>K74</f>
        <v>11383075.6556</v>
      </c>
      <c r="S74" s="1352"/>
      <c r="T74" s="1380"/>
      <c r="U74" s="10"/>
      <c r="V74" s="10"/>
      <c r="AC74" s="21"/>
    </row>
    <row r="75" spans="2:29" x14ac:dyDescent="0.2">
      <c r="B75" s="113"/>
      <c r="C75" s="1599"/>
      <c r="D75" s="1342" t="s">
        <v>1706</v>
      </c>
      <c r="E75" s="1417" t="s">
        <v>1707</v>
      </c>
      <c r="F75" s="1342">
        <v>2024</v>
      </c>
      <c r="G75" s="1550">
        <v>16.45</v>
      </c>
      <c r="H75" s="1350">
        <v>16.45</v>
      </c>
      <c r="I75" s="1349" t="s">
        <v>1425</v>
      </c>
      <c r="J75" s="1244">
        <f>'[8]VNR 2025'!I32*1000</f>
        <v>10479222.085080603</v>
      </c>
      <c r="K75" s="1244">
        <f>'[9]VNR 2025'!I32*1000</f>
        <v>11417780.154549999</v>
      </c>
      <c r="L75" s="1244"/>
      <c r="M75" s="1352"/>
      <c r="N75" s="1352"/>
      <c r="O75" s="1244"/>
      <c r="P75" s="1244"/>
      <c r="Q75" s="1244"/>
      <c r="R75" s="1438">
        <f t="shared" ref="R75:R76" si="14">K75</f>
        <v>11417780.154549999</v>
      </c>
      <c r="S75" s="1352"/>
      <c r="T75" s="1380"/>
      <c r="U75" s="10"/>
      <c r="AC75" s="21"/>
    </row>
    <row r="76" spans="2:29" x14ac:dyDescent="0.2">
      <c r="B76" s="113"/>
      <c r="C76" s="1599"/>
      <c r="D76" s="1342" t="s">
        <v>1708</v>
      </c>
      <c r="E76" s="1417" t="s">
        <v>1709</v>
      </c>
      <c r="F76" s="1342">
        <v>2024</v>
      </c>
      <c r="G76" s="1550">
        <v>1.1200000000000001</v>
      </c>
      <c r="H76" s="1350">
        <v>1.1200000000000001</v>
      </c>
      <c r="I76" s="1349" t="s">
        <v>1425</v>
      </c>
      <c r="J76" s="1244">
        <f>'[8]VNR 2025'!I33*1000</f>
        <v>1386175.5796087629</v>
      </c>
      <c r="K76" s="1244">
        <f>'[9]VNR 2025'!I33*1000</f>
        <v>777380.77647999988</v>
      </c>
      <c r="L76" s="1244"/>
      <c r="M76" s="1352"/>
      <c r="N76" s="1352"/>
      <c r="O76" s="1244"/>
      <c r="P76" s="1244"/>
      <c r="Q76" s="1244"/>
      <c r="R76" s="1438">
        <f t="shared" si="14"/>
        <v>777380.77647999988</v>
      </c>
      <c r="S76" s="1352"/>
      <c r="T76" s="1380"/>
      <c r="U76" s="10"/>
      <c r="AC76" s="21"/>
    </row>
    <row r="77" spans="2:29" x14ac:dyDescent="0.2">
      <c r="B77" s="113"/>
      <c r="C77" s="1413"/>
      <c r="D77" s="1414"/>
      <c r="E77" s="1418"/>
      <c r="F77" s="1414"/>
      <c r="G77" s="1348"/>
      <c r="H77" s="1350"/>
      <c r="I77" s="1349"/>
      <c r="J77" s="1244"/>
      <c r="K77" s="1244"/>
      <c r="L77" s="1244"/>
      <c r="M77" s="1352"/>
      <c r="N77" s="1352"/>
      <c r="O77" s="1244"/>
      <c r="P77" s="1244"/>
      <c r="Q77" s="1244"/>
      <c r="R77" s="1244"/>
      <c r="S77" s="1352"/>
      <c r="T77" s="1380"/>
      <c r="AC77" s="21"/>
    </row>
    <row r="78" spans="2:29" x14ac:dyDescent="0.2">
      <c r="B78" s="113"/>
      <c r="C78" s="1323" t="s">
        <v>1411</v>
      </c>
      <c r="D78" s="1324"/>
      <c r="E78" s="717"/>
      <c r="F78" s="1325"/>
      <c r="G78" s="1326"/>
      <c r="H78" s="1327"/>
      <c r="I78" s="1328"/>
      <c r="J78" s="1329"/>
      <c r="K78" s="1415"/>
      <c r="L78" s="1415"/>
      <c r="M78" s="1415"/>
      <c r="N78" s="1415"/>
      <c r="O78" s="1415"/>
      <c r="P78" s="1415"/>
      <c r="Q78" s="1415"/>
      <c r="R78" s="1415"/>
      <c r="S78" s="1415"/>
      <c r="T78" s="1416"/>
      <c r="AC78" s="21"/>
    </row>
    <row r="79" spans="2:29" x14ac:dyDescent="0.2">
      <c r="B79" s="113"/>
      <c r="C79" s="1598" t="s">
        <v>1411</v>
      </c>
      <c r="D79" s="1342" t="s">
        <v>421</v>
      </c>
      <c r="E79" s="1417" t="s">
        <v>422</v>
      </c>
      <c r="F79" s="1342">
        <v>1979</v>
      </c>
      <c r="G79" s="1348">
        <v>6.18</v>
      </c>
      <c r="H79" s="1350">
        <f>+G79*1</f>
        <v>6.18</v>
      </c>
      <c r="I79" s="1349" t="s">
        <v>1410</v>
      </c>
      <c r="J79" s="1244">
        <f>'[8]VNR 2025'!I62*1000</f>
        <v>2217139.978199556</v>
      </c>
      <c r="K79" s="1244">
        <f>'[9]VNR 2025'!I62*1000</f>
        <v>1822691.4772799998</v>
      </c>
      <c r="L79" s="1244">
        <v>1656778.0466136259</v>
      </c>
      <c r="M79" s="1352">
        <f>J79/L79-1</f>
        <v>0.33822389953276044</v>
      </c>
      <c r="N79" s="1352">
        <f t="shared" ref="N79:N83" si="15">K79/L79-1</f>
        <v>0.10014221941526369</v>
      </c>
      <c r="O79" s="1244">
        <v>1250252.3617040773</v>
      </c>
      <c r="P79" s="1244">
        <f>+O79*$P$10</f>
        <v>1583964.0434828135</v>
      </c>
      <c r="Q79" s="1244">
        <f>IFERROR(INDEX(AdicionesVNR_actualiz!$L:$L,MATCH(D79,AdicionesVNR_actualiz!$B:$B,0)),0)</f>
        <v>140261.29645876348</v>
      </c>
      <c r="R79" s="1244">
        <f>SUM(P79:Q79)</f>
        <v>1724225.3399415771</v>
      </c>
      <c r="S79" s="1352">
        <f>R79/O79-1</f>
        <v>0.37910184595970753</v>
      </c>
      <c r="T79" s="1380">
        <f>IF(ISNUMBER(J79),R79/J79-1,"")</f>
        <v>-0.22232003531786648</v>
      </c>
      <c r="U79" s="14"/>
      <c r="AC79" s="21"/>
    </row>
    <row r="80" spans="2:29" x14ac:dyDescent="0.2">
      <c r="B80" s="113"/>
      <c r="C80" s="1599"/>
      <c r="D80" s="1342" t="s">
        <v>423</v>
      </c>
      <c r="E80" s="1417" t="s">
        <v>424</v>
      </c>
      <c r="F80" s="1342">
        <v>1979</v>
      </c>
      <c r="G80" s="1348">
        <v>1.7</v>
      </c>
      <c r="H80" s="1350">
        <f>+G80*1</f>
        <v>1.7</v>
      </c>
      <c r="I80" s="1349" t="s">
        <v>1410</v>
      </c>
      <c r="J80" s="1244">
        <f>'[8]VNR 2025'!I63*1000</f>
        <v>609892.87426201359</v>
      </c>
      <c r="K80" s="1244">
        <f>'[9]VNR 2025'!I63*1000</f>
        <v>501387.62319999997</v>
      </c>
      <c r="L80" s="1244">
        <v>455748.00635002682</v>
      </c>
      <c r="M80" s="1352">
        <f>J80/L80-1</f>
        <v>0.33822389953275911</v>
      </c>
      <c r="N80" s="1352">
        <f t="shared" si="15"/>
        <v>0.10014221941526324</v>
      </c>
      <c r="O80" s="1244">
        <v>343920.55257231899</v>
      </c>
      <c r="P80" s="1244">
        <f>+O80*$P$10</f>
        <v>435718.26438847621</v>
      </c>
      <c r="Q80" s="1244">
        <f>IFERROR(INDEX(AdicionesVNR_actualiz!$L:$L,MATCH(D80,AdicionesVNR_actualiz!$B:$B,0)),0)</f>
        <v>27834.73786495583</v>
      </c>
      <c r="R80" s="1244">
        <f>SUM(P80:Q80)</f>
        <v>463553.00225343206</v>
      </c>
      <c r="S80" s="1352">
        <f>R80/O80-1</f>
        <v>0.34784908545399307</v>
      </c>
      <c r="T80" s="1380">
        <f>IF(ISNUMBER(J80),R80/J80-1,"")</f>
        <v>-0.23994356744314582</v>
      </c>
      <c r="U80" s="14"/>
      <c r="V80" s="320"/>
      <c r="AC80" s="21"/>
    </row>
    <row r="81" spans="2:29" x14ac:dyDescent="0.2">
      <c r="B81" s="113"/>
      <c r="C81" s="1599"/>
      <c r="D81" s="1342" t="s">
        <v>425</v>
      </c>
      <c r="E81" s="1417" t="s">
        <v>426</v>
      </c>
      <c r="F81" s="1342">
        <v>1982</v>
      </c>
      <c r="G81" s="1348">
        <v>0.5</v>
      </c>
      <c r="H81" s="1350">
        <f>+G81*1</f>
        <v>0.5</v>
      </c>
      <c r="I81" s="1349" t="s">
        <v>1410</v>
      </c>
      <c r="J81" s="1244">
        <f>'[8]VNR 2025'!I64*1000</f>
        <v>179380.25713588638</v>
      </c>
      <c r="K81" s="1244">
        <f>'[9]VNR 2025'!I64*1000</f>
        <v>147466.948</v>
      </c>
      <c r="L81" s="1244">
        <v>134043.53127941961</v>
      </c>
      <c r="M81" s="1352">
        <f>J81/L81-1</f>
        <v>0.33822389953275978</v>
      </c>
      <c r="N81" s="1352">
        <f t="shared" si="15"/>
        <v>0.10014221941526369</v>
      </c>
      <c r="O81" s="1244">
        <v>101153.10369774089</v>
      </c>
      <c r="P81" s="1244">
        <f>+O81*$P$10</f>
        <v>128152.43070249303</v>
      </c>
      <c r="Q81" s="1244">
        <f>IFERROR(INDEX(AdicionesVNR_actualiz!$L:$L,MATCH(D81,AdicionesVNR_actualiz!$B:$B,0)),0)</f>
        <v>0</v>
      </c>
      <c r="R81" s="1244">
        <f>SUM(P81:Q81)</f>
        <v>128152.43070249303</v>
      </c>
      <c r="S81" s="1352">
        <f>R81/O81-1</f>
        <v>0.26691545803112238</v>
      </c>
      <c r="T81" s="1380">
        <f>IF(ISNUMBER(J81),R81/J81-1,"")</f>
        <v>-0.28558230014458397</v>
      </c>
      <c r="U81" s="14"/>
      <c r="V81" s="10"/>
      <c r="AC81" s="21"/>
    </row>
    <row r="82" spans="2:29" x14ac:dyDescent="0.2">
      <c r="B82" s="113"/>
      <c r="C82" s="1600"/>
      <c r="D82" s="1342" t="s">
        <v>427</v>
      </c>
      <c r="E82" s="1417" t="s">
        <v>428</v>
      </c>
      <c r="F82" s="1342">
        <v>1988</v>
      </c>
      <c r="G82" s="1550">
        <v>27.75</v>
      </c>
      <c r="H82" s="1350">
        <f>+G82*1</f>
        <v>27.75</v>
      </c>
      <c r="I82" s="1349" t="s">
        <v>1410</v>
      </c>
      <c r="J82" s="1244">
        <f>'[8]VNR 2025'!I65*1000</f>
        <v>9955604.2710416932</v>
      </c>
      <c r="K82" s="1244">
        <f>'[9]VNR 2025'!I65*1000</f>
        <v>8184415.6139999982</v>
      </c>
      <c r="L82" s="1244">
        <v>7439415.9860077882</v>
      </c>
      <c r="M82" s="1352">
        <f>J82/L82-1</f>
        <v>0.33822389953275978</v>
      </c>
      <c r="N82" s="1352">
        <f t="shared" si="15"/>
        <v>0.10014221941526347</v>
      </c>
      <c r="O82" s="1244">
        <v>5613997.2552246181</v>
      </c>
      <c r="P82" s="1244">
        <f>+O82*$P$10</f>
        <v>7112459.9039883614</v>
      </c>
      <c r="Q82" s="1244">
        <f>IFERROR(INDEX(AdicionesVNR_actualiz!$L:$L,MATCH(D82,AdicionesVNR_actualiz!$B:$B,0)),0)</f>
        <v>-0.12828148979497897</v>
      </c>
      <c r="R82" s="1244">
        <f>SUM(P82:Q82)</f>
        <v>7112459.7757068714</v>
      </c>
      <c r="S82" s="1352">
        <f>R82/O82-1</f>
        <v>0.26691543518082805</v>
      </c>
      <c r="T82" s="1380">
        <f>IF(ISNUMBER(J82),R82/J82-1,"")</f>
        <v>-0.28558231302993853</v>
      </c>
      <c r="U82" s="14"/>
      <c r="AC82" s="21"/>
    </row>
    <row r="83" spans="2:29" ht="13.5" thickBot="1" x14ac:dyDescent="0.25">
      <c r="C83" s="1315" t="s">
        <v>325</v>
      </c>
      <c r="D83" s="1316"/>
      <c r="E83" s="1317"/>
      <c r="F83" s="1316"/>
      <c r="G83" s="1318">
        <f>SUM(G77:G82)</f>
        <v>36.129999999999995</v>
      </c>
      <c r="H83" s="1319">
        <f>SUM(H77:H82)</f>
        <v>36.129999999999995</v>
      </c>
      <c r="I83" s="1320"/>
      <c r="J83" s="1321">
        <f>SUM(J74:J82)</f>
        <v>35319901.968491502</v>
      </c>
      <c r="K83" s="1321">
        <f>SUM(K73:K82)</f>
        <v>34234198.249109991</v>
      </c>
      <c r="L83" s="1321">
        <f>SUM(L77:L82)</f>
        <v>9685985.5702508613</v>
      </c>
      <c r="M83" s="1322">
        <f>J83/L83-1</f>
        <v>2.6464954146712341</v>
      </c>
      <c r="N83" s="1322">
        <f t="shared" si="15"/>
        <v>2.5344052498132461</v>
      </c>
      <c r="O83" s="1321">
        <f>SUM(O77:O82)</f>
        <v>7309323.2731987555</v>
      </c>
      <c r="P83" s="1321">
        <f>SUM(P77:P82)</f>
        <v>9260294.6425621435</v>
      </c>
      <c r="Q83" s="1321">
        <f>SUM(Q77:Q82)</f>
        <v>168095.9060422295</v>
      </c>
      <c r="R83" s="1321">
        <f>SUM(R74:R82)</f>
        <v>33006627.135234371</v>
      </c>
      <c r="S83" s="1322">
        <f>R83/O83-1</f>
        <v>3.5156885119940506</v>
      </c>
      <c r="T83" s="1381">
        <f>IF(ISNUMBER(J83),R83/J83-1,"")</f>
        <v>-6.5494939236263372E-2</v>
      </c>
      <c r="AC83" s="21"/>
    </row>
    <row r="84" spans="2:29" ht="13.5" thickBot="1" x14ac:dyDescent="0.25">
      <c r="C84" s="1382"/>
      <c r="D84" s="1383"/>
      <c r="E84" s="1384"/>
      <c r="F84" s="1383"/>
      <c r="G84" s="1385"/>
      <c r="H84" s="1386"/>
      <c r="I84" s="1387"/>
      <c r="J84" s="1388"/>
      <c r="K84" s="1382"/>
      <c r="L84" s="1382"/>
      <c r="M84" s="1389"/>
      <c r="N84" s="1389"/>
      <c r="O84" s="1382"/>
      <c r="P84" s="1390"/>
      <c r="Q84" s="1391"/>
      <c r="R84" s="1382"/>
      <c r="S84" s="1392" t="str">
        <f>IF(ISNUMBER(R84),R84/O84-1,"")</f>
        <v/>
      </c>
      <c r="T84" s="1392" t="str">
        <f>IF(ISNUMBER(R84),J84/R84-1,"")</f>
        <v/>
      </c>
      <c r="V84" s="10"/>
      <c r="AC84" s="21"/>
    </row>
    <row r="85" spans="2:29" ht="13.5" thickBot="1" x14ac:dyDescent="0.25">
      <c r="C85" s="1393" t="s">
        <v>289</v>
      </c>
      <c r="D85" s="1383"/>
      <c r="E85" s="1382"/>
      <c r="F85" s="1394"/>
      <c r="G85" s="1395" t="s">
        <v>467</v>
      </c>
      <c r="H85" s="1396">
        <f>H70+H83</f>
        <v>3315.0200000000004</v>
      </c>
      <c r="I85" s="1397"/>
      <c r="J85" s="1398">
        <f>J70+J83</f>
        <v>1309668478.708499</v>
      </c>
      <c r="K85" s="1398">
        <f>K70+K83</f>
        <v>906445062.32212412</v>
      </c>
      <c r="L85" s="1398">
        <f>L70+L83</f>
        <v>717522819.84254968</v>
      </c>
      <c r="M85" s="1399">
        <f>J85/L85-1</f>
        <v>0.82526386965070642</v>
      </c>
      <c r="N85" s="1399">
        <f>K85/L85-1</f>
        <v>0.26329788719616021</v>
      </c>
      <c r="O85" s="1398">
        <f>O70+O83</f>
        <v>600069166.9213109</v>
      </c>
      <c r="P85" s="1398">
        <f>P70+P83</f>
        <v>760236903.46046662</v>
      </c>
      <c r="Q85" s="1398">
        <f>Q70+Q83</f>
        <v>18065160.482851032</v>
      </c>
      <c r="R85" s="1398">
        <f>R70+R83</f>
        <v>924344048.79500401</v>
      </c>
      <c r="S85" s="1399">
        <f>R85/O85-1</f>
        <v>0.5403958405951832</v>
      </c>
      <c r="T85" s="1400">
        <f>IF(ISNUMBER(J85),R85/J85-1,"")</f>
        <v>-0.29421524315334691</v>
      </c>
      <c r="AC85" s="21"/>
    </row>
    <row r="86" spans="2:29" ht="13.5" thickBot="1" x14ac:dyDescent="0.25">
      <c r="H86" s="1240" t="s">
        <v>467</v>
      </c>
      <c r="I86" s="1238"/>
      <c r="J86" s="1401" t="s">
        <v>467</v>
      </c>
      <c r="R86" s="10"/>
    </row>
    <row r="87" spans="2:29" ht="13.5" thickBot="1" x14ac:dyDescent="0.25">
      <c r="I87" s="1238"/>
      <c r="J87" s="1402" t="s">
        <v>1409</v>
      </c>
      <c r="K87" s="1403">
        <f>K70-K88</f>
        <v>872210864.07301414</v>
      </c>
      <c r="Q87" s="1402" t="s">
        <v>1409</v>
      </c>
      <c r="R87" s="1403">
        <f>R70-R88</f>
        <v>891337421.65976965</v>
      </c>
    </row>
    <row r="88" spans="2:29" ht="13.5" thickBot="1" x14ac:dyDescent="0.25">
      <c r="I88" s="1238"/>
      <c r="J88" s="1402" t="s">
        <v>1408</v>
      </c>
      <c r="K88" s="1403">
        <f>SUMIFS(K16:K83,U16:U83,U88)</f>
        <v>0</v>
      </c>
      <c r="Q88" s="1402" t="s">
        <v>1408</v>
      </c>
      <c r="R88" s="1403">
        <f>SUMIFS(R16:R83,U16:U83,U88)</f>
        <v>0</v>
      </c>
      <c r="U88" s="1404" t="s">
        <v>535</v>
      </c>
    </row>
    <row r="89" spans="2:29" x14ac:dyDescent="0.2">
      <c r="I89" s="1238"/>
      <c r="J89" s="1401"/>
    </row>
    <row r="90" spans="2:29" x14ac:dyDescent="0.2">
      <c r="C90" s="11" t="s">
        <v>1407</v>
      </c>
      <c r="I90" s="1238"/>
      <c r="J90" s="1405" t="s">
        <v>467</v>
      </c>
    </row>
    <row r="91" spans="2:29" x14ac:dyDescent="0.2">
      <c r="C91" s="11" t="s">
        <v>1406</v>
      </c>
      <c r="I91" s="1238"/>
    </row>
    <row r="92" spans="2:29" x14ac:dyDescent="0.2">
      <c r="C92" s="1" t="s">
        <v>1405</v>
      </c>
      <c r="I92" s="1238"/>
    </row>
    <row r="93" spans="2:29" x14ac:dyDescent="0.2">
      <c r="C93" s="11" t="s">
        <v>467</v>
      </c>
      <c r="I93" s="1405"/>
      <c r="J93" s="1406"/>
    </row>
    <row r="94" spans="2:29" x14ac:dyDescent="0.2">
      <c r="C94" s="11" t="s">
        <v>467</v>
      </c>
      <c r="I94" s="1406"/>
    </row>
  </sheetData>
  <mergeCells count="10">
    <mergeCell ref="C16:C28"/>
    <mergeCell ref="C29:C33"/>
    <mergeCell ref="C34:C38"/>
    <mergeCell ref="C79:C82"/>
    <mergeCell ref="C67:C68"/>
    <mergeCell ref="C52:C55"/>
    <mergeCell ref="C58:C64"/>
    <mergeCell ref="C44:C49"/>
    <mergeCell ref="C39:C43"/>
    <mergeCell ref="C74:C76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Y84"/>
  <sheetViews>
    <sheetView showGridLines="0" zoomScale="110" zoomScaleNormal="110" workbookViewId="0">
      <selection activeCell="H6" sqref="H6"/>
    </sheetView>
  </sheetViews>
  <sheetFormatPr baseColWidth="10" defaultColWidth="14.85546875" defaultRowHeight="15" outlineLevelCol="1" x14ac:dyDescent="0.25"/>
  <cols>
    <col min="1" max="1" width="3.140625" style="969" customWidth="1"/>
    <col min="2" max="2" width="2.85546875" style="969" customWidth="1"/>
    <col min="3" max="3" width="24.140625" style="969" customWidth="1"/>
    <col min="4" max="4" width="15" style="969" customWidth="1" outlineLevel="1"/>
    <col min="5" max="5" width="16" style="969" customWidth="1" outlineLevel="1"/>
    <col min="6" max="6" width="18.5703125" style="969" hidden="1" customWidth="1"/>
    <col min="7" max="7" width="13.7109375" style="969" customWidth="1" outlineLevel="1"/>
    <col min="8" max="8" width="14.140625" style="969" customWidth="1" outlineLevel="1"/>
    <col min="9" max="9" width="18.5703125" style="969" customWidth="1" outlineLevel="1"/>
    <col min="10" max="10" width="10" style="969" customWidth="1" outlineLevel="1"/>
    <col min="11" max="13" width="14.85546875" style="969" customWidth="1" outlineLevel="1"/>
    <col min="14" max="14" width="0" style="969" hidden="1" customWidth="1"/>
    <col min="15" max="15" width="14.85546875" style="969"/>
    <col min="16" max="16" width="14.85546875" style="969" hidden="1" customWidth="1" outlineLevel="1"/>
    <col min="17" max="17" width="0" style="969" hidden="1" customWidth="1" collapsed="1"/>
    <col min="18" max="16384" width="14.85546875" style="969"/>
  </cols>
  <sheetData>
    <row r="1" spans="3:25" ht="18.75" x14ac:dyDescent="0.3">
      <c r="C1" s="299" t="s">
        <v>1471</v>
      </c>
    </row>
    <row r="2" spans="3:25" x14ac:dyDescent="0.25">
      <c r="C2"/>
      <c r="D2" s="713" t="s">
        <v>429</v>
      </c>
      <c r="E2" s="713" t="s">
        <v>356</v>
      </c>
    </row>
    <row r="3" spans="3:25" x14ac:dyDescent="0.25">
      <c r="C3" s="713" t="s">
        <v>111</v>
      </c>
      <c r="D3" s="654">
        <f>O32</f>
        <v>622056881.28458261</v>
      </c>
      <c r="E3" s="654">
        <f>D3</f>
        <v>622056881.28458261</v>
      </c>
    </row>
    <row r="4" spans="3:25" x14ac:dyDescent="0.25">
      <c r="C4" s="713" t="s">
        <v>112</v>
      </c>
      <c r="D4" s="654">
        <f>N33</f>
        <v>0</v>
      </c>
      <c r="E4" s="654">
        <f>D4</f>
        <v>0</v>
      </c>
    </row>
    <row r="5" spans="3:25" x14ac:dyDescent="0.25">
      <c r="C5" s="713" t="s">
        <v>113</v>
      </c>
      <c r="D5" s="654">
        <f>O58</f>
        <v>78962652.50137262</v>
      </c>
      <c r="E5" s="654">
        <f>D5</f>
        <v>78962652.50137262</v>
      </c>
    </row>
    <row r="6" spans="3:25" x14ac:dyDescent="0.25">
      <c r="C6" s="713" t="s">
        <v>114</v>
      </c>
      <c r="D6" s="654">
        <f>O42</f>
        <v>54626982.021685153</v>
      </c>
      <c r="E6" s="654">
        <f>D6</f>
        <v>54626982.021685153</v>
      </c>
    </row>
    <row r="8" spans="3:25" x14ac:dyDescent="0.25">
      <c r="K8" s="1010" t="s">
        <v>1454</v>
      </c>
      <c r="L8" s="969">
        <f>[7]Indices!H55</f>
        <v>1.2144438558851962</v>
      </c>
    </row>
    <row r="9" spans="3:25" ht="19.5" thickBot="1" x14ac:dyDescent="0.35">
      <c r="C9" s="989" t="s">
        <v>752</v>
      </c>
      <c r="G9" s="1007"/>
    </row>
    <row r="10" spans="3:25" ht="60" x14ac:dyDescent="0.25">
      <c r="C10" s="968" t="s">
        <v>1466</v>
      </c>
      <c r="D10" s="968" t="s">
        <v>1468</v>
      </c>
      <c r="E10" s="968" t="s">
        <v>1465</v>
      </c>
      <c r="F10" s="968" t="s">
        <v>1463</v>
      </c>
      <c r="G10" s="968" t="s">
        <v>1467</v>
      </c>
      <c r="H10" s="968" t="s">
        <v>1462</v>
      </c>
      <c r="I10" s="968" t="s">
        <v>1460</v>
      </c>
      <c r="J10" s="968" t="s">
        <v>1448</v>
      </c>
      <c r="K10" s="968" t="s">
        <v>1447</v>
      </c>
      <c r="L10" s="968" t="s">
        <v>1446</v>
      </c>
      <c r="M10" s="968" t="s">
        <v>1445</v>
      </c>
      <c r="N10" s="968" t="s">
        <v>1444</v>
      </c>
      <c r="O10" s="968" t="s">
        <v>1813</v>
      </c>
      <c r="P10" s="968" t="s">
        <v>1443</v>
      </c>
      <c r="Q10" s="968" t="s">
        <v>357</v>
      </c>
      <c r="R10" s="1009"/>
    </row>
    <row r="11" spans="3:25" ht="15.75" thickBot="1" x14ac:dyDescent="0.3">
      <c r="C11" s="967"/>
      <c r="D11" s="966" t="s">
        <v>1441</v>
      </c>
      <c r="E11" s="966" t="s">
        <v>1441</v>
      </c>
      <c r="F11" s="966" t="s">
        <v>1441</v>
      </c>
      <c r="G11" s="966" t="s">
        <v>1441</v>
      </c>
      <c r="H11" s="966" t="s">
        <v>1441</v>
      </c>
      <c r="I11" s="966" t="s">
        <v>1441</v>
      </c>
      <c r="J11" s="966" t="s">
        <v>5</v>
      </c>
      <c r="K11" s="966" t="s">
        <v>1441</v>
      </c>
      <c r="L11" s="966" t="s">
        <v>1441</v>
      </c>
      <c r="M11" s="966" t="s">
        <v>1441</v>
      </c>
      <c r="N11" s="966" t="s">
        <v>1441</v>
      </c>
      <c r="O11" s="966"/>
      <c r="P11" s="966" t="s">
        <v>5</v>
      </c>
      <c r="Q11" s="966" t="s">
        <v>5</v>
      </c>
    </row>
    <row r="12" spans="3:25" ht="15.75" thickBot="1" x14ac:dyDescent="0.3">
      <c r="C12" s="988" t="s">
        <v>430</v>
      </c>
      <c r="D12" s="1429">
        <f>[10]TOTAL!C6</f>
        <v>81253562.286067054</v>
      </c>
      <c r="E12" s="1429">
        <f>[10]TOTAL!D6</f>
        <v>37356288.715684421</v>
      </c>
      <c r="F12" s="987">
        <f t="shared" ref="F12:F28" si="0">SUM(D12:E12)</f>
        <v>118609851.00175148</v>
      </c>
      <c r="G12" s="987">
        <v>69563197.483092025</v>
      </c>
      <c r="H12" s="987">
        <v>27676377.424378805</v>
      </c>
      <c r="I12" s="987">
        <f t="shared" ref="I12:I26" si="1">SUM(G12:H12)</f>
        <v>97239574.907470822</v>
      </c>
      <c r="J12" s="986">
        <f t="shared" ref="J12:J29" si="2">F12/I12-1</f>
        <v>0.21976932863616216</v>
      </c>
      <c r="K12" s="987">
        <v>81268835.367470801</v>
      </c>
      <c r="L12" s="987">
        <f t="shared" ref="L12:L26" si="3">+K12*$L$8</f>
        <v>98696437.786970451</v>
      </c>
      <c r="M12" s="1008">
        <f>SUMIFS(AdicionesVNR_actualiz!$L:$L,AdicionesVNR_actualiz!$M:$M,"SP",AdicionesVNR_actualiz!$B:$B,C12)</f>
        <v>27403240.199538369</v>
      </c>
      <c r="N12" s="1008">
        <f t="shared" ref="N12:N26" si="4">M12+L12</f>
        <v>126099677.98650882</v>
      </c>
      <c r="O12" s="1008">
        <f>F12</f>
        <v>118609851.00175148</v>
      </c>
      <c r="P12" s="986">
        <f>N12/K12-1</f>
        <v>0.55163633656527455</v>
      </c>
      <c r="Q12" s="985">
        <f>N12/F12-1</f>
        <v>6.3146753170162384E-2</v>
      </c>
      <c r="R12" s="1548"/>
      <c r="S12" s="991"/>
      <c r="T12" s="1006"/>
      <c r="V12" s="1235"/>
      <c r="W12" s="1235"/>
      <c r="X12" s="1235"/>
      <c r="Y12" s="1235"/>
    </row>
    <row r="13" spans="3:25" ht="15.75" thickBot="1" x14ac:dyDescent="0.3">
      <c r="C13" s="984" t="s">
        <v>431</v>
      </c>
      <c r="D13" s="1429">
        <f>[10]TOTAL!C7</f>
        <v>48598642.164690673</v>
      </c>
      <c r="E13" s="1429">
        <f>[10]TOTAL!D7</f>
        <v>45160673.384403311</v>
      </c>
      <c r="F13" s="982">
        <f t="shared" si="0"/>
        <v>93759315.549093992</v>
      </c>
      <c r="G13" s="982">
        <v>50057571.30505681</v>
      </c>
      <c r="H13" s="982">
        <v>33813754.754891217</v>
      </c>
      <c r="I13" s="982">
        <f t="shared" si="1"/>
        <v>83871326.059948027</v>
      </c>
      <c r="J13" s="981">
        <f t="shared" si="2"/>
        <v>0.11789475561741325</v>
      </c>
      <c r="K13" s="982">
        <v>75145522.248748019</v>
      </c>
      <c r="L13" s="982">
        <f t="shared" si="3"/>
        <v>91260017.792276338</v>
      </c>
      <c r="M13" s="1004">
        <f>SUMIFS(AdicionesVNR_actualiz!$L:$L,AdicionesVNR_actualiz!$M:$M,"SP",AdicionesVNR_actualiz!$B:$B,C13)</f>
        <v>17543648.061888829</v>
      </c>
      <c r="N13" s="1004">
        <f t="shared" si="4"/>
        <v>108803665.85416517</v>
      </c>
      <c r="O13" s="1008">
        <f t="shared" ref="O13:O26" si="5">F13</f>
        <v>93759315.549093992</v>
      </c>
      <c r="P13" s="981">
        <f t="shared" ref="P13:P29" si="6">N13/K13-1</f>
        <v>0.44790617721707182</v>
      </c>
      <c r="Q13" s="980">
        <f t="shared" ref="Q13:Q29" si="7">N13/F13-1</f>
        <v>0.16045712596092598</v>
      </c>
      <c r="R13" s="1548"/>
      <c r="S13" s="991"/>
      <c r="T13" s="1006"/>
      <c r="V13" s="1235"/>
      <c r="W13" s="1235"/>
      <c r="X13" s="1235"/>
      <c r="Y13" s="1235"/>
    </row>
    <row r="14" spans="3:25" ht="15.75" thickBot="1" x14ac:dyDescent="0.3">
      <c r="C14" s="984" t="s">
        <v>432</v>
      </c>
      <c r="D14" s="1429">
        <f>[10]TOTAL!C11</f>
        <v>50402138.587442502</v>
      </c>
      <c r="E14" s="1429">
        <f>[10]TOTAL!D11</f>
        <v>0</v>
      </c>
      <c r="F14" s="982">
        <f t="shared" si="0"/>
        <v>50402138.587442502</v>
      </c>
      <c r="G14" s="982">
        <v>37769247.272560798</v>
      </c>
      <c r="H14" s="982"/>
      <c r="I14" s="982">
        <f t="shared" si="1"/>
        <v>37769247.272560798</v>
      </c>
      <c r="J14" s="981">
        <f t="shared" si="2"/>
        <v>0.33447559131154425</v>
      </c>
      <c r="K14" s="982">
        <v>14205732.554233395</v>
      </c>
      <c r="L14" s="982">
        <f t="shared" si="3"/>
        <v>17252064.618837062</v>
      </c>
      <c r="M14" s="1004">
        <f>SUMIFS(AdicionesVNR_actualiz!$L:$L,AdicionesVNR_actualiz!$M:$M,"SP",AdicionesVNR_actualiz!$B:$B,C14)</f>
        <v>7571675.0029868055</v>
      </c>
      <c r="N14" s="1004">
        <f t="shared" si="4"/>
        <v>24823739.62182387</v>
      </c>
      <c r="O14" s="1008">
        <f t="shared" si="5"/>
        <v>50402138.587442502</v>
      </c>
      <c r="P14" s="981">
        <f t="shared" si="6"/>
        <v>0.74744523220143577</v>
      </c>
      <c r="Q14" s="980">
        <f t="shared" si="7"/>
        <v>-0.50748638217489028</v>
      </c>
      <c r="R14" s="1548"/>
      <c r="S14" s="991"/>
      <c r="T14" s="1006"/>
      <c r="V14" s="1235"/>
      <c r="W14" s="1235"/>
      <c r="X14" s="1235"/>
      <c r="Y14" s="1235"/>
    </row>
    <row r="15" spans="3:25" ht="15.75" thickBot="1" x14ac:dyDescent="0.3">
      <c r="C15" s="984" t="s">
        <v>433</v>
      </c>
      <c r="D15" s="1429">
        <f>[10]TOTAL!C12</f>
        <v>13249825.63839709</v>
      </c>
      <c r="E15" s="1429">
        <f>[10]TOTAL!D12</f>
        <v>0</v>
      </c>
      <c r="F15" s="982">
        <f t="shared" si="0"/>
        <v>13249825.63839709</v>
      </c>
      <c r="G15" s="982">
        <v>15808028.239438001</v>
      </c>
      <c r="H15" s="982"/>
      <c r="I15" s="982">
        <f t="shared" si="1"/>
        <v>15808028.239438001</v>
      </c>
      <c r="J15" s="981">
        <f t="shared" si="2"/>
        <v>-0.16182932888863932</v>
      </c>
      <c r="K15" s="982">
        <v>9975106.1939016003</v>
      </c>
      <c r="L15" s="982">
        <f t="shared" si="3"/>
        <v>12114206.428986164</v>
      </c>
      <c r="M15" s="1004">
        <f>SUMIFS(AdicionesVNR_actualiz!$L:$L,AdicionesVNR_actualiz!$M:$M,"SP",AdicionesVNR_actualiz!$B:$B,C15)</f>
        <v>2709783.8329668404</v>
      </c>
      <c r="N15" s="1004">
        <f t="shared" si="4"/>
        <v>14823990.261953004</v>
      </c>
      <c r="O15" s="1008">
        <f t="shared" si="5"/>
        <v>13249825.63839709</v>
      </c>
      <c r="P15" s="981">
        <f t="shared" si="6"/>
        <v>0.48609849096301616</v>
      </c>
      <c r="Q15" s="980">
        <f t="shared" si="7"/>
        <v>0.11880644066696933</v>
      </c>
      <c r="R15" s="1548"/>
      <c r="S15" s="991"/>
      <c r="T15" s="1007"/>
      <c r="V15" s="1235"/>
      <c r="W15" s="1235"/>
      <c r="X15" s="1235"/>
      <c r="Y15" s="1235"/>
    </row>
    <row r="16" spans="3:25" ht="15.75" thickBot="1" x14ac:dyDescent="0.3">
      <c r="C16" s="984" t="s">
        <v>434</v>
      </c>
      <c r="D16" s="1429">
        <f>[10]TOTAL!C13</f>
        <v>110034315.95481004</v>
      </c>
      <c r="E16" s="1429">
        <f>[10]TOTAL!D13</f>
        <v>0</v>
      </c>
      <c r="F16" s="982">
        <f t="shared" si="0"/>
        <v>110034315.95481004</v>
      </c>
      <c r="G16" s="982">
        <v>82809522.854122028</v>
      </c>
      <c r="H16" s="982"/>
      <c r="I16" s="982">
        <f t="shared" si="1"/>
        <v>82809522.854122028</v>
      </c>
      <c r="J16" s="981">
        <f t="shared" si="2"/>
        <v>0.32876403778642027</v>
      </c>
      <c r="K16" s="982">
        <v>56954346.181484647</v>
      </c>
      <c r="L16" s="982">
        <f t="shared" si="3"/>
        <v>69167855.786062509</v>
      </c>
      <c r="M16" s="1004">
        <f>SUMIFS(AdicionesVNR_actualiz!$L:$L,AdicionesVNR_actualiz!$M:$M,"SP",AdicionesVNR_actualiz!$B:$B,C16)</f>
        <v>28785545.827793408</v>
      </c>
      <c r="N16" s="1004">
        <f t="shared" si="4"/>
        <v>97953401.613855913</v>
      </c>
      <c r="O16" s="1008">
        <f t="shared" si="5"/>
        <v>110034315.95481004</v>
      </c>
      <c r="P16" s="981">
        <f t="shared" si="6"/>
        <v>0.71985824052352476</v>
      </c>
      <c r="Q16" s="980">
        <f t="shared" si="7"/>
        <v>-0.10979224286644929</v>
      </c>
      <c r="R16" s="1548"/>
      <c r="S16" s="991"/>
      <c r="T16" s="1006"/>
      <c r="V16" s="1235"/>
      <c r="W16" s="1235"/>
      <c r="X16" s="1235"/>
      <c r="Y16" s="1235"/>
    </row>
    <row r="17" spans="3:25" ht="15.75" thickBot="1" x14ac:dyDescent="0.3">
      <c r="C17" s="984" t="s">
        <v>435</v>
      </c>
      <c r="D17" s="1429">
        <f>[10]TOTAL!C14</f>
        <v>53328555.086135</v>
      </c>
      <c r="E17" s="1429">
        <f>[10]TOTAL!D14</f>
        <v>0</v>
      </c>
      <c r="F17" s="982">
        <f t="shared" si="0"/>
        <v>53328555.086135</v>
      </c>
      <c r="G17" s="982">
        <v>46010880.697420001</v>
      </c>
      <c r="H17" s="982"/>
      <c r="I17" s="982">
        <f t="shared" si="1"/>
        <v>46010880.697420001</v>
      </c>
      <c r="J17" s="981">
        <f t="shared" si="2"/>
        <v>0.15904225865264365</v>
      </c>
      <c r="K17" s="982">
        <v>38967373.227820002</v>
      </c>
      <c r="L17" s="982">
        <f t="shared" si="3"/>
        <v>47323686.996511288</v>
      </c>
      <c r="M17" s="1004">
        <f>SUMIFS(AdicionesVNR_actualiz!$L:$L,AdicionesVNR_actualiz!$M:$M,"SP",AdicionesVNR_actualiz!$B:$B,C17)</f>
        <v>6192444.0648005866</v>
      </c>
      <c r="N17" s="1004">
        <f t="shared" si="4"/>
        <v>53516131.061311871</v>
      </c>
      <c r="O17" s="1008">
        <f t="shared" si="5"/>
        <v>53328555.086135</v>
      </c>
      <c r="P17" s="981">
        <f t="shared" si="6"/>
        <v>0.37335741745879503</v>
      </c>
      <c r="Q17" s="980">
        <f t="shared" si="7"/>
        <v>3.517364662775968E-3</v>
      </c>
      <c r="R17" s="1548"/>
      <c r="S17" s="991"/>
      <c r="T17" s="1006"/>
      <c r="V17" s="1235"/>
      <c r="W17" s="1235"/>
      <c r="X17" s="1235"/>
      <c r="Y17" s="1235"/>
    </row>
    <row r="18" spans="3:25" ht="15.75" thickBot="1" x14ac:dyDescent="0.3">
      <c r="C18" s="984" t="s">
        <v>436</v>
      </c>
      <c r="D18" s="1429">
        <f>[10]TOTAL!C15</f>
        <v>14588259.801823238</v>
      </c>
      <c r="E18" s="1429">
        <f>[10]TOTAL!D15</f>
        <v>0</v>
      </c>
      <c r="F18" s="982">
        <f t="shared" si="0"/>
        <v>14588259.801823238</v>
      </c>
      <c r="G18" s="982">
        <v>15832405.516237998</v>
      </c>
      <c r="H18" s="982"/>
      <c r="I18" s="982">
        <f t="shared" si="1"/>
        <v>15832405.516237998</v>
      </c>
      <c r="J18" s="981">
        <f t="shared" si="2"/>
        <v>-7.8582228906323937E-2</v>
      </c>
      <c r="K18" s="982">
        <v>13149164.575438002</v>
      </c>
      <c r="L18" s="982">
        <f t="shared" si="3"/>
        <v>15968922.128663957</v>
      </c>
      <c r="M18" s="1004">
        <f>SUMIFS(AdicionesVNR_actualiz!$L:$L,AdicionesVNR_actualiz!$M:$M,"SP",AdicionesVNR_actualiz!$B:$B,C18)</f>
        <v>57791.859608527018</v>
      </c>
      <c r="N18" s="1004">
        <f t="shared" si="4"/>
        <v>16026713.988272484</v>
      </c>
      <c r="O18" s="1008">
        <f t="shared" si="5"/>
        <v>14588259.801823238</v>
      </c>
      <c r="P18" s="981">
        <f t="shared" si="6"/>
        <v>0.21883895332860948</v>
      </c>
      <c r="Q18" s="980">
        <f t="shared" si="7"/>
        <v>9.8603548743316782E-2</v>
      </c>
      <c r="R18" s="1548"/>
      <c r="S18" s="991"/>
      <c r="V18" s="1235"/>
      <c r="W18" s="1235"/>
      <c r="X18" s="1235"/>
      <c r="Y18" s="1235"/>
    </row>
    <row r="19" spans="3:25" ht="15.75" thickBot="1" x14ac:dyDescent="0.3">
      <c r="C19" s="984" t="s">
        <v>437</v>
      </c>
      <c r="D19" s="1429">
        <f>[10]TOTAL!C16</f>
        <v>31372892.831478421</v>
      </c>
      <c r="E19" s="1429">
        <f>[10]TOTAL!D16</f>
        <v>6126377.5003104182</v>
      </c>
      <c r="F19" s="982">
        <f t="shared" si="0"/>
        <v>37499270.331788838</v>
      </c>
      <c r="G19" s="982">
        <v>34835348.227320008</v>
      </c>
      <c r="H19" s="982">
        <v>6821860.0206150031</v>
      </c>
      <c r="I19" s="982">
        <f t="shared" si="1"/>
        <v>41657208.247935012</v>
      </c>
      <c r="J19" s="981">
        <f t="shared" si="2"/>
        <v>-9.9813167781167556E-2</v>
      </c>
      <c r="K19" s="982">
        <v>37570166.189534999</v>
      </c>
      <c r="L19" s="982">
        <f t="shared" si="3"/>
        <v>45626857.493466511</v>
      </c>
      <c r="M19" s="1004">
        <f>SUMIFS(AdicionesVNR_actualiz!$L:$L,AdicionesVNR_actualiz!$M:$M,"SP",AdicionesVNR_actualiz!$B:$B,C19)</f>
        <v>2958369.2647822974</v>
      </c>
      <c r="N19" s="1004">
        <f t="shared" si="4"/>
        <v>48585226.758248806</v>
      </c>
      <c r="O19" s="1008">
        <f t="shared" si="5"/>
        <v>37499270.331788838</v>
      </c>
      <c r="P19" s="981">
        <f t="shared" si="6"/>
        <v>0.29318636795868103</v>
      </c>
      <c r="Q19" s="980">
        <f t="shared" si="7"/>
        <v>0.29563125704507898</v>
      </c>
      <c r="R19" s="1548"/>
      <c r="S19" s="991"/>
      <c r="V19" s="1235"/>
      <c r="W19" s="1235"/>
      <c r="X19" s="1235"/>
      <c r="Y19" s="1235"/>
    </row>
    <row r="20" spans="3:25" ht="15.75" thickBot="1" x14ac:dyDescent="0.3">
      <c r="C20" s="984" t="s">
        <v>438</v>
      </c>
      <c r="D20" s="1429">
        <f>[10]TOTAL!C17</f>
        <v>18367645.473388236</v>
      </c>
      <c r="E20" s="1429">
        <f>[10]TOTAL!D17</f>
        <v>0</v>
      </c>
      <c r="F20" s="982">
        <f t="shared" si="0"/>
        <v>18367645.473388236</v>
      </c>
      <c r="G20" s="982">
        <v>16203360.447499601</v>
      </c>
      <c r="H20" s="982"/>
      <c r="I20" s="982">
        <f t="shared" si="1"/>
        <v>16203360.447499601</v>
      </c>
      <c r="J20" s="981">
        <f t="shared" si="2"/>
        <v>0.13357013397937556</v>
      </c>
      <c r="K20" s="982">
        <v>14861739.977099603</v>
      </c>
      <c r="L20" s="982">
        <f t="shared" si="3"/>
        <v>18048748.80295201</v>
      </c>
      <c r="M20" s="1004">
        <f>SUMIFS(AdicionesVNR_actualiz!$L:$L,AdicionesVNR_actualiz!$M:$M,"SP",AdicionesVNR_actualiz!$B:$B,C20)</f>
        <v>11773909.383175768</v>
      </c>
      <c r="N20" s="1004">
        <f t="shared" si="4"/>
        <v>29822658.186127778</v>
      </c>
      <c r="O20" s="1008">
        <f t="shared" si="5"/>
        <v>18367645.473388236</v>
      </c>
      <c r="P20" s="981">
        <f t="shared" si="6"/>
        <v>1.0066733930267517</v>
      </c>
      <c r="Q20" s="980">
        <f t="shared" si="7"/>
        <v>0.62365166669489636</v>
      </c>
      <c r="R20" s="1548"/>
      <c r="S20" s="991"/>
      <c r="V20" s="1235"/>
      <c r="W20" s="1235"/>
      <c r="X20" s="1235"/>
      <c r="Y20" s="1235"/>
    </row>
    <row r="21" spans="3:25" ht="15.75" thickBot="1" x14ac:dyDescent="0.3">
      <c r="C21" s="984" t="s">
        <v>439</v>
      </c>
      <c r="D21" s="1429">
        <f>[10]TOTAL!C18</f>
        <v>4469051.3571431199</v>
      </c>
      <c r="E21" s="1429">
        <f>[10]TOTAL!D18</f>
        <v>0</v>
      </c>
      <c r="F21" s="982">
        <f t="shared" si="0"/>
        <v>4469051.3571431199</v>
      </c>
      <c r="G21" s="982">
        <v>5832112.9685363993</v>
      </c>
      <c r="H21" s="982"/>
      <c r="I21" s="982">
        <f t="shared" si="1"/>
        <v>5832112.9685363993</v>
      </c>
      <c r="J21" s="981">
        <f t="shared" si="2"/>
        <v>-0.23371659958352065</v>
      </c>
      <c r="K21" s="982">
        <v>4825897.6157364016</v>
      </c>
      <c r="L21" s="982">
        <f t="shared" si="3"/>
        <v>5860781.708562091</v>
      </c>
      <c r="M21" s="1004">
        <f>SUMIFS(AdicionesVNR_actualiz!$L:$L,AdicionesVNR_actualiz!$M:$M,"SP",AdicionesVNR_actualiz!$B:$B,C21)</f>
        <v>-0.16493334508882518</v>
      </c>
      <c r="N21" s="1004">
        <f t="shared" si="4"/>
        <v>5860781.5436287457</v>
      </c>
      <c r="O21" s="1008">
        <f t="shared" si="5"/>
        <v>4469051.3571431199</v>
      </c>
      <c r="P21" s="981">
        <f t="shared" si="6"/>
        <v>0.21444382170847764</v>
      </c>
      <c r="Q21" s="980">
        <f t="shared" si="7"/>
        <v>0.31141512488129064</v>
      </c>
      <c r="R21" s="1548"/>
      <c r="S21" s="991"/>
      <c r="V21" s="1235"/>
      <c r="W21" s="1235"/>
      <c r="X21" s="1235"/>
      <c r="Y21" s="1235"/>
    </row>
    <row r="22" spans="3:25" ht="15.75" thickBot="1" x14ac:dyDescent="0.3">
      <c r="C22" s="984" t="s">
        <v>441</v>
      </c>
      <c r="D22" s="1429">
        <f>[10]TOTAL!C21</f>
        <v>25815891.836158</v>
      </c>
      <c r="E22" s="1429">
        <f>[10]TOTAL!D21</f>
        <v>0</v>
      </c>
      <c r="F22" s="982">
        <f t="shared" si="0"/>
        <v>25815891.836158</v>
      </c>
      <c r="G22" s="982">
        <v>15690059.820875602</v>
      </c>
      <c r="H22" s="982"/>
      <c r="I22" s="982">
        <f t="shared" si="1"/>
        <v>15690059.820875602</v>
      </c>
      <c r="J22" s="981">
        <f t="shared" si="2"/>
        <v>0.64536605538048963</v>
      </c>
      <c r="K22" s="982">
        <v>13677629.115275599</v>
      </c>
      <c r="L22" s="982">
        <f t="shared" si="3"/>
        <v>16610712.642122922</v>
      </c>
      <c r="M22" s="1004">
        <f>SUMIFS(AdicionesVNR_actualiz!$L:$L,AdicionesVNR_actualiz!$M:$M,"SP",AdicionesVNR_actualiz!$B:$B,C22)</f>
        <v>10806143.255593302</v>
      </c>
      <c r="N22" s="1004">
        <f t="shared" si="4"/>
        <v>27416855.897716224</v>
      </c>
      <c r="O22" s="1008">
        <f t="shared" si="5"/>
        <v>25815891.836158</v>
      </c>
      <c r="P22" s="981">
        <f t="shared" si="6"/>
        <v>1.0045035339564978</v>
      </c>
      <c r="Q22" s="980">
        <f t="shared" si="7"/>
        <v>6.2014671881910344E-2</v>
      </c>
      <c r="R22" s="1548"/>
      <c r="S22" s="991"/>
      <c r="V22" s="1235"/>
      <c r="W22" s="1235"/>
      <c r="X22" s="1235"/>
      <c r="Y22" s="1235"/>
    </row>
    <row r="23" spans="3:25" ht="15.75" thickBot="1" x14ac:dyDescent="0.3">
      <c r="C23" s="984" t="s">
        <v>440</v>
      </c>
      <c r="D23" s="1429">
        <f>[10]TOTAL!C22</f>
        <v>4670073.0811969731</v>
      </c>
      <c r="E23" s="1429">
        <f>[10]TOTAL!D22</f>
        <v>0</v>
      </c>
      <c r="F23" s="982">
        <f t="shared" si="0"/>
        <v>4670073.0811969731</v>
      </c>
      <c r="G23" s="982">
        <v>6700743.1691255998</v>
      </c>
      <c r="H23" s="982"/>
      <c r="I23" s="982">
        <f t="shared" si="1"/>
        <v>6700743.1691255998</v>
      </c>
      <c r="J23" s="981">
        <f t="shared" si="2"/>
        <v>-0.30305147304931179</v>
      </c>
      <c r="K23" s="982">
        <v>5694527.8163256012</v>
      </c>
      <c r="L23" s="982">
        <f t="shared" si="3"/>
        <v>6915684.3187039699</v>
      </c>
      <c r="M23" s="1004">
        <f>SUMIFS(AdicionesVNR_actualiz!$L:$L,AdicionesVNR_actualiz!$M:$M,"SP",AdicionesVNR_actualiz!$B:$B,C23)</f>
        <v>129722.08</v>
      </c>
      <c r="N23" s="1004">
        <f t="shared" si="4"/>
        <v>7045406.39870397</v>
      </c>
      <c r="O23" s="1008">
        <f t="shared" si="5"/>
        <v>4670073.0811969731</v>
      </c>
      <c r="P23" s="981">
        <f t="shared" si="6"/>
        <v>0.23722398519251153</v>
      </c>
      <c r="Q23" s="980">
        <f t="shared" si="7"/>
        <v>0.50862872512011781</v>
      </c>
      <c r="R23" s="1548"/>
      <c r="S23" s="991"/>
      <c r="V23" s="1235"/>
      <c r="W23" s="1235"/>
      <c r="X23" s="1235"/>
      <c r="Y23" s="1235"/>
    </row>
    <row r="24" spans="3:25" ht="15.75" thickBot="1" x14ac:dyDescent="0.3">
      <c r="C24" s="984" t="s">
        <v>442</v>
      </c>
      <c r="D24" s="1429">
        <f>[10]TOTAL!C23</f>
        <v>0</v>
      </c>
      <c r="E24" s="1429">
        <f>[10]TOTAL!D23</f>
        <v>12110317.681827839</v>
      </c>
      <c r="F24" s="982">
        <f t="shared" si="0"/>
        <v>12110317.681827839</v>
      </c>
      <c r="G24" s="1005"/>
      <c r="H24" s="982">
        <v>10355326.181348205</v>
      </c>
      <c r="I24" s="982">
        <f t="shared" si="1"/>
        <v>10355326.181348205</v>
      </c>
      <c r="J24" s="981">
        <f t="shared" si="2"/>
        <v>0.16947718205542261</v>
      </c>
      <c r="K24" s="982">
        <v>10355326.181348205</v>
      </c>
      <c r="L24" s="982">
        <f t="shared" si="3"/>
        <v>12575962.256625438</v>
      </c>
      <c r="M24" s="1004">
        <f>SUMIFS(AdicionesVNR_actualiz!$L:$L,AdicionesVNR_actualiz!$M:$M,"SP",AdicionesVNR_actualiz!$B:$B,C24)</f>
        <v>2115358.254880595</v>
      </c>
      <c r="N24" s="1004">
        <f t="shared" si="4"/>
        <v>14691320.511506032</v>
      </c>
      <c r="O24" s="1008">
        <f t="shared" si="5"/>
        <v>12110317.681827839</v>
      </c>
      <c r="P24" s="981">
        <f t="shared" si="6"/>
        <v>0.41872117345446136</v>
      </c>
      <c r="Q24" s="980">
        <f t="shared" si="7"/>
        <v>0.21312428769322223</v>
      </c>
      <c r="R24" s="1548"/>
      <c r="S24" s="991"/>
      <c r="V24" s="1235"/>
      <c r="W24" s="1235"/>
      <c r="X24" s="1235"/>
      <c r="Y24" s="1235"/>
    </row>
    <row r="25" spans="3:25" ht="15.75" thickBot="1" x14ac:dyDescent="0.3">
      <c r="C25" s="984" t="s">
        <v>443</v>
      </c>
      <c r="D25" s="1429">
        <f>[10]TOTAL!C24</f>
        <v>0</v>
      </c>
      <c r="E25" s="1429">
        <f>[10]TOTAL!D24</f>
        <v>8047103.0056935325</v>
      </c>
      <c r="F25" s="982">
        <f t="shared" si="0"/>
        <v>8047103.0056935325</v>
      </c>
      <c r="G25" s="1005"/>
      <c r="H25" s="982">
        <v>12004307.123061605</v>
      </c>
      <c r="I25" s="982">
        <f t="shared" si="1"/>
        <v>12004307.123061605</v>
      </c>
      <c r="J25" s="981">
        <f t="shared" si="2"/>
        <v>-0.32964868999109864</v>
      </c>
      <c r="K25" s="982">
        <v>12004307.123061605</v>
      </c>
      <c r="L25" s="982">
        <f t="shared" si="3"/>
        <v>14578557.029761061</v>
      </c>
      <c r="M25" s="1004">
        <f>SUMIFS(AdicionesVNR_actualiz!$L:$L,AdicionesVNR_actualiz!$M:$M,"SP",AdicionesVNR_actualiz!$B:$B,C25)</f>
        <v>92359.988281488637</v>
      </c>
      <c r="N25" s="1004">
        <f t="shared" si="4"/>
        <v>14670917.018042549</v>
      </c>
      <c r="O25" s="1008">
        <f t="shared" si="5"/>
        <v>8047103.0056935325</v>
      </c>
      <c r="P25" s="981">
        <f t="shared" si="6"/>
        <v>0.22213776002599039</v>
      </c>
      <c r="Q25" s="980">
        <f t="shared" si="7"/>
        <v>0.82313026286136748</v>
      </c>
      <c r="R25" s="1548"/>
      <c r="S25" s="991"/>
      <c r="V25" s="1235"/>
      <c r="W25" s="1235"/>
      <c r="X25" s="1235"/>
      <c r="Y25" s="1235"/>
    </row>
    <row r="26" spans="3:25" x14ac:dyDescent="0.25">
      <c r="C26" s="984" t="s">
        <v>444</v>
      </c>
      <c r="D26" s="1429">
        <f>[10]TOTAL!C25</f>
        <v>0</v>
      </c>
      <c r="E26" s="1429">
        <f>[10]TOTAL!D25</f>
        <v>11204260.436332701</v>
      </c>
      <c r="F26" s="982">
        <f t="shared" si="0"/>
        <v>11204260.436332701</v>
      </c>
      <c r="G26" s="1005"/>
      <c r="H26" s="982">
        <v>7550937.6255616052</v>
      </c>
      <c r="I26" s="982">
        <f t="shared" si="1"/>
        <v>7550937.6255616052</v>
      </c>
      <c r="J26" s="981">
        <f t="shared" si="2"/>
        <v>0.48382373049987648</v>
      </c>
      <c r="K26" s="982">
        <v>7550937.6255616052</v>
      </c>
      <c r="L26" s="982">
        <f t="shared" si="3"/>
        <v>9170189.8055356443</v>
      </c>
      <c r="M26" s="1004">
        <f>SUMIFS(AdicionesVNR_actualiz!$L:$L,AdicionesVNR_actualiz!$M:$M,"SP",AdicionesVNR_actualiz!$B:$B,C26)</f>
        <v>0</v>
      </c>
      <c r="N26" s="1004">
        <f t="shared" si="4"/>
        <v>9170189.8055356443</v>
      </c>
      <c r="O26" s="1008">
        <f t="shared" si="5"/>
        <v>11204260.436332701</v>
      </c>
      <c r="P26" s="981">
        <f t="shared" si="6"/>
        <v>0.21444385588519621</v>
      </c>
      <c r="Q26" s="980">
        <f t="shared" si="7"/>
        <v>-0.18154439040001769</v>
      </c>
      <c r="R26" s="1548"/>
      <c r="S26" s="991"/>
      <c r="V26" s="1235"/>
      <c r="W26" s="1235"/>
      <c r="X26" s="1235"/>
      <c r="Y26" s="1235"/>
    </row>
    <row r="27" spans="3:25" x14ac:dyDescent="0.25">
      <c r="C27" s="984" t="str">
        <f>[10]TOTAL!B8</f>
        <v>PANAMA III</v>
      </c>
      <c r="D27" s="1429">
        <f>[10]TOTAL!C8</f>
        <v>8836248.4394901209</v>
      </c>
      <c r="E27" s="1429">
        <f>[10]TOTAL!D8</f>
        <v>0</v>
      </c>
      <c r="F27" s="982">
        <f t="shared" si="0"/>
        <v>8836248.4394901209</v>
      </c>
      <c r="G27" s="1005"/>
      <c r="H27" s="982"/>
      <c r="I27" s="982"/>
      <c r="J27" s="981"/>
      <c r="K27" s="982"/>
      <c r="L27" s="982"/>
      <c r="M27" s="1004"/>
      <c r="N27" s="1428">
        <f>Sabanitas_PanamaIII!C18*(1+7%)</f>
        <v>27106382.406900004</v>
      </c>
      <c r="O27" s="1428">
        <f>N27</f>
        <v>27106382.406900004</v>
      </c>
      <c r="P27" s="981"/>
      <c r="Q27" s="980">
        <f t="shared" si="7"/>
        <v>2.0676347086121685</v>
      </c>
      <c r="R27" s="1548"/>
      <c r="S27" s="991"/>
      <c r="V27" s="1235"/>
      <c r="W27" s="1235"/>
      <c r="X27" s="1235"/>
      <c r="Y27" s="1235"/>
    </row>
    <row r="28" spans="3:25" x14ac:dyDescent="0.25">
      <c r="C28" s="984" t="str">
        <f>[10]TOTAL!B9</f>
        <v>SABANITAS</v>
      </c>
      <c r="D28" s="1429">
        <f>[10]TOTAL!C9</f>
        <v>42505028.502633892</v>
      </c>
      <c r="E28" s="1429">
        <f>[10]TOTAL!D9</f>
        <v>0</v>
      </c>
      <c r="F28" s="982">
        <f t="shared" si="0"/>
        <v>42505028.502633892</v>
      </c>
      <c r="G28" s="1005"/>
      <c r="H28" s="982"/>
      <c r="I28" s="982"/>
      <c r="J28" s="981"/>
      <c r="K28" s="982"/>
      <c r="L28" s="982"/>
      <c r="M28" s="1004"/>
      <c r="N28" s="1428">
        <f>Sabanitas_PanamaIII!C10*(1+7%)</f>
        <v>18794624.054700002</v>
      </c>
      <c r="O28" s="1428">
        <f>N28</f>
        <v>18794624.054700002</v>
      </c>
      <c r="P28" s="981"/>
      <c r="Q28" s="980">
        <f t="shared" si="7"/>
        <v>-0.55782586868432849</v>
      </c>
      <c r="R28" s="1548"/>
      <c r="S28" s="991"/>
      <c r="V28" s="1235"/>
      <c r="W28" s="1235"/>
      <c r="X28" s="1235"/>
      <c r="Y28" s="1235"/>
    </row>
    <row r="29" spans="3:25" ht="15.75" thickBot="1" x14ac:dyDescent="0.3">
      <c r="C29" s="979" t="s">
        <v>325</v>
      </c>
      <c r="D29" s="978">
        <f t="shared" ref="D29:I29" si="8">SUM(D12:D28)</f>
        <v>507492131.04085439</v>
      </c>
      <c r="E29" s="978">
        <f t="shared" si="8"/>
        <v>120005020.72425222</v>
      </c>
      <c r="F29" s="978">
        <f t="shared" si="8"/>
        <v>627497151.76510656</v>
      </c>
      <c r="G29" s="978">
        <f t="shared" si="8"/>
        <v>397112478.00128478</v>
      </c>
      <c r="H29" s="978">
        <f t="shared" si="8"/>
        <v>98222563.129856452</v>
      </c>
      <c r="I29" s="978">
        <f t="shared" si="8"/>
        <v>495335041.13114119</v>
      </c>
      <c r="J29" s="977">
        <f t="shared" si="2"/>
        <v>0.26681356992665317</v>
      </c>
      <c r="K29" s="978">
        <f>SUM(K12:K28)</f>
        <v>396206611.99304014</v>
      </c>
      <c r="L29" s="978">
        <f>SUM(L12:L28)</f>
        <v>481170685.59603739</v>
      </c>
      <c r="M29" s="1003">
        <f>SUM(M12:M28)</f>
        <v>118139990.91136347</v>
      </c>
      <c r="N29" s="1003">
        <f>SUM(N12:N28)</f>
        <v>645211682.96900105</v>
      </c>
      <c r="O29" s="1003">
        <f>SUM(O12:O28)</f>
        <v>622056881.28458261</v>
      </c>
      <c r="P29" s="977">
        <f t="shared" si="6"/>
        <v>0.62847278020775432</v>
      </c>
      <c r="Q29" s="976">
        <f t="shared" si="7"/>
        <v>2.8230456750384825E-2</v>
      </c>
    </row>
    <row r="30" spans="3:25" ht="15.75" thickBot="1" x14ac:dyDescent="0.3">
      <c r="E30" s="974"/>
      <c r="H30" s="974"/>
      <c r="K30" s="1002"/>
      <c r="L30" s="1002"/>
      <c r="M30" s="1000"/>
      <c r="N30" s="1000"/>
      <c r="O30" s="1000"/>
    </row>
    <row r="31" spans="3:25" ht="14.25" hidden="1" customHeight="1" x14ac:dyDescent="0.25">
      <c r="E31" s="1001" t="e">
        <f>E30/H30-1</f>
        <v>#DIV/0!</v>
      </c>
      <c r="M31" s="1000"/>
      <c r="N31" s="1000"/>
      <c r="O31" s="1000"/>
    </row>
    <row r="32" spans="3:25" ht="15.75" thickBot="1" x14ac:dyDescent="0.3">
      <c r="C32" s="998" t="s">
        <v>445</v>
      </c>
      <c r="D32" s="997"/>
      <c r="E32" s="997"/>
      <c r="F32" s="996">
        <f>F29-F33</f>
        <v>627497151.76510656</v>
      </c>
      <c r="G32" s="995"/>
      <c r="H32" s="995"/>
      <c r="I32" s="995"/>
      <c r="J32" s="995"/>
      <c r="K32" s="996">
        <f>K29-K33</f>
        <v>396206611.99304014</v>
      </c>
      <c r="L32" s="999"/>
      <c r="M32" s="994"/>
      <c r="N32" s="994">
        <f>N29-N33</f>
        <v>645211682.96900105</v>
      </c>
      <c r="O32" s="994">
        <f>O29-O33</f>
        <v>622056881.28458261</v>
      </c>
      <c r="P32" s="993">
        <f>N32/K32-1</f>
        <v>0.62847278020775432</v>
      </c>
      <c r="Q32" s="992">
        <f>N32/F32-1</f>
        <v>2.8230456750384825E-2</v>
      </c>
    </row>
    <row r="33" spans="3:25" ht="14.25" customHeight="1" thickBot="1" x14ac:dyDescent="0.3">
      <c r="C33" s="998" t="s">
        <v>446</v>
      </c>
      <c r="D33" s="997"/>
      <c r="E33" s="997"/>
      <c r="F33" s="996">
        <f>SUMPRODUCT(F12:F26,$R$12:$R$26)</f>
        <v>0</v>
      </c>
      <c r="G33" s="995"/>
      <c r="H33" s="995"/>
      <c r="I33" s="995"/>
      <c r="J33" s="995"/>
      <c r="K33" s="996">
        <f>SUMPRODUCT(K12:K26,$R$12:$R$26)</f>
        <v>0</v>
      </c>
      <c r="L33" s="995"/>
      <c r="M33" s="994"/>
      <c r="N33" s="994">
        <f>SUMPRODUCT(N12:N26,$R$12:$R$26)</f>
        <v>0</v>
      </c>
      <c r="O33" s="994">
        <f>SUMPRODUCT(O12:O26,$R$12:$R$26)</f>
        <v>0</v>
      </c>
      <c r="P33" s="993">
        <f>IFERROR(N33/K33-1,)</f>
        <v>0</v>
      </c>
      <c r="Q33" s="992">
        <f>IFERROR(N33/F33-1,)</f>
        <v>0</v>
      </c>
    </row>
    <row r="34" spans="3:25" ht="14.25" customHeight="1" x14ac:dyDescent="0.25"/>
    <row r="35" spans="3:25" ht="14.25" customHeight="1" x14ac:dyDescent="0.25">
      <c r="F35" s="991"/>
      <c r="N35" s="991"/>
    </row>
    <row r="36" spans="3:25" ht="19.5" thickBot="1" x14ac:dyDescent="0.35">
      <c r="C36" s="989" t="s">
        <v>1469</v>
      </c>
    </row>
    <row r="37" spans="3:25" ht="60" x14ac:dyDescent="0.25">
      <c r="C37" s="968" t="s">
        <v>1466</v>
      </c>
      <c r="D37" s="968" t="s">
        <v>1468</v>
      </c>
      <c r="E37" s="968" t="s">
        <v>1465</v>
      </c>
      <c r="F37" s="968" t="s">
        <v>1463</v>
      </c>
      <c r="G37" s="968" t="s">
        <v>1467</v>
      </c>
      <c r="H37" s="968" t="s">
        <v>1462</v>
      </c>
      <c r="I37" s="968" t="s">
        <v>1460</v>
      </c>
      <c r="J37" s="968" t="s">
        <v>1448</v>
      </c>
      <c r="K37" s="968" t="s">
        <v>1447</v>
      </c>
      <c r="L37" s="968" t="s">
        <v>1446</v>
      </c>
      <c r="M37" s="968" t="s">
        <v>1445</v>
      </c>
      <c r="N37" s="968" t="s">
        <v>1444</v>
      </c>
      <c r="O37" s="968" t="s">
        <v>1813</v>
      </c>
      <c r="P37" s="968" t="s">
        <v>1443</v>
      </c>
      <c r="Q37" s="968" t="s">
        <v>357</v>
      </c>
    </row>
    <row r="38" spans="3:25" ht="15.75" thickBot="1" x14ac:dyDescent="0.3">
      <c r="C38" s="967"/>
      <c r="D38" s="966"/>
      <c r="E38" s="966"/>
      <c r="F38" s="966" t="s">
        <v>1441</v>
      </c>
      <c r="G38" s="966"/>
      <c r="H38" s="966"/>
      <c r="I38" s="966"/>
      <c r="J38" s="966" t="s">
        <v>5</v>
      </c>
      <c r="K38" s="966" t="s">
        <v>1441</v>
      </c>
      <c r="L38" s="966" t="s">
        <v>1441</v>
      </c>
      <c r="M38" s="966" t="s">
        <v>1441</v>
      </c>
      <c r="N38" s="966" t="s">
        <v>1441</v>
      </c>
      <c r="O38" s="966"/>
      <c r="P38" s="966" t="s">
        <v>5</v>
      </c>
      <c r="Q38" s="966" t="s">
        <v>5</v>
      </c>
    </row>
    <row r="39" spans="3:25" ht="15.75" thickBot="1" x14ac:dyDescent="0.3">
      <c r="C39" s="988" t="s">
        <v>444</v>
      </c>
      <c r="D39" s="987">
        <f>[10]TOTAL!H25</f>
        <v>0</v>
      </c>
      <c r="E39" s="987">
        <f>[10]TOTAL!I25</f>
        <v>817916.67088659666</v>
      </c>
      <c r="F39" s="987">
        <f>SUM(D39:E39)</f>
        <v>817916.67088659666</v>
      </c>
      <c r="G39" s="987"/>
      <c r="H39" s="987">
        <v>2601529.9478261997</v>
      </c>
      <c r="I39" s="987">
        <f>SUM(G39:H39)</f>
        <v>2601529.9478261997</v>
      </c>
      <c r="J39" s="986">
        <f>F39/I39-1</f>
        <v>-0.68560167005956019</v>
      </c>
      <c r="K39" s="987">
        <v>2263204.5478261998</v>
      </c>
      <c r="L39" s="987">
        <f>+K39*$L$8</f>
        <v>2748534.8577189622</v>
      </c>
      <c r="M39" s="987">
        <f>SUMIFS(AdicionesVNR_actualiz!$L:$L,AdicionesVNR_actualiz!$M:$M,"EST",AdicionesVNR_actualiz!$B:$B,C39)</f>
        <v>584735.38756200054</v>
      </c>
      <c r="N39" s="987">
        <f>M39+L39</f>
        <v>3333270.2452809629</v>
      </c>
      <c r="O39" s="1008">
        <f t="shared" ref="O39:O41" si="9">F39</f>
        <v>817916.67088659666</v>
      </c>
      <c r="P39" s="986">
        <f>N39/K39-1</f>
        <v>0.47280998020375908</v>
      </c>
      <c r="Q39" s="985">
        <f>N39/F39-1</f>
        <v>3.0753176502293318</v>
      </c>
      <c r="S39" s="991"/>
      <c r="V39" s="991"/>
      <c r="W39" s="991"/>
      <c r="X39" s="991"/>
      <c r="Y39" s="991"/>
    </row>
    <row r="40" spans="3:25" ht="15.75" thickBot="1" x14ac:dyDescent="0.3">
      <c r="C40" s="984" t="s">
        <v>447</v>
      </c>
      <c r="D40" s="982">
        <f>[10]TOTAL!H27</f>
        <v>20800983.781310309</v>
      </c>
      <c r="E40" s="982">
        <f>[10]TOTAL!I27</f>
        <v>0</v>
      </c>
      <c r="F40" s="982">
        <f>SUM(D40:E40)</f>
        <v>20800983.781310309</v>
      </c>
      <c r="G40" s="982">
        <v>22820280.178771608</v>
      </c>
      <c r="H40" s="982"/>
      <c r="I40" s="982">
        <f>SUM(G40:H40)</f>
        <v>22820280.178771608</v>
      </c>
      <c r="J40" s="981">
        <f>F40/I40-1</f>
        <v>-8.8486923983507215E-2</v>
      </c>
      <c r="K40" s="982">
        <v>20472444.355571598</v>
      </c>
      <c r="L40" s="982">
        <f>+K40*$L$8</f>
        <v>24862634.262575492</v>
      </c>
      <c r="M40" s="982">
        <f>SUMIFS(AdicionesVNR_actualiz!$L:$L,AdicionesVNR_actualiz!$M:$M,"EST",AdicionesVNR_actualiz!$B:$B,C40)</f>
        <v>-0.40317041057906894</v>
      </c>
      <c r="N40" s="982">
        <f>M40+L40</f>
        <v>24862633.859405082</v>
      </c>
      <c r="O40" s="1008">
        <f t="shared" si="9"/>
        <v>20800983.781310309</v>
      </c>
      <c r="P40" s="981">
        <f>N40/K40-1</f>
        <v>0.21444383619187568</v>
      </c>
      <c r="Q40" s="980">
        <f>N40/F40-1</f>
        <v>0.19526240300923492</v>
      </c>
      <c r="S40" s="991"/>
      <c r="V40" s="991"/>
      <c r="W40" s="991"/>
      <c r="X40" s="991"/>
      <c r="Y40" s="991"/>
    </row>
    <row r="41" spans="3:25" x14ac:dyDescent="0.25">
      <c r="C41" s="984" t="s">
        <v>448</v>
      </c>
      <c r="D41" s="982">
        <f>[10]TOTAL!H28</f>
        <v>33008081.569488253</v>
      </c>
      <c r="E41" s="982">
        <f>[10]TOTAL!I28</f>
        <v>0</v>
      </c>
      <c r="F41" s="982">
        <f>SUM(D41:E41)</f>
        <v>33008081.569488253</v>
      </c>
      <c r="G41" s="982">
        <v>22511338.180841379</v>
      </c>
      <c r="H41" s="982"/>
      <c r="I41" s="982">
        <f>SUM(G41:H41)</f>
        <v>22511338.180841379</v>
      </c>
      <c r="J41" s="981">
        <f>F41/I41-1</f>
        <v>0.46628695745774418</v>
      </c>
      <c r="K41" s="982">
        <v>18225503.240041375</v>
      </c>
      <c r="L41" s="982">
        <f>+K41*$L$8</f>
        <v>22133850.430283986</v>
      </c>
      <c r="M41" s="1430">
        <f>SUMIFS(AdicionesVNR_actualiz!$L:$L,AdicionesVNR_actualiz!$M:$M,"EST",AdicionesVNR_actualiz!$B:$B,C41)</f>
        <v>4710012.5001425548</v>
      </c>
      <c r="N41" s="982">
        <f>M41+L41</f>
        <v>26843862.930426542</v>
      </c>
      <c r="O41" s="1008">
        <f t="shared" si="9"/>
        <v>33008081.569488253</v>
      </c>
      <c r="P41" s="981">
        <f>N41/K41-1</f>
        <v>0.47287361983238174</v>
      </c>
      <c r="Q41" s="980">
        <f>N41/F41-1</f>
        <v>-0.18674877017874747</v>
      </c>
      <c r="S41" s="991"/>
      <c r="V41" s="991"/>
      <c r="W41" s="991"/>
      <c r="X41" s="991"/>
      <c r="Y41" s="991"/>
    </row>
    <row r="42" spans="3:25" ht="15.75" thickBot="1" x14ac:dyDescent="0.3">
      <c r="C42" s="979" t="s">
        <v>325</v>
      </c>
      <c r="D42" s="978">
        <f t="shared" ref="D42:I42" si="10">SUM(D39:D41)</f>
        <v>53809065.350798562</v>
      </c>
      <c r="E42" s="978">
        <f t="shared" si="10"/>
        <v>817916.67088659666</v>
      </c>
      <c r="F42" s="978">
        <f t="shared" si="10"/>
        <v>54626982.021685153</v>
      </c>
      <c r="G42" s="978">
        <f t="shared" si="10"/>
        <v>45331618.359612986</v>
      </c>
      <c r="H42" s="978">
        <f t="shared" si="10"/>
        <v>2601529.9478261997</v>
      </c>
      <c r="I42" s="978">
        <f t="shared" si="10"/>
        <v>47933148.307439186</v>
      </c>
      <c r="J42" s="977">
        <f>F42/I42-1</f>
        <v>0.13964936480517154</v>
      </c>
      <c r="K42" s="978">
        <f>SUM(K39:K41)</f>
        <v>40961152.143439174</v>
      </c>
      <c r="L42" s="978">
        <f>SUM(L39:L41)</f>
        <v>49745019.550578445</v>
      </c>
      <c r="M42" s="978">
        <f>SUM(M39:M41)</f>
        <v>5294747.4845341444</v>
      </c>
      <c r="N42" s="978">
        <f>SUM(N39:N41)</f>
        <v>55039767.03511259</v>
      </c>
      <c r="O42" s="978">
        <f>SUM(O39:O41)</f>
        <v>54626982.021685153</v>
      </c>
      <c r="P42" s="977">
        <f>N42/K42-1</f>
        <v>0.34370651592934776</v>
      </c>
      <c r="Q42" s="976">
        <f>N42/F42-1</f>
        <v>7.5564308726330243E-3</v>
      </c>
    </row>
    <row r="43" spans="3:25" x14ac:dyDescent="0.25">
      <c r="D43" s="975"/>
      <c r="E43" s="974"/>
      <c r="G43" s="975"/>
      <c r="H43" s="974"/>
    </row>
    <row r="44" spans="3:25" x14ac:dyDescent="0.25">
      <c r="F44" s="991"/>
      <c r="I44" s="991"/>
      <c r="J44" s="990"/>
    </row>
    <row r="45" spans="3:25" ht="19.5" thickBot="1" x14ac:dyDescent="0.35">
      <c r="C45" s="989" t="s">
        <v>31</v>
      </c>
    </row>
    <row r="46" spans="3:25" ht="60" x14ac:dyDescent="0.25">
      <c r="C46" s="968" t="s">
        <v>1466</v>
      </c>
      <c r="D46" s="968" t="s">
        <v>1465</v>
      </c>
      <c r="E46" s="968" t="s">
        <v>1464</v>
      </c>
      <c r="F46" s="968" t="s">
        <v>1463</v>
      </c>
      <c r="G46" s="968" t="s">
        <v>1462</v>
      </c>
      <c r="H46" s="968" t="s">
        <v>1461</v>
      </c>
      <c r="I46" s="968" t="s">
        <v>1460</v>
      </c>
      <c r="J46" s="968" t="s">
        <v>1448</v>
      </c>
      <c r="K46" s="968" t="s">
        <v>1447</v>
      </c>
      <c r="L46" s="968" t="s">
        <v>1446</v>
      </c>
      <c r="M46" s="968" t="s">
        <v>1445</v>
      </c>
      <c r="N46" s="968" t="s">
        <v>1444</v>
      </c>
      <c r="O46" s="968"/>
      <c r="P46" s="968" t="s">
        <v>1443</v>
      </c>
      <c r="Q46" s="968" t="s">
        <v>357</v>
      </c>
    </row>
    <row r="47" spans="3:25" ht="15.75" thickBot="1" x14ac:dyDescent="0.3">
      <c r="C47" s="967"/>
      <c r="D47" s="966" t="s">
        <v>1459</v>
      </c>
      <c r="E47" s="966" t="s">
        <v>1458</v>
      </c>
      <c r="F47" s="966" t="s">
        <v>1441</v>
      </c>
      <c r="G47" s="966" t="s">
        <v>1459</v>
      </c>
      <c r="H47" s="966" t="s">
        <v>1458</v>
      </c>
      <c r="I47" s="966" t="s">
        <v>1457</v>
      </c>
      <c r="J47" s="966" t="s">
        <v>5</v>
      </c>
      <c r="K47" s="966" t="s">
        <v>1441</v>
      </c>
      <c r="L47" s="966" t="s">
        <v>1441</v>
      </c>
      <c r="M47" s="966" t="s">
        <v>1441</v>
      </c>
      <c r="N47" s="966" t="s">
        <v>1441</v>
      </c>
      <c r="O47" s="966"/>
      <c r="P47" s="966" t="s">
        <v>5</v>
      </c>
      <c r="Q47" s="966" t="s">
        <v>5</v>
      </c>
    </row>
    <row r="48" spans="3:25" x14ac:dyDescent="0.25">
      <c r="C48" s="984" t="s">
        <v>1711</v>
      </c>
      <c r="D48" s="982">
        <f>[10]TOTAL!E10</f>
        <v>63791126.749766968</v>
      </c>
      <c r="E48" s="982"/>
      <c r="F48" s="982">
        <f t="shared" ref="F48:F57" si="11">SUM(D48:E48)</f>
        <v>63791126.749766968</v>
      </c>
      <c r="G48" s="982"/>
      <c r="H48" s="982"/>
      <c r="I48" s="982"/>
      <c r="J48" s="981"/>
      <c r="K48" s="982"/>
      <c r="L48" s="982"/>
      <c r="M48" s="983"/>
      <c r="N48" s="1431">
        <v>6935705.9100000001</v>
      </c>
      <c r="O48" s="1431">
        <f>N48</f>
        <v>6935705.9100000001</v>
      </c>
      <c r="P48" s="981"/>
      <c r="Q48" s="980">
        <f>N48/F48-1</f>
        <v>-0.89127475460330641</v>
      </c>
    </row>
    <row r="49" spans="3:25" x14ac:dyDescent="0.25">
      <c r="C49" s="984" t="s">
        <v>432</v>
      </c>
      <c r="D49" s="982"/>
      <c r="E49" s="982">
        <f>[10]TOTAL!G11</f>
        <v>13885667.314607959</v>
      </c>
      <c r="F49" s="982">
        <f t="shared" si="11"/>
        <v>13885667.314607959</v>
      </c>
      <c r="G49" s="982"/>
      <c r="H49" s="982">
        <v>27759591.181279998</v>
      </c>
      <c r="I49" s="982">
        <f t="shared" ref="I49:I57" si="12">SUM(G49:H49)</f>
        <v>27759591.181279998</v>
      </c>
      <c r="J49" s="981">
        <f>F49/I49-1</f>
        <v>-0.49978847945095384</v>
      </c>
      <c r="K49" s="982">
        <v>44639612.268807396</v>
      </c>
      <c r="L49" s="982">
        <f t="shared" ref="L49:L57" si="13">+K49*$L$8</f>
        <v>54212302.848950565</v>
      </c>
      <c r="M49" s="983">
        <f>SUMIFS(AdicionesVNR_actualiz!$L:$L,AdicionesVNR_actualiz!$M:$M,"CX",AdicionesVNR_actualiz!$B:$B,C49)</f>
        <v>5262911.8721771687</v>
      </c>
      <c r="N49" s="982">
        <f t="shared" ref="N49:N57" si="14">M49+L49</f>
        <v>59475214.721127734</v>
      </c>
      <c r="O49" s="982">
        <f>F49</f>
        <v>13885667.314607959</v>
      </c>
      <c r="P49" s="981">
        <f t="shared" ref="P49:P58" si="15">N49/K49-1</f>
        <v>0.33234165124429049</v>
      </c>
      <c r="Q49" s="980">
        <f>N49/F49-1</f>
        <v>3.2832089645816875</v>
      </c>
      <c r="V49" s="991"/>
      <c r="W49" s="991"/>
      <c r="X49" s="991"/>
      <c r="Y49" s="991"/>
    </row>
    <row r="50" spans="3:25" x14ac:dyDescent="0.25">
      <c r="C50" s="984" t="s">
        <v>433</v>
      </c>
      <c r="D50" s="982"/>
      <c r="E50" s="982"/>
      <c r="F50" s="982">
        <f t="shared" si="11"/>
        <v>0</v>
      </c>
      <c r="G50" s="982"/>
      <c r="H50" s="982"/>
      <c r="I50" s="982">
        <f t="shared" si="12"/>
        <v>0</v>
      </c>
      <c r="J50" s="981"/>
      <c r="K50" s="982">
        <v>3149681.1047364003</v>
      </c>
      <c r="L50" s="982">
        <f t="shared" si="13"/>
        <v>3825110.8656448186</v>
      </c>
      <c r="M50" s="983">
        <f>SUMIFS(AdicionesVNR_actualiz!$L:$L,AdicionesVNR_actualiz!$M:$M,"CX",AdicionesVNR_actualiz!$B:$B,C50)</f>
        <v>0</v>
      </c>
      <c r="N50" s="982">
        <f t="shared" si="14"/>
        <v>3825110.8656448186</v>
      </c>
      <c r="O50" s="982">
        <f t="shared" ref="O50:O57" si="16">F50</f>
        <v>0</v>
      </c>
      <c r="P50" s="981">
        <f t="shared" si="15"/>
        <v>0.21444385588519621</v>
      </c>
      <c r="Q50" s="980"/>
      <c r="V50" s="991"/>
      <c r="W50" s="991"/>
      <c r="X50" s="991"/>
      <c r="Y50" s="991"/>
    </row>
    <row r="51" spans="3:25" x14ac:dyDescent="0.25">
      <c r="C51" s="984" t="s">
        <v>434</v>
      </c>
      <c r="D51" s="982">
        <f>[10]TOTAL!F13</f>
        <v>8393200.1777465604</v>
      </c>
      <c r="E51" s="982">
        <f>[10]TOTAL!G13</f>
        <v>6272553.5368098198</v>
      </c>
      <c r="F51" s="982">
        <f t="shared" si="11"/>
        <v>14665753.714556381</v>
      </c>
      <c r="G51" s="982">
        <v>11581219.009482801</v>
      </c>
      <c r="H51" s="982">
        <v>5205961.7663534004</v>
      </c>
      <c r="I51" s="982">
        <f t="shared" si="12"/>
        <v>16787180.7758362</v>
      </c>
      <c r="J51" s="981">
        <f t="shared" ref="J51:J58" si="17">F51/I51-1</f>
        <v>-0.12637184823394776</v>
      </c>
      <c r="K51" s="982">
        <v>30087600.439273581</v>
      </c>
      <c r="L51" s="982">
        <f t="shared" si="13"/>
        <v>36539701.491804533</v>
      </c>
      <c r="M51" s="983">
        <f>SUMIFS(AdicionesVNR_actualiz!$L:$L,AdicionesVNR_actualiz!$M:$M,"CX",AdicionesVNR_actualiz!$B:$B,C51)</f>
        <v>3159038.9888929641</v>
      </c>
      <c r="N51" s="982">
        <f t="shared" si="14"/>
        <v>39698740.480697498</v>
      </c>
      <c r="O51" s="982">
        <f t="shared" si="16"/>
        <v>14665753.714556381</v>
      </c>
      <c r="P51" s="981">
        <f t="shared" si="15"/>
        <v>0.31943856941407733</v>
      </c>
      <c r="Q51" s="980">
        <f t="shared" ref="Q51:Q58" si="18">N51/F51-1</f>
        <v>1.7069008012383855</v>
      </c>
      <c r="V51" s="991"/>
      <c r="W51" s="991"/>
      <c r="X51" s="991"/>
      <c r="Y51" s="991"/>
    </row>
    <row r="52" spans="3:25" x14ac:dyDescent="0.25">
      <c r="C52" s="984" t="s">
        <v>437</v>
      </c>
      <c r="D52" s="982"/>
      <c r="E52" s="982">
        <f>[10]TOTAL!G16</f>
        <v>15476646.88118542</v>
      </c>
      <c r="F52" s="982">
        <f t="shared" si="11"/>
        <v>15476646.88118542</v>
      </c>
      <c r="G52" s="982"/>
      <c r="H52" s="982">
        <v>8460364.4383252002</v>
      </c>
      <c r="I52" s="982">
        <f t="shared" si="12"/>
        <v>8460364.4383252002</v>
      </c>
      <c r="J52" s="981">
        <f t="shared" si="17"/>
        <v>0.82931208153122427</v>
      </c>
      <c r="K52" s="982">
        <v>7917797.3363252003</v>
      </c>
      <c r="L52" s="982">
        <f t="shared" si="13"/>
        <v>9615720.3272443116</v>
      </c>
      <c r="M52" s="983">
        <f>SUMIFS(AdicionesVNR_actualiz!$L:$L,AdicionesVNR_actualiz!$M:$M,"CX",AdicionesVNR_actualiz!$B:$B,C52)</f>
        <v>106516.64405187323</v>
      </c>
      <c r="N52" s="982">
        <f t="shared" si="14"/>
        <v>9722236.9712961856</v>
      </c>
      <c r="O52" s="982">
        <f t="shared" si="16"/>
        <v>15476646.88118542</v>
      </c>
      <c r="P52" s="981">
        <f t="shared" si="15"/>
        <v>0.22789666852075041</v>
      </c>
      <c r="Q52" s="980">
        <f t="shared" si="18"/>
        <v>-0.37181244452147633</v>
      </c>
      <c r="S52" s="1007"/>
      <c r="V52" s="991"/>
      <c r="W52" s="991"/>
      <c r="X52" s="991"/>
      <c r="Y52" s="991"/>
    </row>
    <row r="53" spans="3:25" x14ac:dyDescent="0.25">
      <c r="C53" s="984" t="s">
        <v>438</v>
      </c>
      <c r="D53" s="982">
        <f>[10]TOTAL!F17</f>
        <v>1313650.1315770911</v>
      </c>
      <c r="E53" s="982">
        <f>[10]TOTAL!G17</f>
        <v>7521236.1701460332</v>
      </c>
      <c r="F53" s="982">
        <f t="shared" si="11"/>
        <v>8834886.3017231245</v>
      </c>
      <c r="G53" s="982">
        <v>1317481.8478316001</v>
      </c>
      <c r="H53" s="982">
        <v>4308407.9738211995</v>
      </c>
      <c r="I53" s="982">
        <f t="shared" si="12"/>
        <v>5625889.8216527998</v>
      </c>
      <c r="J53" s="981">
        <f t="shared" si="17"/>
        <v>0.57039803156464419</v>
      </c>
      <c r="K53" s="982">
        <v>5379268.4116528006</v>
      </c>
      <c r="L53" s="982">
        <f t="shared" si="13"/>
        <v>6532819.4716890622</v>
      </c>
      <c r="M53" s="983">
        <f>SUMIFS(AdicionesVNR_actualiz!$L:$L,AdicionesVNR_actualiz!$M:$M,"CX",AdicionesVNR_actualiz!$B:$B,C53)</f>
        <v>0.64140745558849288</v>
      </c>
      <c r="N53" s="982">
        <f t="shared" si="14"/>
        <v>6532820.1130965175</v>
      </c>
      <c r="O53" s="982">
        <f t="shared" si="16"/>
        <v>8834886.3017231245</v>
      </c>
      <c r="P53" s="981">
        <f t="shared" si="15"/>
        <v>0.21444397512212698</v>
      </c>
      <c r="Q53" s="980">
        <f t="shared" si="18"/>
        <v>-0.26056545721223601</v>
      </c>
      <c r="V53" s="991"/>
      <c r="W53" s="991"/>
      <c r="X53" s="991"/>
      <c r="Y53" s="991"/>
    </row>
    <row r="54" spans="3:25" x14ac:dyDescent="0.25">
      <c r="C54" s="984" t="s">
        <v>441</v>
      </c>
      <c r="D54" s="982">
        <f>[10]TOTAL!F21</f>
        <v>0</v>
      </c>
      <c r="E54" s="982">
        <f>[10]TOTAL!G21</f>
        <v>4215070.7546636537</v>
      </c>
      <c r="F54" s="982">
        <f t="shared" si="11"/>
        <v>4215070.7546636537</v>
      </c>
      <c r="G54" s="982">
        <v>155184.05602840002</v>
      </c>
      <c r="H54" s="982">
        <v>1814264.1525484</v>
      </c>
      <c r="I54" s="982">
        <f t="shared" si="12"/>
        <v>1969448.2085768001</v>
      </c>
      <c r="J54" s="981">
        <f t="shared" si="17"/>
        <v>1.1402292968697196</v>
      </c>
      <c r="K54" s="982">
        <v>1870799.6445768001</v>
      </c>
      <c r="L54" s="982">
        <f t="shared" si="13"/>
        <v>2271981.1339485035</v>
      </c>
      <c r="M54" s="983">
        <f>SUMIFS(AdicionesVNR_actualiz!$L:$L,AdicionesVNR_actualiz!$M:$M,"CX",AdicionesVNR_actualiz!$B:$B,C54)</f>
        <v>74133.349955563841</v>
      </c>
      <c r="N54" s="982">
        <f t="shared" si="14"/>
        <v>2346114.4839040674</v>
      </c>
      <c r="O54" s="982">
        <f t="shared" si="16"/>
        <v>4215070.7546636537</v>
      </c>
      <c r="P54" s="981">
        <f t="shared" si="15"/>
        <v>0.25407041352885762</v>
      </c>
      <c r="Q54" s="980">
        <f t="shared" si="18"/>
        <v>-0.44339855237109105</v>
      </c>
      <c r="V54" s="991"/>
      <c r="W54" s="991"/>
      <c r="X54" s="991"/>
      <c r="Y54" s="991"/>
    </row>
    <row r="55" spans="3:25" x14ac:dyDescent="0.25">
      <c r="C55" s="984" t="s">
        <v>450</v>
      </c>
      <c r="D55" s="982">
        <f>[10]TOTAL!F26</f>
        <v>2522298.6042971867</v>
      </c>
      <c r="E55" s="982"/>
      <c r="F55" s="982">
        <f t="shared" si="11"/>
        <v>2522298.6042971867</v>
      </c>
      <c r="G55" s="982">
        <v>828218.81634660007</v>
      </c>
      <c r="H55" s="982"/>
      <c r="I55" s="982">
        <f t="shared" si="12"/>
        <v>828218.81634660007</v>
      </c>
      <c r="J55" s="981">
        <f t="shared" si="17"/>
        <v>2.0454495291756736</v>
      </c>
      <c r="K55" s="982">
        <v>828218.81634660007</v>
      </c>
      <c r="L55" s="982">
        <f t="shared" si="13"/>
        <v>1005825.2528406382</v>
      </c>
      <c r="M55" s="983">
        <f>SUMIFS(AdicionesVNR_actualiz!$L:$L,AdicionesVNR_actualiz!$M:$M,"CX",AdicionesVNR_actualiz!$B:$B,C55)</f>
        <v>-25164.072989201024</v>
      </c>
      <c r="N55" s="982">
        <f t="shared" si="14"/>
        <v>980661.1798514371</v>
      </c>
      <c r="O55" s="982">
        <f t="shared" si="16"/>
        <v>2522298.6042971867</v>
      </c>
      <c r="P55" s="981">
        <f t="shared" si="15"/>
        <v>0.18406049282638093</v>
      </c>
      <c r="Q55" s="980">
        <f t="shared" si="18"/>
        <v>-0.61120337687984072</v>
      </c>
      <c r="V55" s="991"/>
      <c r="W55" s="991"/>
      <c r="X55" s="991"/>
      <c r="Y55" s="991"/>
    </row>
    <row r="56" spans="3:25" x14ac:dyDescent="0.25">
      <c r="C56" s="984" t="s">
        <v>451</v>
      </c>
      <c r="D56" s="1429">
        <f>[10]TOTAL!C19</f>
        <v>6168078.6568704201</v>
      </c>
      <c r="E56" s="1429">
        <v>0</v>
      </c>
      <c r="F56" s="982">
        <f t="shared" si="11"/>
        <v>6168078.6568704201</v>
      </c>
      <c r="G56" s="982">
        <v>5832112.9685363993</v>
      </c>
      <c r="H56" s="982"/>
      <c r="I56" s="982">
        <f t="shared" si="12"/>
        <v>5832112.9685363993</v>
      </c>
      <c r="J56" s="981">
        <f t="shared" si="17"/>
        <v>5.7606169521495554E-2</v>
      </c>
      <c r="K56" s="982">
        <v>4825897.6157364016</v>
      </c>
      <c r="L56" s="982">
        <f t="shared" si="13"/>
        <v>5860781.708562091</v>
      </c>
      <c r="M56" s="983">
        <f>SUMIFS(AdicionesVNR_actualiz!$L:$L,AdicionesVNR_actualiz!$M:$M,"CX",AdicionesVNR_actualiz!$B:$B,C56)</f>
        <v>0.17409631067235717</v>
      </c>
      <c r="N56" s="982">
        <f t="shared" si="14"/>
        <v>5860781.8826584015</v>
      </c>
      <c r="O56" s="982">
        <f t="shared" si="16"/>
        <v>6168078.6568704201</v>
      </c>
      <c r="P56" s="981">
        <f t="shared" si="15"/>
        <v>0.21444389196062197</v>
      </c>
      <c r="Q56" s="980">
        <f t="shared" si="18"/>
        <v>-4.9820501862396172E-2</v>
      </c>
      <c r="V56" s="991"/>
      <c r="W56" s="991"/>
      <c r="X56" s="991"/>
      <c r="Y56" s="991"/>
    </row>
    <row r="57" spans="3:25" x14ac:dyDescent="0.25">
      <c r="C57" s="984" t="s">
        <v>452</v>
      </c>
      <c r="D57" s="1429">
        <f>[10]TOTAL!C20</f>
        <v>6258544.3634684775</v>
      </c>
      <c r="E57" s="1429">
        <v>0</v>
      </c>
      <c r="F57" s="982">
        <f t="shared" si="11"/>
        <v>6258544.3634684775</v>
      </c>
      <c r="G57" s="982">
        <v>5832112.9685363993</v>
      </c>
      <c r="H57" s="982"/>
      <c r="I57" s="982">
        <f t="shared" si="12"/>
        <v>5832112.9685363993</v>
      </c>
      <c r="J57" s="981">
        <f t="shared" si="17"/>
        <v>7.3117821488134505E-2</v>
      </c>
      <c r="K57" s="982">
        <v>4825897.6157364016</v>
      </c>
      <c r="L57" s="982">
        <f t="shared" si="13"/>
        <v>5860781.708562091</v>
      </c>
      <c r="M57" s="983">
        <f>SUMIFS(AdicionesVNR_actualiz!$L:$L,AdicionesVNR_actualiz!$M:$M,"CX",AdicionesVNR_actualiz!$B:$B,C57)</f>
        <v>98935.679911124898</v>
      </c>
      <c r="N57" s="982">
        <f t="shared" si="14"/>
        <v>5959717.3884732155</v>
      </c>
      <c r="O57" s="982">
        <f t="shared" si="16"/>
        <v>6258544.3634684775</v>
      </c>
      <c r="P57" s="981">
        <f t="shared" si="15"/>
        <v>0.23494484612347089</v>
      </c>
      <c r="Q57" s="980">
        <f t="shared" si="18"/>
        <v>-4.7747041107439325E-2</v>
      </c>
      <c r="V57" s="991"/>
      <c r="W57" s="991"/>
      <c r="X57" s="991"/>
      <c r="Y57" s="991"/>
    </row>
    <row r="58" spans="3:25" ht="15.75" thickBot="1" x14ac:dyDescent="0.3">
      <c r="C58" s="979" t="s">
        <v>325</v>
      </c>
      <c r="D58" s="978">
        <f t="shared" ref="D58:I58" si="19">SUM(D48:D57)</f>
        <v>88446898.683726713</v>
      </c>
      <c r="E58" s="978">
        <f t="shared" si="19"/>
        <v>47371174.657412887</v>
      </c>
      <c r="F58" s="978">
        <f t="shared" si="19"/>
        <v>135818073.34113958</v>
      </c>
      <c r="G58" s="978">
        <f t="shared" si="19"/>
        <v>25546329.666762199</v>
      </c>
      <c r="H58" s="978">
        <f t="shared" si="19"/>
        <v>47548589.5123282</v>
      </c>
      <c r="I58" s="978">
        <f t="shared" si="19"/>
        <v>73094919.17909041</v>
      </c>
      <c r="J58" s="977">
        <f t="shared" si="17"/>
        <v>0.85810552725793032</v>
      </c>
      <c r="K58" s="978">
        <f>SUM(K48:K57)</f>
        <v>103524773.25319158</v>
      </c>
      <c r="L58" s="978">
        <f>SUM(L48:L57)</f>
        <v>125725024.80924661</v>
      </c>
      <c r="M58" s="978">
        <f>SUM(M48:M57)</f>
        <v>8676373.2775032632</v>
      </c>
      <c r="N58" s="978">
        <f>SUM(N48:N57)</f>
        <v>141337103.99674988</v>
      </c>
      <c r="O58" s="978">
        <f>SUM(O48:O57)</f>
        <v>78962652.50137262</v>
      </c>
      <c r="P58" s="977">
        <f t="shared" si="15"/>
        <v>0.36524910468608618</v>
      </c>
      <c r="Q58" s="976">
        <f t="shared" si="18"/>
        <v>4.0635465662570036E-2</v>
      </c>
    </row>
    <row r="59" spans="3:25" x14ac:dyDescent="0.25">
      <c r="D59" s="975"/>
      <c r="E59" s="974"/>
      <c r="F59" s="991">
        <f>F58+F42+F29</f>
        <v>817942207.12793136</v>
      </c>
      <c r="G59" s="975"/>
      <c r="H59" s="974"/>
      <c r="K59" s="991">
        <f>K58+K42+K29</f>
        <v>540692537.38967085</v>
      </c>
      <c r="L59" s="969">
        <f>F59/K59-1</f>
        <v>0.51276770172703512</v>
      </c>
      <c r="M59" s="1007"/>
    </row>
    <row r="60" spans="3:25" x14ac:dyDescent="0.25">
      <c r="O60" s="991">
        <f>O58+O42+O32</f>
        <v>755646515.80764043</v>
      </c>
    </row>
    <row r="61" spans="3:25" x14ac:dyDescent="0.25">
      <c r="C61" t="s">
        <v>453</v>
      </c>
      <c r="D61"/>
      <c r="G61"/>
      <c r="N61" s="108">
        <f>SUMPRODUCT(N12:N26,R12:R26)</f>
        <v>0</v>
      </c>
      <c r="O61" s="108"/>
      <c r="P61" t="s">
        <v>454</v>
      </c>
    </row>
    <row r="62" spans="3:25" x14ac:dyDescent="0.25">
      <c r="C62"/>
      <c r="D62"/>
      <c r="E62"/>
      <c r="F62"/>
    </row>
    <row r="63" spans="3:25" ht="19.5" thickBot="1" x14ac:dyDescent="0.35">
      <c r="C63" s="299" t="s">
        <v>330</v>
      </c>
      <c r="D63"/>
      <c r="E63"/>
      <c r="F63"/>
    </row>
    <row r="64" spans="3:25" ht="30.75" thickBot="1" x14ac:dyDescent="0.3">
      <c r="C64" s="470" t="s">
        <v>330</v>
      </c>
      <c r="D64" s="470" t="s">
        <v>1456</v>
      </c>
      <c r="E64" s="470" t="s">
        <v>1449</v>
      </c>
      <c r="F64" s="470" t="s">
        <v>1673</v>
      </c>
      <c r="G64" s="470" t="s">
        <v>1455</v>
      </c>
      <c r="H64" t="s">
        <v>1738</v>
      </c>
    </row>
    <row r="65" spans="3:8" x14ac:dyDescent="0.25">
      <c r="C65" s="779" t="s">
        <v>455</v>
      </c>
      <c r="D65" s="973">
        <f>VNR_Lin!O70</f>
        <v>592759843.64811218</v>
      </c>
      <c r="E65" s="973">
        <f>VNR_Lin!J70</f>
        <v>1274348576.7400074</v>
      </c>
      <c r="F65" s="973">
        <f>VNR_Lin!K70</f>
        <v>872210864.07301414</v>
      </c>
      <c r="G65" s="973">
        <f>VNR_Lin!K70</f>
        <v>872210864.07301414</v>
      </c>
      <c r="H65" s="287">
        <f>+G65/E65-1</f>
        <v>-0.31556335527578139</v>
      </c>
    </row>
    <row r="66" spans="3:8" x14ac:dyDescent="0.25">
      <c r="C66" s="780" t="s">
        <v>456</v>
      </c>
      <c r="D66" s="971">
        <f>VNR_Lin!O83</f>
        <v>7309323.2731987555</v>
      </c>
      <c r="E66" s="971">
        <f>VNR_Lin!J83</f>
        <v>35319901.968491502</v>
      </c>
      <c r="F66" s="971">
        <f>VNR_Lin!K83</f>
        <v>34234198.249109991</v>
      </c>
      <c r="G66" s="971">
        <f>VNR_Lin!K83</f>
        <v>34234198.249109991</v>
      </c>
      <c r="H66" s="287">
        <f>+G66/E66-1</f>
        <v>-3.073914871989325E-2</v>
      </c>
    </row>
    <row r="67" spans="3:8" x14ac:dyDescent="0.25">
      <c r="C67" s="780" t="s">
        <v>457</v>
      </c>
      <c r="D67" s="971">
        <f>K29</f>
        <v>396206611.99304014</v>
      </c>
      <c r="E67" s="971">
        <f>F29</f>
        <v>627497151.76510656</v>
      </c>
      <c r="F67" s="971">
        <f>E67</f>
        <v>627497151.76510656</v>
      </c>
      <c r="G67" s="971">
        <f>O29</f>
        <v>622056881.28458261</v>
      </c>
      <c r="H67" s="287">
        <f>+G67/E67-1</f>
        <v>-8.6697931061852085E-3</v>
      </c>
    </row>
    <row r="68" spans="3:8" x14ac:dyDescent="0.25">
      <c r="C68" s="780" t="s">
        <v>458</v>
      </c>
      <c r="D68" s="971">
        <f>K58</f>
        <v>103524773.25319158</v>
      </c>
      <c r="E68" s="971">
        <f>F58</f>
        <v>135818073.34113958</v>
      </c>
      <c r="F68" s="971">
        <f t="shared" ref="F68:F69" si="20">E68</f>
        <v>135818073.34113958</v>
      </c>
      <c r="G68" s="971">
        <f>O58</f>
        <v>78962652.50137262</v>
      </c>
      <c r="H68" s="287">
        <f>+G68/E68-1</f>
        <v>-0.41861454400815257</v>
      </c>
    </row>
    <row r="69" spans="3:8" ht="15.75" thickBot="1" x14ac:dyDescent="0.3">
      <c r="C69" s="781" t="s">
        <v>459</v>
      </c>
      <c r="D69" s="972">
        <f>K42</f>
        <v>40961152.143439174</v>
      </c>
      <c r="E69" s="972">
        <f>F42</f>
        <v>54626982.021685153</v>
      </c>
      <c r="F69" s="972">
        <f t="shared" si="20"/>
        <v>54626982.021685153</v>
      </c>
      <c r="G69" s="972">
        <f>O42</f>
        <v>54626982.021685153</v>
      </c>
      <c r="H69" s="287">
        <f>+G69/E69-1</f>
        <v>0</v>
      </c>
    </row>
    <row r="70" spans="3:8" ht="15.75" thickBot="1" x14ac:dyDescent="0.3">
      <c r="C70" s="778" t="s">
        <v>325</v>
      </c>
      <c r="D70" s="970">
        <f>+SUM(D65:D69)</f>
        <v>1140761704.3109818</v>
      </c>
      <c r="E70" s="970">
        <f>+SUM(E65:E69)</f>
        <v>2127610685.8364303</v>
      </c>
      <c r="F70" s="970">
        <f>+SUM(F65:F69)</f>
        <v>1724387269.4500554</v>
      </c>
      <c r="G70" s="970">
        <f>+SUM(G65:G69)</f>
        <v>1662091578.1297643</v>
      </c>
    </row>
    <row r="71" spans="3:8" ht="15.75" hidden="1" thickBot="1" x14ac:dyDescent="0.3">
      <c r="C71" s="547" t="s">
        <v>460</v>
      </c>
      <c r="D71" s="547"/>
      <c r="E71" s="802">
        <f>+E70/D70-1</f>
        <v>0.86507898871088407</v>
      </c>
      <c r="F71" s="802">
        <f>+F70/D70-1</f>
        <v>0.51161041165173282</v>
      </c>
      <c r="G71" s="802">
        <f>+G70/E70-1</f>
        <v>-0.21879900811066655</v>
      </c>
    </row>
    <row r="72" spans="3:8" ht="15.75" thickBot="1" x14ac:dyDescent="0.3"/>
    <row r="73" spans="3:8" ht="30.75" thickBot="1" x14ac:dyDescent="0.3">
      <c r="C73" s="470" t="s">
        <v>330</v>
      </c>
      <c r="D73" s="470" t="s">
        <v>1456</v>
      </c>
      <c r="E73" s="470" t="s">
        <v>1449</v>
      </c>
      <c r="F73" s="470" t="s">
        <v>1673</v>
      </c>
      <c r="G73" s="470" t="s">
        <v>1455</v>
      </c>
    </row>
    <row r="74" spans="3:8" x14ac:dyDescent="0.25">
      <c r="C74" s="779" t="s">
        <v>455</v>
      </c>
      <c r="D74" s="973">
        <f>D65</f>
        <v>592759843.64811218</v>
      </c>
      <c r="E74" s="973">
        <f>E65</f>
        <v>1274348576.7400074</v>
      </c>
      <c r="F74" s="973">
        <f>F65</f>
        <v>872210864.07301414</v>
      </c>
      <c r="G74" s="973">
        <f>G65</f>
        <v>872210864.07301414</v>
      </c>
    </row>
    <row r="75" spans="3:8" x14ac:dyDescent="0.25">
      <c r="C75" s="780" t="s">
        <v>457</v>
      </c>
      <c r="D75" s="971">
        <f>D67</f>
        <v>396206611.99304014</v>
      </c>
      <c r="E75" s="971">
        <f>E67</f>
        <v>627497151.76510656</v>
      </c>
      <c r="F75" s="971">
        <f>F67</f>
        <v>627497151.76510656</v>
      </c>
      <c r="G75" s="971">
        <f>G67</f>
        <v>622056881.28458261</v>
      </c>
    </row>
    <row r="76" spans="3:8" ht="15.75" thickBot="1" x14ac:dyDescent="0.3">
      <c r="C76" s="781" t="s">
        <v>459</v>
      </c>
      <c r="D76" s="972">
        <f>D69</f>
        <v>40961152.143439174</v>
      </c>
      <c r="E76" s="972">
        <f>E69</f>
        <v>54626982.021685153</v>
      </c>
      <c r="F76" s="972">
        <f>F69</f>
        <v>54626982.021685153</v>
      </c>
      <c r="G76" s="972">
        <f>G69</f>
        <v>54626982.021685153</v>
      </c>
    </row>
    <row r="77" spans="3:8" ht="15.75" thickBot="1" x14ac:dyDescent="0.3">
      <c r="C77" s="778" t="s">
        <v>325</v>
      </c>
      <c r="D77" s="970">
        <f>+SUM(D74:D76)</f>
        <v>1029927607.7845916</v>
      </c>
      <c r="E77" s="970">
        <f>+SUM(E74:E76)</f>
        <v>1956472710.5267992</v>
      </c>
      <c r="F77" s="970">
        <f>+SUM(F74:F76)</f>
        <v>1554334997.8598058</v>
      </c>
      <c r="G77" s="970">
        <f>+SUM(G74:G76)</f>
        <v>1548894727.379282</v>
      </c>
    </row>
    <row r="78" spans="3:8" ht="15.75" thickBot="1" x14ac:dyDescent="0.3">
      <c r="C78" s="547" t="s">
        <v>460</v>
      </c>
      <c r="D78" s="547"/>
      <c r="E78" s="802">
        <f>+E77/D77-1</f>
        <v>0.89962158091405753</v>
      </c>
      <c r="F78" s="802">
        <f>+F77/D77-1</f>
        <v>0.50916917471824252</v>
      </c>
      <c r="G78" s="802">
        <f>+G77/E77-1</f>
        <v>-0.20832285620675639</v>
      </c>
    </row>
    <row r="79" spans="3:8" ht="15.75" thickBot="1" x14ac:dyDescent="0.3"/>
    <row r="80" spans="3:8" ht="30.75" thickBot="1" x14ac:dyDescent="0.3">
      <c r="C80" s="470" t="s">
        <v>330</v>
      </c>
      <c r="D80" s="470" t="s">
        <v>1456</v>
      </c>
      <c r="E80" s="470" t="s">
        <v>1449</v>
      </c>
      <c r="F80" s="470" t="s">
        <v>1673</v>
      </c>
      <c r="G80" s="470" t="s">
        <v>1455</v>
      </c>
    </row>
    <row r="81" spans="3:7" x14ac:dyDescent="0.25">
      <c r="C81" s="780" t="s">
        <v>456</v>
      </c>
      <c r="D81" s="971">
        <f>D66</f>
        <v>7309323.2731987555</v>
      </c>
      <c r="E81" s="971">
        <f>E66</f>
        <v>35319901.968491502</v>
      </c>
      <c r="F81" s="971">
        <f>F66</f>
        <v>34234198.249109991</v>
      </c>
      <c r="G81" s="971">
        <f>G66</f>
        <v>34234198.249109991</v>
      </c>
    </row>
    <row r="82" spans="3:7" ht="15.75" thickBot="1" x14ac:dyDescent="0.3">
      <c r="C82" s="780" t="s">
        <v>458</v>
      </c>
      <c r="D82" s="971">
        <f>D68</f>
        <v>103524773.25319158</v>
      </c>
      <c r="E82" s="971">
        <f>E68</f>
        <v>135818073.34113958</v>
      </c>
      <c r="F82" s="971">
        <f>F68</f>
        <v>135818073.34113958</v>
      </c>
      <c r="G82" s="971">
        <f>G68</f>
        <v>78962652.50137262</v>
      </c>
    </row>
    <row r="83" spans="3:7" ht="15.75" thickBot="1" x14ac:dyDescent="0.3">
      <c r="C83" s="778" t="s">
        <v>325</v>
      </c>
      <c r="D83" s="970">
        <f>+SUM(D81:D82)</f>
        <v>110834096.52639033</v>
      </c>
      <c r="E83" s="970">
        <f>+SUM(E81:E82)</f>
        <v>171137975.30963108</v>
      </c>
      <c r="F83" s="970">
        <f>+SUM(F81:F82)</f>
        <v>170052271.59024957</v>
      </c>
      <c r="G83" s="970">
        <f>+SUM(G81:G82)</f>
        <v>113196850.75048262</v>
      </c>
    </row>
    <row r="84" spans="3:7" ht="15.75" thickBot="1" x14ac:dyDescent="0.3">
      <c r="C84" s="547" t="s">
        <v>460</v>
      </c>
      <c r="D84" s="547"/>
      <c r="E84" s="802">
        <f>+E83/D83-1</f>
        <v>0.54409140032897718</v>
      </c>
      <c r="F84" s="802">
        <f>+F83/D83-1</f>
        <v>0.53429564475007019</v>
      </c>
      <c r="G84" s="802">
        <f>+G83/E83-1</f>
        <v>-0.33856380767809469</v>
      </c>
    </row>
  </sheetData>
  <sortState xmlns:xlrd2="http://schemas.microsoft.com/office/spreadsheetml/2017/richdata2" ref="W13:W28">
    <sortCondition ref="W13:W28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114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7" sqref="L7"/>
    </sheetView>
  </sheetViews>
  <sheetFormatPr baseColWidth="10" defaultRowHeight="15" x14ac:dyDescent="0.25"/>
  <cols>
    <col min="1" max="1" width="59" style="893" customWidth="1"/>
    <col min="2" max="2" width="23.42578125" style="1440" customWidth="1"/>
    <col min="3" max="4" width="15.28515625" style="893" customWidth="1"/>
    <col min="5" max="5" width="9" style="893" customWidth="1"/>
    <col min="6" max="6" width="9.140625" style="893" customWidth="1"/>
    <col min="7" max="7" width="2.28515625" style="893" customWidth="1"/>
    <col min="8" max="11" width="12.85546875" style="893" customWidth="1"/>
    <col min="12" max="12" width="12.28515625" style="893" customWidth="1"/>
    <col min="13" max="13" width="14.42578125" style="1439" customWidth="1"/>
    <col min="14" max="14" width="14.42578125" style="915" bestFit="1" customWidth="1"/>
    <col min="15" max="15" width="41.85546875" customWidth="1"/>
    <col min="16" max="16" width="11.7109375" customWidth="1"/>
    <col min="17" max="17" width="11.42578125" style="893"/>
    <col min="18" max="18" width="14.85546875" style="1439" customWidth="1"/>
    <col min="19" max="19" width="33" style="893" customWidth="1"/>
    <col min="20" max="20" width="13.140625" style="893" customWidth="1"/>
    <col min="21" max="21" width="16.140625" style="893" customWidth="1"/>
    <col min="22" max="23" width="11.42578125" style="893"/>
    <col min="24" max="24" width="13.85546875" style="893" customWidth="1"/>
    <col min="25" max="27" width="11.42578125" style="893"/>
  </cols>
  <sheetData>
    <row r="1" spans="1:24" x14ac:dyDescent="0.25">
      <c r="F1" s="1509">
        <v>0.02</v>
      </c>
      <c r="G1" s="1509"/>
      <c r="H1" s="1511" t="s">
        <v>1737</v>
      </c>
      <c r="I1" s="1511" t="s">
        <v>1736</v>
      </c>
      <c r="J1" s="1511" t="s">
        <v>1735</v>
      </c>
      <c r="K1" s="1510" t="s">
        <v>1734</v>
      </c>
      <c r="L1" s="1509"/>
    </row>
    <row r="2" spans="1:24" x14ac:dyDescent="0.25">
      <c r="A2" s="924" t="s">
        <v>752</v>
      </c>
      <c r="B2" s="1454"/>
      <c r="C2" s="1508" t="s">
        <v>1733</v>
      </c>
      <c r="H2" s="1507" t="s">
        <v>1732</v>
      </c>
      <c r="I2" s="1507"/>
      <c r="J2" s="1507"/>
      <c r="K2" s="1507"/>
    </row>
    <row r="3" spans="1:24" ht="47.25" customHeight="1" x14ac:dyDescent="0.25">
      <c r="A3" s="1505"/>
      <c r="B3" s="1506" t="s">
        <v>1731</v>
      </c>
      <c r="C3" s="1505">
        <v>2020</v>
      </c>
      <c r="D3" s="1504">
        <v>45444</v>
      </c>
      <c r="F3" s="1503" t="s">
        <v>1730</v>
      </c>
      <c r="G3" s="1502"/>
      <c r="H3" s="1500">
        <v>2021</v>
      </c>
      <c r="I3" s="1500">
        <v>2022</v>
      </c>
      <c r="J3" s="1500">
        <v>2023</v>
      </c>
      <c r="K3" s="1501">
        <v>2024</v>
      </c>
      <c r="L3" s="1500" t="s">
        <v>1729</v>
      </c>
      <c r="M3" s="1499" t="s">
        <v>1728</v>
      </c>
      <c r="O3" s="1498"/>
      <c r="Q3" s="1497"/>
      <c r="R3" s="1496"/>
      <c r="S3" s="1496"/>
      <c r="T3" s="1495"/>
      <c r="X3" s="1495"/>
    </row>
    <row r="4" spans="1:24" x14ac:dyDescent="0.25">
      <c r="A4" s="1453" t="s">
        <v>1727</v>
      </c>
      <c r="B4" s="1447"/>
      <c r="C4" s="910">
        <f>SUBTOTAL(9,C5:C86)</f>
        <v>960455098</v>
      </c>
      <c r="D4" s="910">
        <f>SUBTOTAL(9,D5:D86)</f>
        <v>1252965058.8599973</v>
      </c>
      <c r="H4" s="1494">
        <f>+INDEX([7]Indices!$G$31:$G$42,MATCH(H3,[7]Indices!$A$31:$A$42,0))</f>
        <v>0.91629636549214732</v>
      </c>
      <c r="I4" s="1494">
        <f>+INDEX([7]Indices!$G$31:$G$42,MATCH(I3,[7]Indices!$A$31:$A$42,0))</f>
        <v>0.96291701405530827</v>
      </c>
      <c r="J4" s="1494">
        <f>+INDEX([7]Indices!$G$31:$G$42,MATCH(J3,[7]Indices!$A$31:$A$42,0))</f>
        <v>0.97313994133709736</v>
      </c>
      <c r="K4" s="1494">
        <f>+INDEX([7]Indices!$G$31:$G$42,MATCH(K3,[7]Indices!$A$31:$A$42,0))</f>
        <v>1</v>
      </c>
      <c r="N4" s="1441"/>
    </row>
    <row r="5" spans="1:24" x14ac:dyDescent="0.25">
      <c r="A5" s="927" t="s">
        <v>935</v>
      </c>
      <c r="B5" s="1447"/>
      <c r="C5" s="946">
        <f>SUBTOTAL(9,C6:C55)</f>
        <v>644723456</v>
      </c>
      <c r="D5" s="946">
        <f>SUBTOTAL(9,D6:D55)</f>
        <v>762111265.86999774</v>
      </c>
    </row>
    <row r="6" spans="1:24" x14ac:dyDescent="0.25">
      <c r="A6" s="928" t="s">
        <v>941</v>
      </c>
      <c r="B6" s="1446"/>
      <c r="C6" s="946">
        <f>SUBTOTAL(9,C7:C40)</f>
        <v>618686830</v>
      </c>
      <c r="D6" s="946">
        <f>SUBTOTAL(9,D7:D40)</f>
        <v>734922893.45999765</v>
      </c>
    </row>
    <row r="7" spans="1:24" x14ac:dyDescent="0.25">
      <c r="A7" s="1471" t="s">
        <v>1305</v>
      </c>
      <c r="B7" s="1468"/>
      <c r="C7" s="1467">
        <f>'Base ETESA'!AE12</f>
        <v>0</v>
      </c>
      <c r="D7" s="1467">
        <f>'Base ETESA'!BH12</f>
        <v>54749088.240000002</v>
      </c>
      <c r="E7" s="1466" t="str">
        <f>IFERROR((D7-C7)/C7,"")</f>
        <v/>
      </c>
      <c r="F7" s="1465" t="str">
        <f>IFERROR(IF(ABS(E7)&lt;=$F$1,"sí","no"),"no")</f>
        <v>no</v>
      </c>
      <c r="G7" s="1439"/>
      <c r="H7" s="1442">
        <f>IFERROR(INDEX('Base ETESA'!AJ:AJ,MATCH($A7,'Base ETESA'!$BG:$BG,0)),0)</f>
        <v>0</v>
      </c>
      <c r="I7" s="1442">
        <f>IFERROR(INDEX('Base ETESA'!AQ:AQ,MATCH($A7,'Base ETESA'!$BG:$BG,0)),0)</f>
        <v>54420914.310000002</v>
      </c>
      <c r="J7" s="1442">
        <f>IFERROR(INDEX('Base ETESA'!AX:AX,MATCH($A7,'Base ETESA'!$BG:$BG,0)),0)</f>
        <v>0</v>
      </c>
      <c r="K7" s="1442">
        <f>IFERROR(INDEX('Base ETESA'!BE:BE,MATCH($A7,'Base ETESA'!$BG:$BG,0)),0)</f>
        <v>328173.9299999997</v>
      </c>
      <c r="L7" s="1442">
        <f>+SUMPRODUCT(H7:K7,$H$4:$K$4)</f>
        <v>52730998.239545003</v>
      </c>
      <c r="R7" s="1485"/>
    </row>
    <row r="8" spans="1:24" x14ac:dyDescent="0.25">
      <c r="A8" s="1493" t="s">
        <v>1302</v>
      </c>
      <c r="B8" s="1460"/>
      <c r="C8" s="899">
        <f>'Base ETESA'!AE13</f>
        <v>656867</v>
      </c>
      <c r="D8" s="899">
        <f>'Base ETESA'!BH13</f>
        <v>656866.83000000007</v>
      </c>
      <c r="E8" s="1443">
        <f>IFERROR((D8-C8)/C8,"")</f>
        <v>-2.5880429360204452E-7</v>
      </c>
      <c r="F8" s="1439" t="str">
        <f>IFERROR(IF(ABS(E8)&lt;=$F$1,"sí","no"),"no")</f>
        <v>sí</v>
      </c>
      <c r="G8" s="1439"/>
      <c r="H8" s="1442">
        <f>IFERROR(INDEX('Base ETESA'!AJ:AJ,MATCH($A8,'Base ETESA'!$BG:$BG,0)),0)</f>
        <v>-0.16999999992549419</v>
      </c>
      <c r="I8" s="1442">
        <f>IFERROR(INDEX('Base ETESA'!AQ:AQ,MATCH($A8,'Base ETESA'!$BG:$BG,0)),0)</f>
        <v>0</v>
      </c>
      <c r="J8" s="1442">
        <f>IFERROR(INDEX('Base ETESA'!AX:AX,MATCH($A8,'Base ETESA'!$BG:$BG,0)),0)</f>
        <v>0</v>
      </c>
      <c r="K8" s="1442">
        <f>IFERROR(INDEX('Base ETESA'!BE:BE,MATCH($A8,'Base ETESA'!$BG:$BG,0)),0)</f>
        <v>0</v>
      </c>
      <c r="L8" s="1442">
        <f t="shared" ref="L8:L45" si="0">+SUMPRODUCT(H8:K8,$H$4:$K$4)</f>
        <v>-0.15577038206539565</v>
      </c>
      <c r="R8" s="1485"/>
    </row>
    <row r="9" spans="1:24" x14ac:dyDescent="0.25">
      <c r="A9" s="1471" t="s">
        <v>1726</v>
      </c>
      <c r="B9" s="1468"/>
      <c r="C9" s="1467">
        <f>'Base ETESA'!AE14</f>
        <v>0</v>
      </c>
      <c r="D9" s="1467">
        <f>'Base ETESA'!BH14</f>
        <v>0</v>
      </c>
      <c r="E9" s="1466" t="str">
        <f>IFERROR((D9-C9)/C9,"")</f>
        <v/>
      </c>
      <c r="F9" s="1465" t="str">
        <f>IFERROR(IF(ABS(E9)&lt;=$F$1,"sí","no"),"no")</f>
        <v>no</v>
      </c>
      <c r="G9" s="1439"/>
      <c r="H9" s="1442">
        <f>IFERROR(INDEX('Base ETESA'!AJ:AJ,MATCH($A9,'Base ETESA'!$BG:$BG,0)),0)</f>
        <v>0</v>
      </c>
      <c r="I9" s="1442">
        <f>IFERROR(INDEX('Base ETESA'!AQ:AQ,MATCH($A9,'Base ETESA'!$BG:$BG,0)),0)</f>
        <v>0</v>
      </c>
      <c r="J9" s="1442">
        <f>IFERROR(INDEX('Base ETESA'!AX:AX,MATCH($A9,'Base ETESA'!$BG:$BG,0)),0)</f>
        <v>0</v>
      </c>
      <c r="K9" s="1442">
        <f>IFERROR(INDEX('Base ETESA'!BE:BE,MATCH($A9,'Base ETESA'!$BG:$BG,0)),0)</f>
        <v>0</v>
      </c>
      <c r="L9" s="1442">
        <f t="shared" si="0"/>
        <v>0</v>
      </c>
      <c r="R9" s="1485"/>
    </row>
    <row r="10" spans="1:24" x14ac:dyDescent="0.25">
      <c r="A10" s="1469" t="s">
        <v>962</v>
      </c>
      <c r="B10" s="1468" t="s">
        <v>404</v>
      </c>
      <c r="C10" s="1467">
        <f>'Base ETESA'!AE15</f>
        <v>8048581</v>
      </c>
      <c r="D10" s="1467">
        <f>'Base ETESA'!BH15</f>
        <v>8089428.6800000034</v>
      </c>
      <c r="E10" s="1466">
        <f>IFERROR((D10-C10)/C10,"")</f>
        <v>5.075140574469391E-3</v>
      </c>
      <c r="F10" s="1465" t="str">
        <f>IFERROR(IF(ABS(E10)&lt;=$F$1,"sí","no"),"no")</f>
        <v>sí</v>
      </c>
      <c r="G10" s="1439"/>
      <c r="H10" s="1442">
        <f>IFERROR(INDEX('Base ETESA'!AJ:AJ,MATCH($A10,'Base ETESA'!$BG:$BG,0)),0)</f>
        <v>0.44000000320374966</v>
      </c>
      <c r="I10" s="1442">
        <f>IFERROR(INDEX('Base ETESA'!AQ:AQ,MATCH($A10,'Base ETESA'!$BG:$BG,0)),0)</f>
        <v>40847.240000000224</v>
      </c>
      <c r="J10" s="1442">
        <f>IFERROR(INDEX('Base ETESA'!AX:AX,MATCH($A10,'Base ETESA'!$BG:$BG,0)),0)</f>
        <v>0</v>
      </c>
      <c r="K10" s="1442">
        <f>IFERROR(INDEX('Base ETESA'!BE:BE,MATCH($A10,'Base ETESA'!$BG:$BG,0)),0)</f>
        <v>0</v>
      </c>
      <c r="L10" s="1442">
        <f t="shared" si="0"/>
        <v>39332.905543604524</v>
      </c>
      <c r="O10" s="893"/>
    </row>
    <row r="11" spans="1:24" x14ac:dyDescent="0.25">
      <c r="A11" s="933" t="s">
        <v>963</v>
      </c>
      <c r="B11" s="1460" t="s">
        <v>1430</v>
      </c>
      <c r="C11" s="899">
        <f>'Base ETESA'!AE16</f>
        <v>38015913</v>
      </c>
      <c r="D11" s="899">
        <f>'Base ETESA'!BH16</f>
        <v>38527662.550000027</v>
      </c>
      <c r="E11" s="1443">
        <f>IFERROR((D11-C11)/C11,"")</f>
        <v>1.3461456259120406E-2</v>
      </c>
      <c r="F11" s="1439" t="str">
        <f>IFERROR(IF(ABS(E11)&lt;=$F$1,"sí","no"),"no")</f>
        <v>sí</v>
      </c>
      <c r="G11" s="1439"/>
      <c r="H11" s="1442">
        <f>IFERROR(INDEX('Base ETESA'!AJ:AJ,MATCH($A11,'Base ETESA'!$BG:$BG,0)),0)</f>
        <v>0.43000001460313797</v>
      </c>
      <c r="I11" s="1442">
        <f>IFERROR(INDEX('Base ETESA'!AQ:AQ,MATCH($A11,'Base ETESA'!$BG:$BG,0)),0)</f>
        <v>13660.910000003874</v>
      </c>
      <c r="J11" s="1442">
        <f>IFERROR(INDEX('Base ETESA'!AX:AX,MATCH($A11,'Base ETESA'!$BG:$BG,0)),0)</f>
        <v>0</v>
      </c>
      <c r="K11" s="1442">
        <f>IFERROR(INDEX('Base ETESA'!BE:BE,MATCH($A11,'Base ETESA'!$BG:$BG,0)),0)</f>
        <v>498088.21000000834</v>
      </c>
      <c r="L11" s="1442">
        <f t="shared" si="0"/>
        <v>511242.92667394091</v>
      </c>
      <c r="N11" s="1485"/>
      <c r="O11" s="893"/>
      <c r="P11" s="915"/>
      <c r="U11" s="895"/>
      <c r="V11" s="895"/>
    </row>
    <row r="12" spans="1:24" x14ac:dyDescent="0.25">
      <c r="A12" s="933"/>
      <c r="B12" s="1460" t="s">
        <v>1429</v>
      </c>
      <c r="C12" s="899"/>
      <c r="D12" s="899"/>
      <c r="E12" s="1443"/>
      <c r="F12" s="1439"/>
      <c r="G12" s="1439"/>
      <c r="H12" s="1442">
        <f>IFERROR(INDEX('Base ETESA'!AJ:AJ,MATCH($A12,'Base ETESA'!$BG:$BG,0)),0)</f>
        <v>0</v>
      </c>
      <c r="I12" s="1442">
        <f>IFERROR(INDEX('Base ETESA'!AQ:AQ,MATCH($A12,'Base ETESA'!$BG:$BG,0)),0)</f>
        <v>0</v>
      </c>
      <c r="J12" s="1442">
        <f>IFERROR(INDEX('Base ETESA'!AX:AX,MATCH($A12,'Base ETESA'!$BG:$BG,0)),0)</f>
        <v>0</v>
      </c>
      <c r="K12" s="1442">
        <f>IFERROR(INDEX('Base ETESA'!BE:BE,MATCH($A12,'Base ETESA'!$BG:$BG,0)),0)</f>
        <v>0</v>
      </c>
      <c r="L12" s="1442">
        <f t="shared" si="0"/>
        <v>0</v>
      </c>
      <c r="O12" s="893"/>
      <c r="P12" s="915"/>
      <c r="U12" s="895"/>
      <c r="V12" s="895"/>
    </row>
    <row r="13" spans="1:24" x14ac:dyDescent="0.25">
      <c r="A13" s="1471" t="s">
        <v>964</v>
      </c>
      <c r="B13" s="1470"/>
      <c r="C13" s="1467">
        <f>'Base ETESA'!AE17</f>
        <v>1011127</v>
      </c>
      <c r="D13" s="1467">
        <f>'Base ETESA'!BH17</f>
        <v>1011127.14</v>
      </c>
      <c r="E13" s="1466">
        <f t="shared" ref="E13:E27" si="1">IFERROR((D13-C13)/C13,"")</f>
        <v>1.3845936268536972E-7</v>
      </c>
      <c r="F13" s="1465" t="str">
        <f t="shared" ref="F13:F27" si="2">IFERROR(IF(ABS(E13)&lt;=$F$1,"sí","no"),"no")</f>
        <v>sí</v>
      </c>
      <c r="G13" s="1439"/>
      <c r="H13" s="1442">
        <f>IFERROR(INDEX('Base ETESA'!AJ:AJ,MATCH($A13,'Base ETESA'!$BG:$BG,0)),0)</f>
        <v>0.14000000001396984</v>
      </c>
      <c r="I13" s="1442">
        <f>IFERROR(INDEX('Base ETESA'!AQ:AQ,MATCH($A13,'Base ETESA'!$BG:$BG,0)),0)</f>
        <v>0</v>
      </c>
      <c r="J13" s="1442">
        <f>IFERROR(INDEX('Base ETESA'!AX:AX,MATCH($A13,'Base ETESA'!$BG:$BG,0)),0)</f>
        <v>0</v>
      </c>
      <c r="K13" s="1442">
        <f>IFERROR(INDEX('Base ETESA'!BE:BE,MATCH($A13,'Base ETESA'!$BG:$BG,0)),0)</f>
        <v>0</v>
      </c>
      <c r="L13" s="1442">
        <f t="shared" si="0"/>
        <v>0.12828149118170115</v>
      </c>
      <c r="R13" s="1485"/>
    </row>
    <row r="14" spans="1:24" x14ac:dyDescent="0.25">
      <c r="A14" s="1469" t="s">
        <v>965</v>
      </c>
      <c r="B14" s="1468" t="s">
        <v>1431</v>
      </c>
      <c r="C14" s="1467">
        <f>'Base ETESA'!AE18</f>
        <v>2591165</v>
      </c>
      <c r="D14" s="1467">
        <f>'Base ETESA'!BH18</f>
        <v>2591165.2500000005</v>
      </c>
      <c r="E14" s="1466">
        <f t="shared" si="1"/>
        <v>9.6481698566344208E-8</v>
      </c>
      <c r="F14" s="1465" t="str">
        <f t="shared" si="2"/>
        <v>sí</v>
      </c>
      <c r="G14" s="1439"/>
      <c r="H14" s="1442">
        <f>IFERROR(INDEX('Base ETESA'!AJ:AJ,MATCH($A14,'Base ETESA'!$BG:$BG,0)),0)</f>
        <v>0.25000000046566129</v>
      </c>
      <c r="I14" s="1442">
        <f>IFERROR(INDEX('Base ETESA'!AQ:AQ,MATCH($A14,'Base ETESA'!$BG:$BG,0)),0)</f>
        <v>0</v>
      </c>
      <c r="J14" s="1442">
        <f>IFERROR(INDEX('Base ETESA'!AX:AX,MATCH($A14,'Base ETESA'!$BG:$BG,0)),0)</f>
        <v>0</v>
      </c>
      <c r="K14" s="1442">
        <f>IFERROR(INDEX('Base ETESA'!BE:BE,MATCH($A14,'Base ETESA'!$BG:$BG,0)),0)</f>
        <v>0</v>
      </c>
      <c r="L14" s="1442">
        <f t="shared" si="0"/>
        <v>0.22907409179972058</v>
      </c>
    </row>
    <row r="15" spans="1:24" x14ac:dyDescent="0.25">
      <c r="A15" s="1471" t="s">
        <v>1725</v>
      </c>
      <c r="B15" s="1468"/>
      <c r="C15" s="1467">
        <f>'Base ETESA'!AE19</f>
        <v>1479170</v>
      </c>
      <c r="D15" s="1467">
        <f>'Base ETESA'!BH19</f>
        <v>1479169.7899999998</v>
      </c>
      <c r="E15" s="1466">
        <f t="shared" si="1"/>
        <v>-1.419715111823372E-7</v>
      </c>
      <c r="F15" s="1465" t="str">
        <f t="shared" si="2"/>
        <v>sí</v>
      </c>
      <c r="G15" s="1439"/>
      <c r="H15" s="1442">
        <f>IFERROR(INDEX('Base ETESA'!AJ:AJ,MATCH($A15,'Base ETESA'!$BG:$BG,0)),0)</f>
        <v>0</v>
      </c>
      <c r="I15" s="1442">
        <f>IFERROR(INDEX('Base ETESA'!AQ:AQ,MATCH($A15,'Base ETESA'!$BG:$BG,0)),0)</f>
        <v>0</v>
      </c>
      <c r="J15" s="1442">
        <f>IFERROR(INDEX('Base ETESA'!AX:AX,MATCH($A15,'Base ETESA'!$BG:$BG,0)),0)</f>
        <v>0</v>
      </c>
      <c r="K15" s="1442">
        <f>IFERROR(INDEX('Base ETESA'!BE:BE,MATCH($A15,'Base ETESA'!$BG:$BG,0)),0)</f>
        <v>0</v>
      </c>
      <c r="L15" s="1442">
        <f t="shared" si="0"/>
        <v>0</v>
      </c>
      <c r="R15" s="1485"/>
    </row>
    <row r="16" spans="1:24" x14ac:dyDescent="0.25">
      <c r="A16" s="1469" t="s">
        <v>967</v>
      </c>
      <c r="B16" s="1468" t="s">
        <v>402</v>
      </c>
      <c r="C16" s="1467">
        <f>'Base ETESA'!AE20</f>
        <v>1993987</v>
      </c>
      <c r="D16" s="1467">
        <f>'Base ETESA'!BH20</f>
        <v>1993987.3099999998</v>
      </c>
      <c r="E16" s="1466">
        <f t="shared" si="1"/>
        <v>1.5546741268777014E-7</v>
      </c>
      <c r="F16" s="1465" t="str">
        <f t="shared" si="2"/>
        <v>sí</v>
      </c>
      <c r="G16" s="1439"/>
      <c r="H16" s="1442">
        <f>IFERROR(INDEX('Base ETESA'!AJ:AJ,MATCH($A16,'Base ETESA'!$BG:$BG,0)),0)</f>
        <v>0.30999999982304871</v>
      </c>
      <c r="I16" s="1442">
        <f>IFERROR(INDEX('Base ETESA'!AQ:AQ,MATCH($A16,'Base ETESA'!$BG:$BG,0)),0)</f>
        <v>0</v>
      </c>
      <c r="J16" s="1442">
        <f>IFERROR(INDEX('Base ETESA'!AX:AX,MATCH($A16,'Base ETESA'!$BG:$BG,0)),0)</f>
        <v>0</v>
      </c>
      <c r="K16" s="1442">
        <f>IFERROR(INDEX('Base ETESA'!BE:BE,MATCH($A16,'Base ETESA'!$BG:$BG,0)),0)</f>
        <v>0</v>
      </c>
      <c r="L16" s="1442">
        <f t="shared" si="0"/>
        <v>0.28405187314042585</v>
      </c>
      <c r="O16" s="893"/>
      <c r="U16" s="1490"/>
      <c r="V16" s="1490"/>
    </row>
    <row r="17" spans="1:22" x14ac:dyDescent="0.25">
      <c r="A17" s="1471" t="s">
        <v>968</v>
      </c>
      <c r="B17" s="1468"/>
      <c r="C17" s="1467">
        <f>'Base ETESA'!AE21</f>
        <v>4164418</v>
      </c>
      <c r="D17" s="1467">
        <f>'Base ETESA'!BH21</f>
        <v>4164417.99</v>
      </c>
      <c r="E17" s="1466">
        <f t="shared" si="1"/>
        <v>-2.4012958777151049E-9</v>
      </c>
      <c r="F17" s="1465" t="str">
        <f t="shared" si="2"/>
        <v>sí</v>
      </c>
      <c r="G17" s="1439"/>
      <c r="H17" s="1442">
        <f>IFERROR(INDEX('Base ETESA'!AJ:AJ,MATCH($A17,'Base ETESA'!$BG:$BG,0)),0)</f>
        <v>-9.9999997764825821E-3</v>
      </c>
      <c r="I17" s="1442">
        <f>IFERROR(INDEX('Base ETESA'!AQ:AQ,MATCH($A17,'Base ETESA'!$BG:$BG,0)),0)</f>
        <v>0</v>
      </c>
      <c r="J17" s="1442">
        <f>IFERROR(INDEX('Base ETESA'!AX:AX,MATCH($A17,'Base ETESA'!$BG:$BG,0)),0)</f>
        <v>0</v>
      </c>
      <c r="K17" s="1442">
        <f>IFERROR(INDEX('Base ETESA'!BE:BE,MATCH($A17,'Base ETESA'!$BG:$BG,0)),0)</f>
        <v>0</v>
      </c>
      <c r="L17" s="1442">
        <f t="shared" si="0"/>
        <v>-9.1629634501132762E-3</v>
      </c>
      <c r="R17" s="1485"/>
    </row>
    <row r="18" spans="1:22" x14ac:dyDescent="0.25">
      <c r="A18" s="1469" t="s">
        <v>969</v>
      </c>
      <c r="B18" s="1468" t="s">
        <v>376</v>
      </c>
      <c r="C18" s="1467">
        <f>'Base ETESA'!AE22</f>
        <v>29571780</v>
      </c>
      <c r="D18" s="1467">
        <f>'Base ETESA'!BH22</f>
        <v>29532785.929999992</v>
      </c>
      <c r="E18" s="1466">
        <f t="shared" si="1"/>
        <v>-1.3186243777008942E-3</v>
      </c>
      <c r="F18" s="1465" t="str">
        <f t="shared" si="2"/>
        <v>sí</v>
      </c>
      <c r="G18" s="1439"/>
      <c r="H18" s="1442">
        <f>IFERROR(INDEX('Base ETESA'!AJ:AJ,MATCH($A18,'Base ETESA'!$BG:$BG,0)),0)</f>
        <v>-38994.070000007749</v>
      </c>
      <c r="I18" s="1442">
        <f>IFERROR(INDEX('Base ETESA'!AQ:AQ,MATCH($A18,'Base ETESA'!$BG:$BG,0)),0)</f>
        <v>0</v>
      </c>
      <c r="J18" s="1442">
        <f>IFERROR(INDEX('Base ETESA'!AX:AX,MATCH($A18,'Base ETESA'!$BG:$BG,0)),0)</f>
        <v>0</v>
      </c>
      <c r="K18" s="1442">
        <f>IFERROR(INDEX('Base ETESA'!BE:BE,MATCH($A18,'Base ETESA'!$BG:$BG,0)),0)</f>
        <v>0</v>
      </c>
      <c r="L18" s="1442">
        <f t="shared" si="0"/>
        <v>-35730.124616753477</v>
      </c>
    </row>
    <row r="19" spans="1:22" x14ac:dyDescent="0.25">
      <c r="A19" s="1471" t="s">
        <v>971</v>
      </c>
      <c r="B19" s="1470" t="s">
        <v>393</v>
      </c>
      <c r="C19" s="1467">
        <f>'Base ETESA'!AE23</f>
        <v>45064679</v>
      </c>
      <c r="D19" s="1467">
        <f>'Base ETESA'!BH23</f>
        <v>45134385.100000001</v>
      </c>
      <c r="E19" s="1466">
        <f t="shared" si="1"/>
        <v>1.5468012098788387E-3</v>
      </c>
      <c r="F19" s="1465" t="str">
        <f t="shared" si="2"/>
        <v>sí</v>
      </c>
      <c r="G19" s="1439"/>
      <c r="H19" s="1442">
        <f>IFERROR(INDEX('Base ETESA'!AJ:AJ,MATCH($A19,'Base ETESA'!$BG:$BG,0)),0)</f>
        <v>0</v>
      </c>
      <c r="I19" s="1442">
        <f>IFERROR(INDEX('Base ETESA'!AQ:AQ,MATCH($A19,'Base ETESA'!$BG:$BG,0)),0)</f>
        <v>0</v>
      </c>
      <c r="J19" s="1442">
        <f>IFERROR(INDEX('Base ETESA'!AX:AX,MATCH($A19,'Base ETESA'!$BG:$BG,0)),0)</f>
        <v>0</v>
      </c>
      <c r="K19" s="1442">
        <f>IFERROR(INDEX('Base ETESA'!BE:BE,MATCH($A19,'Base ETESA'!$BG:$BG,0)),0)</f>
        <v>69706.10000000149</v>
      </c>
      <c r="L19" s="1442">
        <f t="shared" si="0"/>
        <v>69706.10000000149</v>
      </c>
      <c r="M19" s="1455"/>
      <c r="R19" s="1485"/>
    </row>
    <row r="20" spans="1:22" x14ac:dyDescent="0.25">
      <c r="A20" s="1471" t="s">
        <v>977</v>
      </c>
      <c r="B20" s="1470" t="s">
        <v>367</v>
      </c>
      <c r="C20" s="1467">
        <f>'Base ETESA'!AE26</f>
        <v>0</v>
      </c>
      <c r="D20" s="1467">
        <f>'Base ETESA'!BH26</f>
        <v>0</v>
      </c>
      <c r="E20" s="1466" t="str">
        <f t="shared" si="1"/>
        <v/>
      </c>
      <c r="F20" s="1465" t="str">
        <f t="shared" si="2"/>
        <v>no</v>
      </c>
      <c r="G20" s="1439"/>
      <c r="H20" s="1442">
        <f>IFERROR(INDEX('Base ETESA'!AJ:AJ,MATCH($A20,'Base ETESA'!$BG:$BG,0)),0)</f>
        <v>0</v>
      </c>
      <c r="I20" s="1442">
        <f>IFERROR(INDEX('Base ETESA'!AQ:AQ,MATCH($A20,'Base ETESA'!$BG:$BG,0)),0)</f>
        <v>0</v>
      </c>
      <c r="J20" s="1442">
        <f>IFERROR(INDEX('Base ETESA'!AX:AX,MATCH($A20,'Base ETESA'!$BG:$BG,0)),0)</f>
        <v>0</v>
      </c>
      <c r="K20" s="1442">
        <f>IFERROR(INDEX('Base ETESA'!BE:BE,MATCH($A20,'Base ETESA'!$BG:$BG,0)),0)</f>
        <v>0</v>
      </c>
      <c r="L20" s="1442">
        <f t="shared" si="0"/>
        <v>0</v>
      </c>
      <c r="M20" s="1491"/>
      <c r="N20" s="1492"/>
      <c r="R20" s="1491"/>
      <c r="S20" s="1490"/>
      <c r="U20" s="895"/>
      <c r="V20" s="895"/>
    </row>
    <row r="21" spans="1:22" x14ac:dyDescent="0.25">
      <c r="A21" s="1471" t="s">
        <v>972</v>
      </c>
      <c r="B21" s="1470" t="s">
        <v>369</v>
      </c>
      <c r="C21" s="1467">
        <f>'Base ETESA'!AE29</f>
        <v>15270019</v>
      </c>
      <c r="D21" s="1467">
        <f>'Base ETESA'!BH29</f>
        <v>18103337.799999971</v>
      </c>
      <c r="E21" s="1466">
        <f t="shared" si="1"/>
        <v>0.18554782413826537</v>
      </c>
      <c r="F21" s="1465" t="str">
        <f t="shared" si="2"/>
        <v>no</v>
      </c>
      <c r="G21" s="1439"/>
      <c r="H21" s="1442">
        <f>IFERROR(INDEX('Base ETESA'!AJ:AJ,MATCH($A21,'Base ETESA'!$BG:$BG,0)),0)</f>
        <v>-5.0000028684735298E-2</v>
      </c>
      <c r="I21" s="1442">
        <f>IFERROR(INDEX('Base ETESA'!AQ:AQ,MATCH($A21,'Base ETESA'!$BG:$BG,0)),0)</f>
        <v>0</v>
      </c>
      <c r="J21" s="1442">
        <f>IFERROR(INDEX('Base ETESA'!AX:AX,MATCH($A21,'Base ETESA'!$BG:$BG,0)),0)</f>
        <v>0</v>
      </c>
      <c r="K21" s="1442">
        <f>IFERROR(INDEX('Base ETESA'!BE:BE,MATCH($A21,'Base ETESA'!$BG:$BG,0)),0)</f>
        <v>2833318.8499999996</v>
      </c>
      <c r="L21" s="1442">
        <f t="shared" si="0"/>
        <v>2833318.8041851548</v>
      </c>
      <c r="M21" s="1491"/>
      <c r="N21" s="1492"/>
      <c r="O21" s="893"/>
      <c r="R21" s="1491"/>
      <c r="S21" s="1490"/>
    </row>
    <row r="22" spans="1:22" x14ac:dyDescent="0.25">
      <c r="A22" s="1469" t="s">
        <v>979</v>
      </c>
      <c r="B22" s="1468" t="s">
        <v>396</v>
      </c>
      <c r="C22" s="1467">
        <f>'Base ETESA'!AE27</f>
        <v>104744906</v>
      </c>
      <c r="D22" s="1467">
        <f>'Base ETESA'!BH27</f>
        <v>109843993.75999978</v>
      </c>
      <c r="E22" s="1466">
        <f t="shared" si="1"/>
        <v>4.8681009461212191E-2</v>
      </c>
      <c r="F22" s="1465" t="str">
        <f t="shared" si="2"/>
        <v>no</v>
      </c>
      <c r="G22" s="1439"/>
      <c r="H22" s="1442">
        <f>IFERROR(INDEX('Base ETESA'!AJ:AJ,MATCH($A22,'Base ETESA'!$BG:$BG,0)),0)</f>
        <v>1104073.7099997699</v>
      </c>
      <c r="I22" s="1442">
        <f>IFERROR(INDEX('Base ETESA'!AQ:AQ,MATCH($A22,'Base ETESA'!$BG:$BG,0)),0)</f>
        <v>25559.540000006557</v>
      </c>
      <c r="J22" s="1442">
        <f>IFERROR(INDEX('Base ETESA'!AX:AX,MATCH($A22,'Base ETESA'!$BG:$BG,0)),0)</f>
        <v>3689674.3800000101</v>
      </c>
      <c r="K22" s="1442">
        <f>IFERROR(INDEX('Base ETESA'!BE:BE,MATCH($A22,'Base ETESA'!$BG:$BG,0)),0)</f>
        <v>279780.12999999523</v>
      </c>
      <c r="L22" s="1442">
        <f t="shared" si="0"/>
        <v>4906620.0833518505</v>
      </c>
    </row>
    <row r="23" spans="1:22" x14ac:dyDescent="0.25">
      <c r="A23" s="1469" t="s">
        <v>970</v>
      </c>
      <c r="B23" s="1468" t="s">
        <v>1437</v>
      </c>
      <c r="C23" s="1489">
        <f>'Base ETESA'!AE28</f>
        <v>5318509</v>
      </c>
      <c r="D23" s="1489">
        <f>'Base ETESA'!BH28</f>
        <v>5380517.709999999</v>
      </c>
      <c r="E23" s="1488">
        <f t="shared" si="1"/>
        <v>1.1659040155802882E-2</v>
      </c>
      <c r="F23" s="1487" t="str">
        <f t="shared" si="2"/>
        <v>sí</v>
      </c>
      <c r="G23" s="1486"/>
      <c r="H23" s="1442">
        <f>IFERROR(INDEX('Base ETESA'!AJ:AJ,MATCH($A23,'Base ETESA'!$BG:$BG,0)),0)</f>
        <v>-0.46000000089406967</v>
      </c>
      <c r="I23" s="1442">
        <f>IFERROR(INDEX('Base ETESA'!AQ:AQ,MATCH($A23,'Base ETESA'!$BG:$BG,0)),0)</f>
        <v>62009.169999999925</v>
      </c>
      <c r="J23" s="1442">
        <f>IFERROR(INDEX('Base ETESA'!AX:AX,MATCH($A23,'Base ETESA'!$BG:$BG,0)),0)</f>
        <v>0</v>
      </c>
      <c r="K23" s="1442">
        <f>IFERROR(INDEX('Base ETESA'!BE:BE,MATCH($A23,'Base ETESA'!$BG:$BG,0)),0)</f>
        <v>0</v>
      </c>
      <c r="L23" s="1442">
        <f t="shared" si="0"/>
        <v>59709.263324118983</v>
      </c>
      <c r="M23" s="1455"/>
      <c r="N23" s="1485"/>
      <c r="P23" s="1484"/>
    </row>
    <row r="24" spans="1:22" x14ac:dyDescent="0.25">
      <c r="A24" s="1469" t="s">
        <v>984</v>
      </c>
      <c r="B24" s="1468" t="s">
        <v>1436</v>
      </c>
      <c r="C24" s="1489">
        <f>'Base ETESA'!AE36</f>
        <v>1859809</v>
      </c>
      <c r="D24" s="1489">
        <f>'Base ETESA'!BH36</f>
        <v>1859809.35</v>
      </c>
      <c r="E24" s="1488">
        <f t="shared" si="1"/>
        <v>1.8819136808840706E-7</v>
      </c>
      <c r="F24" s="1487" t="str">
        <f t="shared" si="2"/>
        <v>sí</v>
      </c>
      <c r="G24" s="1486"/>
      <c r="H24" s="1442">
        <f>IFERROR(INDEX('Base ETESA'!AJ:AJ,MATCH($A24,'Base ETESA'!$BG:$BG,0)),0)</f>
        <v>0.35000000009313226</v>
      </c>
      <c r="I24" s="1442">
        <f>IFERROR(INDEX('Base ETESA'!AQ:AQ,MATCH($A24,'Base ETESA'!$BG:$BG,0)),0)</f>
        <v>0</v>
      </c>
      <c r="J24" s="1442">
        <f>IFERROR(INDEX('Base ETESA'!AX:AX,MATCH($A24,'Base ETESA'!$BG:$BG,0)),0)</f>
        <v>0</v>
      </c>
      <c r="K24" s="1442">
        <f>IFERROR(INDEX('Base ETESA'!BE:BE,MATCH($A24,'Base ETESA'!$BG:$BG,0)),0)</f>
        <v>0</v>
      </c>
      <c r="L24" s="1442">
        <f t="shared" si="0"/>
        <v>0.32070372800758834</v>
      </c>
      <c r="M24" s="1455"/>
      <c r="N24" s="1485"/>
      <c r="P24" s="1484"/>
    </row>
    <row r="25" spans="1:22" x14ac:dyDescent="0.25">
      <c r="A25" s="1483" t="s">
        <v>983</v>
      </c>
      <c r="B25" s="1464" t="s">
        <v>1683</v>
      </c>
      <c r="C25" s="1467">
        <f>'Base ETESA'!AE30</f>
        <v>60980953</v>
      </c>
      <c r="D25" s="1467">
        <f>'Base ETESA'!BH30</f>
        <v>61204602.199999757</v>
      </c>
      <c r="E25" s="1466">
        <f t="shared" si="1"/>
        <v>3.667525497670676E-3</v>
      </c>
      <c r="F25" s="1465" t="str">
        <f t="shared" si="2"/>
        <v>sí</v>
      </c>
      <c r="G25" s="1439"/>
      <c r="H25" s="1442">
        <f>IFERROR(INDEX('Base ETESA'!AJ:AJ,MATCH($A25,'Base ETESA'!$BG:$BG,0)),0)</f>
        <v>151144.32999975979</v>
      </c>
      <c r="I25" s="1442">
        <f>IFERROR(INDEX('Base ETESA'!AQ:AQ,MATCH($A25,'Base ETESA'!$BG:$BG,0)),0)</f>
        <v>22720.879999995232</v>
      </c>
      <c r="J25" s="1442">
        <f>IFERROR(INDEX('Base ETESA'!AX:AX,MATCH($A25,'Base ETESA'!$BG:$BG,0)),0)</f>
        <v>0</v>
      </c>
      <c r="K25" s="1442">
        <f>IFERROR(INDEX('Base ETESA'!BE:BE,MATCH($A25,'Base ETESA'!$BG:$BG,0)),0)</f>
        <v>49783.990000002086</v>
      </c>
      <c r="L25" s="1442">
        <f t="shared" si="0"/>
        <v>210155.31216983209</v>
      </c>
      <c r="U25" s="895"/>
      <c r="V25" s="895"/>
    </row>
    <row r="26" spans="1:22" x14ac:dyDescent="0.25">
      <c r="A26" s="941" t="s">
        <v>985</v>
      </c>
      <c r="B26" s="1440" t="s">
        <v>1676</v>
      </c>
      <c r="C26" s="899">
        <f>'Base ETESA'!AE31</f>
        <v>165114170</v>
      </c>
      <c r="D26" s="899">
        <f>'Base ETESA'!BH31</f>
        <v>165114169.86999765</v>
      </c>
      <c r="E26" s="1443">
        <f t="shared" si="1"/>
        <v>-7.8734823071270652E-10</v>
      </c>
      <c r="F26" s="1439" t="str">
        <f t="shared" si="2"/>
        <v>sí</v>
      </c>
      <c r="G26" s="1439"/>
      <c r="H26" s="1442">
        <f>IFERROR(INDEX('Base ETESA'!AJ:AJ,MATCH($A26,'Base ETESA'!$BG:$BG,0)),0)</f>
        <v>-612.67000234127045</v>
      </c>
      <c r="I26" s="1442">
        <f>IFERROR(INDEX('Base ETESA'!AQ:AQ,MATCH($A26,'Base ETESA'!$BG:$BG,0)),0)</f>
        <v>612.53999999165535</v>
      </c>
      <c r="J26" s="1442">
        <f>IFERROR(INDEX('Base ETESA'!AX:AX,MATCH($A26,'Base ETESA'!$BG:$BG,0)),0)</f>
        <v>0</v>
      </c>
      <c r="K26" s="1442">
        <f>IFERROR(INDEX('Base ETESA'!BE:BE,MATCH($A26,'Base ETESA'!$BG:$BG,0)),0)</f>
        <v>0</v>
      </c>
      <c r="L26" s="1442">
        <f t="shared" si="0"/>
        <v>28.437891390031837</v>
      </c>
      <c r="U26" s="895"/>
      <c r="V26" s="895"/>
    </row>
    <row r="27" spans="1:22" x14ac:dyDescent="0.25">
      <c r="A27" s="1481" t="s">
        <v>974</v>
      </c>
      <c r="B27" s="1480" t="s">
        <v>382</v>
      </c>
      <c r="C27" s="1479">
        <f>'Base ETESA'!AE32</f>
        <v>17898880</v>
      </c>
      <c r="D27" s="1479">
        <f>'Base ETESA'!BH32</f>
        <v>19430043.540000044</v>
      </c>
      <c r="E27" s="1478">
        <f t="shared" si="1"/>
        <v>8.5545215119607693E-2</v>
      </c>
      <c r="F27" s="1477" t="str">
        <f t="shared" si="2"/>
        <v>no</v>
      </c>
      <c r="G27" s="1439"/>
      <c r="H27" s="1442">
        <f>IFERROR(INDEX('Base ETESA'!AJ:AJ,MATCH($A27,'Base ETESA'!$BG:$BG,0)),0)</f>
        <v>0.28000004217028618</v>
      </c>
      <c r="I27" s="1442">
        <f>IFERROR(INDEX('Base ETESA'!AQ:AQ,MATCH($A27,'Base ETESA'!$BG:$BG,0)),0)</f>
        <v>0</v>
      </c>
      <c r="J27" s="1442">
        <f>IFERROR(INDEX('Base ETESA'!AX:AX,MATCH($A27,'Base ETESA'!$BG:$BG,0)),0)</f>
        <v>0</v>
      </c>
      <c r="K27" s="1442">
        <f>IFERROR(INDEX('Base ETESA'!BE:BE,MATCH($A27,'Base ETESA'!$BG:$BG,0)),0)</f>
        <v>1531163.2600000016</v>
      </c>
      <c r="L27" s="1442">
        <f>+SUMPRODUCT(H27:K27,$H$4:$K$4)</f>
        <v>1531163.5165630225</v>
      </c>
    </row>
    <row r="28" spans="1:22" x14ac:dyDescent="0.25">
      <c r="A28" s="1476"/>
      <c r="B28" s="1475" t="s">
        <v>384</v>
      </c>
      <c r="C28" s="1474"/>
      <c r="D28" s="1474"/>
      <c r="E28" s="1473"/>
      <c r="F28" s="1472"/>
      <c r="G28" s="1439"/>
      <c r="H28" s="1442">
        <f>IFERROR(INDEX('Base ETESA'!AJ:AJ,MATCH($A28,'Base ETESA'!$BG:$BG,0)),0)</f>
        <v>0</v>
      </c>
      <c r="I28" s="1442">
        <f>IFERROR(INDEX('Base ETESA'!AQ:AQ,MATCH($A28,'Base ETESA'!$BG:$BG,0)),0)</f>
        <v>0</v>
      </c>
      <c r="J28" s="1442">
        <f>IFERROR(INDEX('Base ETESA'!AX:AX,MATCH($A28,'Base ETESA'!$BG:$BG,0)),0)</f>
        <v>0</v>
      </c>
      <c r="K28" s="1442">
        <f>IFERROR(INDEX('Base ETESA'!BE:BE,MATCH($A28,'Base ETESA'!$BG:$BG,0)),0)</f>
        <v>0</v>
      </c>
      <c r="L28" s="1442">
        <f t="shared" si="0"/>
        <v>0</v>
      </c>
      <c r="N28" s="1439"/>
      <c r="O28" s="893"/>
    </row>
    <row r="29" spans="1:22" x14ac:dyDescent="0.25">
      <c r="A29" s="1481" t="s">
        <v>976</v>
      </c>
      <c r="B29" s="1460" t="s">
        <v>1434</v>
      </c>
      <c r="C29" s="899">
        <f>'Base ETESA'!AE33</f>
        <v>20639387</v>
      </c>
      <c r="D29" s="899">
        <f>'Base ETESA'!BH33</f>
        <v>20639386.669999938</v>
      </c>
      <c r="E29" s="1443">
        <f>IFERROR((D29-C29)/C29,"")</f>
        <v>-1.5988849937345317E-8</v>
      </c>
      <c r="F29" s="1439" t="str">
        <f>IFERROR(IF(ABS(E29)&lt;=$F$1,"sí","no"),"no")</f>
        <v>sí</v>
      </c>
      <c r="G29" s="1439"/>
      <c r="H29" s="1442">
        <f>IFERROR(INDEX('Base ETESA'!AJ:AJ,MATCH($A29,'Base ETESA'!$BG:$BG,0)),0)</f>
        <v>-0.33000006154179573</v>
      </c>
      <c r="I29" s="1442">
        <f>IFERROR(INDEX('Base ETESA'!AQ:AQ,MATCH($A29,'Base ETESA'!$BG:$BG,0)),0)</f>
        <v>0</v>
      </c>
      <c r="J29" s="1442">
        <f>IFERROR(INDEX('Base ETESA'!AX:AX,MATCH($A29,'Base ETESA'!$BG:$BG,0)),0)</f>
        <v>0</v>
      </c>
      <c r="K29" s="1442">
        <f>IFERROR(INDEX('Base ETESA'!BE:BE,MATCH($A29,'Base ETESA'!$BG:$BG,0)),0)</f>
        <v>0</v>
      </c>
      <c r="L29" s="1442">
        <f t="shared" si="0"/>
        <v>-0.30237785700293235</v>
      </c>
      <c r="R29" s="1482"/>
    </row>
    <row r="30" spans="1:22" x14ac:dyDescent="0.25">
      <c r="A30" s="933" t="s">
        <v>973</v>
      </c>
      <c r="B30" s="1460" t="s">
        <v>372</v>
      </c>
      <c r="C30" s="1467">
        <f>'Base ETESA'!AE24</f>
        <v>875767</v>
      </c>
      <c r="D30" s="1467">
        <f>'Base ETESA'!BH24</f>
        <v>875766.71000000043</v>
      </c>
      <c r="E30" s="1466">
        <f>IFERROR((D30-C30)/C30,"")</f>
        <v>-3.3113830456227696E-7</v>
      </c>
      <c r="F30" s="1465" t="str">
        <f>IFERROR(IF(ABS(E30)&lt;=$F$1,"sí","no"),"no")</f>
        <v>sí</v>
      </c>
      <c r="G30" s="1439"/>
      <c r="H30" s="1442">
        <f>IFERROR(INDEX('Base ETESA'!AJ:AJ,MATCH($A30,'Base ETESA'!$BG:$BG,0)),0)</f>
        <v>-0.28999999957159162</v>
      </c>
      <c r="I30" s="1442">
        <f>IFERROR(INDEX('Base ETESA'!AQ:AQ,MATCH($A30,'Base ETESA'!$BG:$BG,0)),0)</f>
        <v>0</v>
      </c>
      <c r="J30" s="1442">
        <f>IFERROR(INDEX('Base ETESA'!AX:AX,MATCH($A30,'Base ETESA'!$BG:$BG,0)),0)</f>
        <v>0</v>
      </c>
      <c r="K30" s="1442">
        <f>IFERROR(INDEX('Base ETESA'!BE:BE,MATCH($A30,'Base ETESA'!$BG:$BG,0)),0)</f>
        <v>0</v>
      </c>
      <c r="L30" s="1442">
        <f t="shared" si="0"/>
        <v>-0.26572594560017365</v>
      </c>
      <c r="R30" s="1455"/>
    </row>
    <row r="31" spans="1:22" x14ac:dyDescent="0.25">
      <c r="A31" s="1476" t="s">
        <v>975</v>
      </c>
      <c r="B31" s="1475" t="s">
        <v>374</v>
      </c>
      <c r="C31" s="1467">
        <f>'Base ETESA'!AE25</f>
        <v>641050</v>
      </c>
      <c r="D31" s="1467">
        <f>'Base ETESA'!BH25</f>
        <v>641050.14000000048</v>
      </c>
      <c r="E31" s="1466">
        <f>IFERROR((D31-C31)/C31,"")</f>
        <v>2.1839170186355373E-7</v>
      </c>
      <c r="F31" s="1465" t="str">
        <f>IFERROR(IF(ABS(E31)&lt;=$F$1,"sí","no"),"no")</f>
        <v>sí</v>
      </c>
      <c r="G31" s="1439"/>
      <c r="H31" s="1442">
        <f>IFERROR(INDEX('Base ETESA'!AJ:AJ,MATCH($A31,'Base ETESA'!$BG:$BG,0)),0)</f>
        <v>0.14000000047963113</v>
      </c>
      <c r="I31" s="1442">
        <f>IFERROR(INDEX('Base ETESA'!AQ:AQ,MATCH($A31,'Base ETESA'!$BG:$BG,0)),0)</f>
        <v>0</v>
      </c>
      <c r="J31" s="1442">
        <f>IFERROR(INDEX('Base ETESA'!AX:AX,MATCH($A31,'Base ETESA'!$BG:$BG,0)),0)</f>
        <v>0</v>
      </c>
      <c r="K31" s="1442">
        <f>IFERROR(INDEX('Base ETESA'!BE:BE,MATCH($A31,'Base ETESA'!$BG:$BG,0)),0)</f>
        <v>0</v>
      </c>
      <c r="L31" s="1442">
        <f t="shared" si="0"/>
        <v>0.1282814916083849</v>
      </c>
      <c r="R31" s="1455"/>
      <c r="U31" s="895"/>
      <c r="V31" s="895"/>
    </row>
    <row r="32" spans="1:22" x14ac:dyDescent="0.25">
      <c r="A32" s="933" t="s">
        <v>987</v>
      </c>
      <c r="B32" s="1460" t="s">
        <v>378</v>
      </c>
      <c r="C32" s="899">
        <f>'Base ETESA'!AE34</f>
        <v>5986665</v>
      </c>
      <c r="D32" s="899">
        <f>'Base ETESA'!BH34</f>
        <v>6508783.3099999884</v>
      </c>
      <c r="E32" s="1443">
        <f>IFERROR((D32-C32)/C32,"")</f>
        <v>8.7213550449204758E-2</v>
      </c>
      <c r="F32" s="1439" t="str">
        <f>IFERROR(IF(ABS(E32)&lt;=$F$1,"sí","no"),"no")</f>
        <v>no</v>
      </c>
      <c r="G32" s="1439"/>
      <c r="H32" s="1442">
        <f>IFERROR(INDEX('Base ETESA'!AJ:AJ,MATCH($A32,'Base ETESA'!$BG:$BG,0)),0)</f>
        <v>522118.30999998841</v>
      </c>
      <c r="I32" s="1442">
        <f>IFERROR(INDEX('Base ETESA'!AQ:AQ,MATCH($A32,'Base ETESA'!$BG:$BG,0)),0)</f>
        <v>0</v>
      </c>
      <c r="J32" s="1442">
        <f>IFERROR(INDEX('Base ETESA'!AX:AX,MATCH($A32,'Base ETESA'!$BG:$BG,0)),0)</f>
        <v>0</v>
      </c>
      <c r="K32" s="1442">
        <f>IFERROR(INDEX('Base ETESA'!BE:BE,MATCH($A32,'Base ETESA'!$BG:$BG,0)),0)</f>
        <v>0</v>
      </c>
      <c r="L32" s="1442">
        <f>+SUMPRODUCT(H32:K32,$H$4:$K$4)</f>
        <v>478415.10980989167</v>
      </c>
    </row>
    <row r="33" spans="1:21" x14ac:dyDescent="0.25">
      <c r="A33" s="1481" t="s">
        <v>978</v>
      </c>
      <c r="B33" s="1480" t="s">
        <v>398</v>
      </c>
      <c r="C33" s="1479">
        <f>'Base ETESA'!AE35</f>
        <v>4895241</v>
      </c>
      <c r="D33" s="1479">
        <f>'Base ETESA'!BH35</f>
        <v>4895241.089999998</v>
      </c>
      <c r="E33" s="1478">
        <f>IFERROR((D33-C33)/C33,"")</f>
        <v>1.8385202687333114E-8</v>
      </c>
      <c r="F33" s="1477" t="str">
        <f>IFERROR(IF(ABS(E33)&lt;=$F$1,"sí","no"),"no")</f>
        <v>sí</v>
      </c>
      <c r="G33" s="1439"/>
      <c r="H33" s="1442">
        <f>IFERROR(INDEX('Base ETESA'!AJ:AJ,MATCH($A33,'Base ETESA'!$BG:$BG,0)),0)</f>
        <v>8.9999997988343239E-2</v>
      </c>
      <c r="I33" s="1442">
        <f>IFERROR(INDEX('Base ETESA'!AQ:AQ,MATCH($A33,'Base ETESA'!$BG:$BG,0)),0)</f>
        <v>0</v>
      </c>
      <c r="J33" s="1442">
        <f>IFERROR(INDEX('Base ETESA'!AX:AX,MATCH($A33,'Base ETESA'!$BG:$BG,0)),0)</f>
        <v>0</v>
      </c>
      <c r="K33" s="1442">
        <f>IFERROR(INDEX('Base ETESA'!BE:BE,MATCH($A33,'Base ETESA'!$BG:$BG,0)),0)</f>
        <v>0</v>
      </c>
      <c r="L33" s="1442">
        <f t="shared" si="0"/>
        <v>8.2466671051019486E-2</v>
      </c>
      <c r="O33" s="893"/>
    </row>
    <row r="34" spans="1:21" x14ac:dyDescent="0.25">
      <c r="A34" s="933"/>
      <c r="B34" s="1460" t="s">
        <v>400</v>
      </c>
      <c r="C34" s="899"/>
      <c r="D34" s="899"/>
      <c r="E34" s="1443"/>
      <c r="F34" s="1439"/>
      <c r="G34" s="1439"/>
      <c r="H34" s="1442">
        <f>IFERROR(INDEX('Base ETESA'!AJ:AJ,MATCH($A34,'Base ETESA'!$BG:$BG,0)),0)</f>
        <v>0</v>
      </c>
      <c r="I34" s="1442">
        <f>IFERROR(INDEX('Base ETESA'!AQ:AQ,MATCH($A34,'Base ETESA'!$BG:$BG,0)),0)</f>
        <v>0</v>
      </c>
      <c r="J34" s="1442">
        <f>IFERROR(INDEX('Base ETESA'!AX:AX,MATCH($A34,'Base ETESA'!$BG:$BG,0)),0)</f>
        <v>0</v>
      </c>
      <c r="K34" s="1442">
        <f>IFERROR(INDEX('Base ETESA'!BE:BE,MATCH($A34,'Base ETESA'!$BG:$BG,0)),0)</f>
        <v>0</v>
      </c>
      <c r="L34" s="1442">
        <f t="shared" si="0"/>
        <v>0</v>
      </c>
      <c r="N34" s="1439"/>
      <c r="O34" s="893"/>
    </row>
    <row r="35" spans="1:21" x14ac:dyDescent="0.25">
      <c r="A35" s="1481" t="s">
        <v>980</v>
      </c>
      <c r="B35" s="1480" t="s">
        <v>380</v>
      </c>
      <c r="C35" s="1479">
        <f>'Base ETESA'!AE37</f>
        <v>55030966</v>
      </c>
      <c r="D35" s="1479">
        <f>'Base ETESA'!BH37</f>
        <v>53461248.800000302</v>
      </c>
      <c r="E35" s="1478">
        <f>IFERROR((D35-C35)/C35,"")</f>
        <v>-2.8524253054174945E-2</v>
      </c>
      <c r="F35" s="1477" t="str">
        <f>IFERROR(IF(ABS(E35)&lt;=$F$1,"sí","no"),"no")</f>
        <v>no</v>
      </c>
      <c r="G35" s="1439"/>
      <c r="H35" s="1442">
        <f>IFERROR(INDEX('Base ETESA'!AJ:AJ,MATCH($A35,'Base ETESA'!$BG:$BG,0)),0)</f>
        <v>-1997679.4200000018</v>
      </c>
      <c r="I35" s="1442">
        <f>IFERROR(INDEX('Base ETESA'!AQ:AQ,MATCH($A35,'Base ETESA'!$BG:$BG,0)),0)</f>
        <v>-590191.68999969959</v>
      </c>
      <c r="J35" s="1442">
        <f>IFERROR(INDEX('Base ETESA'!AX:AX,MATCH($A35,'Base ETESA'!$BG:$BG,0)),0)</f>
        <v>-0.15999999642372131</v>
      </c>
      <c r="K35" s="1442">
        <f>IFERROR(INDEX('Base ETESA'!BE:BE,MATCH($A35,'Base ETESA'!$BG:$BG,0)),0)</f>
        <v>1018154.0700000003</v>
      </c>
      <c r="L35" s="1442">
        <f>+SUMPRODUCT(H35:K35,$H$4:$K$4)</f>
        <v>-1380618.0975216161</v>
      </c>
    </row>
    <row r="36" spans="1:21" x14ac:dyDescent="0.25">
      <c r="A36" s="1476"/>
      <c r="B36" s="1475" t="s">
        <v>381</v>
      </c>
      <c r="C36" s="1474"/>
      <c r="D36" s="1474"/>
      <c r="E36" s="1473"/>
      <c r="F36" s="1472"/>
      <c r="G36" s="1439"/>
      <c r="H36" s="1442">
        <f>IFERROR(INDEX('Base ETESA'!AJ:AJ,MATCH($A36,'Base ETESA'!$BG:$BG,0)),0)</f>
        <v>0</v>
      </c>
      <c r="I36" s="1442">
        <f>IFERROR(INDEX('Base ETESA'!AQ:AQ,MATCH($A36,'Base ETESA'!$BG:$BG,0)),0)</f>
        <v>0</v>
      </c>
      <c r="J36" s="1442">
        <f>IFERROR(INDEX('Base ETESA'!AX:AX,MATCH($A36,'Base ETESA'!$BG:$BG,0)),0)</f>
        <v>0</v>
      </c>
      <c r="K36" s="1442">
        <f>IFERROR(INDEX('Base ETESA'!BE:BE,MATCH($A36,'Base ETESA'!$BG:$BG,0)),0)</f>
        <v>0</v>
      </c>
      <c r="L36" s="1442">
        <f t="shared" si="0"/>
        <v>0</v>
      </c>
      <c r="N36" s="1439"/>
      <c r="O36" s="893"/>
    </row>
    <row r="37" spans="1:21" x14ac:dyDescent="0.25">
      <c r="A37" s="1469" t="s">
        <v>981</v>
      </c>
      <c r="B37" s="1468" t="s">
        <v>1435</v>
      </c>
      <c r="C37" s="1467">
        <f>'Base ETESA'!AE38</f>
        <v>3328290</v>
      </c>
      <c r="D37" s="1467">
        <f>'Base ETESA'!BH38</f>
        <v>3328289.879999999</v>
      </c>
      <c r="E37" s="1466">
        <f>IFERROR((D37-C37)/C37,"")</f>
        <v>-3.6054550848357948E-8</v>
      </c>
      <c r="F37" s="1465" t="str">
        <f>IFERROR(IF(ABS(E37)&lt;=$F$1,"sí","no"),"no")</f>
        <v>sí</v>
      </c>
      <c r="G37" s="1439"/>
      <c r="H37" s="1442">
        <f>IFERROR(INDEX('Base ETESA'!AJ:AJ,MATCH($A37,'Base ETESA'!$BG:$BG,0)),0)</f>
        <v>-0.12000000104308128</v>
      </c>
      <c r="I37" s="1442">
        <f>IFERROR(INDEX('Base ETESA'!AQ:AQ,MATCH($A37,'Base ETESA'!$BG:$BG,0)),0)</f>
        <v>0</v>
      </c>
      <c r="J37" s="1442">
        <f>IFERROR(INDEX('Base ETESA'!AX:AX,MATCH($A37,'Base ETESA'!$BG:$BG,0)),0)</f>
        <v>0</v>
      </c>
      <c r="K37" s="1442">
        <f>IFERROR(INDEX('Base ETESA'!BE:BE,MATCH($A37,'Base ETESA'!$BG:$BG,0)),0)</f>
        <v>0</v>
      </c>
      <c r="L37" s="1442">
        <f t="shared" si="0"/>
        <v>-0.10995556481482927</v>
      </c>
    </row>
    <row r="38" spans="1:21" x14ac:dyDescent="0.25">
      <c r="A38" s="1469" t="s">
        <v>982</v>
      </c>
      <c r="B38" s="1468" t="s">
        <v>365</v>
      </c>
      <c r="C38" s="1467">
        <f>'Base ETESA'!AE39</f>
        <v>5398996</v>
      </c>
      <c r="D38" s="1467">
        <f>'Base ETESA'!BH39</f>
        <v>11674256.489999998</v>
      </c>
      <c r="E38" s="1466">
        <f>IFERROR((D38-C38)/C38,"")</f>
        <v>1.162301377885814</v>
      </c>
      <c r="F38" s="1465" t="str">
        <f>IFERROR(IF(ABS(E38)&lt;=$F$1,"sí","no"),"no")</f>
        <v>no</v>
      </c>
      <c r="G38" s="1439"/>
      <c r="H38" s="1442">
        <f>IFERROR(INDEX('Base ETESA'!AJ:AJ,MATCH($A38,'Base ETESA'!$BG:$BG,0)),0)</f>
        <v>-8.0000001937150955E-2</v>
      </c>
      <c r="I38" s="1442">
        <f>IFERROR(INDEX('Base ETESA'!AQ:AQ,MATCH($A38,'Base ETESA'!$BG:$BG,0)),0)</f>
        <v>0</v>
      </c>
      <c r="J38" s="1442">
        <f>IFERROR(INDEX('Base ETESA'!AX:AX,MATCH($A38,'Base ETESA'!$BG:$BG,0)),0)</f>
        <v>0</v>
      </c>
      <c r="K38" s="1442">
        <f>IFERROR(INDEX('Base ETESA'!BE:BE,MATCH($A38,'Base ETESA'!$BG:$BG,0)),0)</f>
        <v>6275260.5700000003</v>
      </c>
      <c r="L38" s="1442">
        <f t="shared" si="0"/>
        <v>6275260.4966962896</v>
      </c>
    </row>
    <row r="39" spans="1:21" x14ac:dyDescent="0.25">
      <c r="A39" s="1469" t="s">
        <v>986</v>
      </c>
      <c r="B39" s="1468" t="s">
        <v>386</v>
      </c>
      <c r="C39" s="1467">
        <f>'Base ETESA'!AE40</f>
        <v>18105535</v>
      </c>
      <c r="D39" s="1467">
        <f>'Base ETESA'!BH40</f>
        <v>19570080.210000195</v>
      </c>
      <c r="E39" s="1466">
        <f>IFERROR((D39-C39)/C39,"")</f>
        <v>8.0889363943136422E-2</v>
      </c>
      <c r="F39" s="1465" t="str">
        <f>IFERROR(IF(ABS(E39)&lt;=$F$1,"sí","no"),"no")</f>
        <v>no</v>
      </c>
      <c r="G39" s="1439"/>
      <c r="H39" s="1442">
        <f>IFERROR(INDEX('Base ETESA'!AJ:AJ,MATCH($A39,'Base ETESA'!$BG:$BG,0)),0)</f>
        <v>1128761.8800001927</v>
      </c>
      <c r="I39" s="1442">
        <f>IFERROR(INDEX('Base ETESA'!AQ:AQ,MATCH($A39,'Base ETESA'!$BG:$BG,0)),0)</f>
        <v>44763.449999999255</v>
      </c>
      <c r="J39" s="1442">
        <f>IFERROR(INDEX('Base ETESA'!AX:AX,MATCH($A39,'Base ETESA'!$BG:$BG,0)),0)</f>
        <v>0</v>
      </c>
      <c r="K39" s="1442">
        <f>IFERROR(INDEX('Base ETESA'!BE:BE,MATCH($A39,'Base ETESA'!$BG:$BG,0)),0)</f>
        <v>291019.88000000268</v>
      </c>
      <c r="L39" s="1442">
        <f t="shared" si="0"/>
        <v>1368403.775763076</v>
      </c>
    </row>
    <row r="40" spans="1:21" x14ac:dyDescent="0.25">
      <c r="A40" s="1471" t="s">
        <v>1308</v>
      </c>
      <c r="B40" s="1470" t="s">
        <v>1724</v>
      </c>
      <c r="C40" s="1467">
        <f>'Base ETESA'!AE41</f>
        <v>0</v>
      </c>
      <c r="D40" s="1467">
        <f>'Base ETESA'!BH41</f>
        <v>44462231.120000005</v>
      </c>
      <c r="E40" s="1466" t="str">
        <f>IFERROR((D40-C40)/C40,"")</f>
        <v/>
      </c>
      <c r="F40" s="1465" t="str">
        <f>IFERROR(IF(ABS(E40)&lt;=$F$1,"sí","no"),"no")</f>
        <v>no</v>
      </c>
      <c r="G40" s="1439"/>
      <c r="H40" s="1442">
        <f>IFERROR(INDEX('Base ETESA'!AJ:AJ,MATCH($A40,'Base ETESA'!$BG:$BG,0)),0)</f>
        <v>0</v>
      </c>
      <c r="I40" s="1442">
        <f>IFERROR(INDEX('Base ETESA'!AQ:AQ,MATCH($A40,'Base ETESA'!$BG:$BG,0)),0)</f>
        <v>0</v>
      </c>
      <c r="J40" s="1442">
        <f>IFERROR(INDEX('Base ETESA'!AX:AX,MATCH($A40,'Base ETESA'!$BG:$BG,0)),0)</f>
        <v>0</v>
      </c>
      <c r="K40" s="1442">
        <f>IFERROR(INDEX('Base ETESA'!BE:BE,MATCH($A40,'Base ETESA'!$BG:$BG,0)),0)</f>
        <v>44462231.120000005</v>
      </c>
      <c r="L40" s="1442">
        <f t="shared" si="0"/>
        <v>44462231.120000005</v>
      </c>
      <c r="R40" s="1455"/>
    </row>
    <row r="41" spans="1:21" s="893" customFormat="1" x14ac:dyDescent="0.25">
      <c r="A41" s="1469"/>
      <c r="B41" s="1468"/>
      <c r="C41" s="1467"/>
      <c r="D41" s="1467"/>
      <c r="E41" s="1466"/>
      <c r="F41" s="1465"/>
      <c r="G41" s="1439"/>
      <c r="H41" s="1442">
        <f>IFERROR(INDEX('Base ETESA'!AJ:AJ,MATCH($A41,'Base ETESA'!$BG:$BG,0)),0)</f>
        <v>0</v>
      </c>
      <c r="I41" s="1442">
        <f>IFERROR(INDEX('Base ETESA'!AQ:AQ,MATCH($A41,'Base ETESA'!$BG:$BG,0)),0)</f>
        <v>0</v>
      </c>
      <c r="J41" s="1442">
        <f>IFERROR(INDEX('Base ETESA'!AX:AX,MATCH($A41,'Base ETESA'!$BG:$BG,0)),0)</f>
        <v>0</v>
      </c>
      <c r="K41" s="1442">
        <f>IFERROR(INDEX('Base ETESA'!BE:BE,MATCH($A41,'Base ETESA'!$BG:$BG,0)),0)</f>
        <v>0</v>
      </c>
      <c r="L41" s="1442">
        <f t="shared" si="0"/>
        <v>0</v>
      </c>
      <c r="M41" s="1439"/>
      <c r="U41"/>
    </row>
    <row r="42" spans="1:21" s="893" customFormat="1" x14ac:dyDescent="0.25">
      <c r="A42" s="1463" t="s">
        <v>1723</v>
      </c>
      <c r="B42" s="1464" t="s">
        <v>361</v>
      </c>
      <c r="C42" s="1463" t="s">
        <v>1722</v>
      </c>
      <c r="D42" s="1463"/>
      <c r="E42" s="1463"/>
      <c r="F42" s="1463"/>
      <c r="H42" s="1442">
        <f>IFERROR(INDEX('Base ETESA'!AJ:AJ,MATCH($A42,'Base ETESA'!$BG:$BG,0)),0)</f>
        <v>0</v>
      </c>
      <c r="I42" s="1442">
        <f>IFERROR(INDEX('Base ETESA'!AQ:AQ,MATCH($A42,'Base ETESA'!$BG:$BG,0)),0)</f>
        <v>0</v>
      </c>
      <c r="J42" s="1442">
        <f>IFERROR(INDEX('Base ETESA'!AX:AX,MATCH($A42,'Base ETESA'!$BG:$BG,0)),0)</f>
        <v>0</v>
      </c>
      <c r="K42" s="1442">
        <f>IFERROR(INDEX('Base ETESA'!BE:BE,MATCH($A42,'Base ETESA'!$BG:$BG,0)),0)</f>
        <v>0</v>
      </c>
      <c r="L42" s="1442">
        <f t="shared" si="0"/>
        <v>0</v>
      </c>
      <c r="N42" s="895"/>
      <c r="R42" s="1439"/>
      <c r="U42"/>
    </row>
    <row r="43" spans="1:21" s="893" customFormat="1" x14ac:dyDescent="0.25">
      <c r="A43" s="1463" t="s">
        <v>1721</v>
      </c>
      <c r="B43" s="1464" t="s">
        <v>359</v>
      </c>
      <c r="C43" s="1463"/>
      <c r="D43" s="1463"/>
      <c r="E43" s="1463"/>
      <c r="F43" s="1463"/>
      <c r="H43" s="1442">
        <f>IFERROR(INDEX('Base ETESA'!AJ:AJ,MATCH($A43,'Base ETESA'!$BG:$BG,0)),0)</f>
        <v>0</v>
      </c>
      <c r="I43" s="1442">
        <f>IFERROR(INDEX('Base ETESA'!AQ:AQ,MATCH($A43,'Base ETESA'!$BG:$BG,0)),0)</f>
        <v>0</v>
      </c>
      <c r="J43" s="1442">
        <f>IFERROR(INDEX('Base ETESA'!AX:AX,MATCH($A43,'Base ETESA'!$BG:$BG,0)),0)</f>
        <v>0</v>
      </c>
      <c r="K43" s="1442">
        <f>IFERROR(INDEX('Base ETESA'!BE:BE,MATCH($A43,'Base ETESA'!$BG:$BG,0)),0)</f>
        <v>0</v>
      </c>
      <c r="L43" s="1442">
        <f t="shared" si="0"/>
        <v>0</v>
      </c>
      <c r="N43" s="895"/>
      <c r="R43" s="1439"/>
      <c r="T43"/>
      <c r="U43"/>
    </row>
    <row r="44" spans="1:21" s="893" customFormat="1" x14ac:dyDescent="0.25">
      <c r="A44" s="1463" t="s">
        <v>1720</v>
      </c>
      <c r="B44" s="1464" t="s">
        <v>1719</v>
      </c>
      <c r="C44" s="1463"/>
      <c r="D44" s="1463"/>
      <c r="E44" s="1463"/>
      <c r="F44" s="1463"/>
      <c r="H44" s="1442">
        <f>IFERROR(INDEX('Base ETESA'!AJ:AJ,MATCH($A44,'Base ETESA'!$BG:$BG,0)),0)</f>
        <v>0</v>
      </c>
      <c r="I44" s="1442">
        <f>IFERROR(INDEX('Base ETESA'!AQ:AQ,MATCH($A44,'Base ETESA'!$BG:$BG,0)),0)</f>
        <v>0</v>
      </c>
      <c r="J44" s="1442">
        <f>IFERROR(INDEX('Base ETESA'!AX:AX,MATCH($A44,'Base ETESA'!$BG:$BG,0)),0)</f>
        <v>0</v>
      </c>
      <c r="K44" s="1442">
        <f>IFERROR(INDEX('Base ETESA'!BE:BE,MATCH($A44,'Base ETESA'!$BG:$BG,0)),0)</f>
        <v>0</v>
      </c>
      <c r="L44" s="1442">
        <f t="shared" si="0"/>
        <v>0</v>
      </c>
      <c r="N44" s="895"/>
      <c r="R44" s="1439"/>
      <c r="T44"/>
      <c r="U44"/>
    </row>
    <row r="45" spans="1:21" s="893" customFormat="1" x14ac:dyDescent="0.25">
      <c r="A45" s="1463" t="s">
        <v>1718</v>
      </c>
      <c r="B45" s="1464" t="s">
        <v>1717</v>
      </c>
      <c r="C45" s="1463"/>
      <c r="D45" s="1463"/>
      <c r="E45" s="1463"/>
      <c r="F45" s="1463"/>
      <c r="H45" s="1442">
        <f>IFERROR(INDEX('Base ETESA'!AJ:AJ,MATCH($A45,'Base ETESA'!$BG:$BG,0)),0)</f>
        <v>0</v>
      </c>
      <c r="I45" s="1442">
        <f>IFERROR(INDEX('Base ETESA'!AQ:AQ,MATCH($A45,'Base ETESA'!$BG:$BG,0)),0)</f>
        <v>0</v>
      </c>
      <c r="J45" s="1442">
        <f>IFERROR(INDEX('Base ETESA'!AX:AX,MATCH($A45,'Base ETESA'!$BG:$BG,0)),0)</f>
        <v>0</v>
      </c>
      <c r="K45" s="1442">
        <f>IFERROR(INDEX('Base ETESA'!BE:BE,MATCH($A45,'Base ETESA'!$BG:$BG,0)),0)</f>
        <v>0</v>
      </c>
      <c r="L45" s="1442">
        <f t="shared" si="0"/>
        <v>0</v>
      </c>
      <c r="N45" s="895"/>
      <c r="R45" s="1439"/>
      <c r="T45"/>
      <c r="U45"/>
    </row>
    <row r="46" spans="1:21" s="893" customFormat="1" x14ac:dyDescent="0.25">
      <c r="B46" s="1440"/>
      <c r="H46" s="1442"/>
      <c r="I46" s="1442"/>
      <c r="J46" s="1442"/>
      <c r="K46" s="1442"/>
      <c r="L46" s="1442"/>
      <c r="N46" s="895"/>
      <c r="R46" s="1439"/>
    </row>
    <row r="47" spans="1:21" x14ac:dyDescent="0.25">
      <c r="A47" s="928" t="s">
        <v>196</v>
      </c>
      <c r="B47" s="1446"/>
      <c r="C47" s="946">
        <f>SUBTOTAL(9,C48:C55)</f>
        <v>26036626</v>
      </c>
      <c r="D47" s="946">
        <f>SUBTOTAL(9,D48:D55)</f>
        <v>27188372.410000008</v>
      </c>
      <c r="H47" s="1442"/>
      <c r="I47" s="1442"/>
      <c r="J47" s="1442"/>
      <c r="K47" s="1442"/>
      <c r="L47" s="1442"/>
    </row>
    <row r="48" spans="1:21" x14ac:dyDescent="0.25">
      <c r="A48" s="930" t="s">
        <v>988</v>
      </c>
      <c r="B48" s="1444"/>
      <c r="C48" s="899">
        <f>'Base ETESA'!AE43</f>
        <v>0</v>
      </c>
      <c r="D48" s="899">
        <f>'Base ETESA'!BH43</f>
        <v>0</v>
      </c>
      <c r="E48" s="1443" t="str">
        <f t="shared" ref="E48:E55" si="3">IFERROR((D48-C48)/C48,"")</f>
        <v/>
      </c>
      <c r="F48" s="1439" t="str">
        <f t="shared" ref="F48:F55" si="4">IFERROR(IF(ABS(E48)&lt;=$F$1,"sí","no"),"no")</f>
        <v>no</v>
      </c>
      <c r="G48" s="1439"/>
      <c r="H48" s="1442">
        <f>IFERROR(INDEX('Base ETESA'!AJ:AJ,MATCH($A48,'Base ETESA'!$BG:$BG,0)),0)</f>
        <v>0</v>
      </c>
      <c r="I48" s="1442">
        <f>IFERROR(INDEX('Base ETESA'!AQ:AQ,MATCH($A48,'Base ETESA'!$BG:$BG,0)),0)</f>
        <v>0</v>
      </c>
      <c r="J48" s="1442">
        <f>IFERROR(INDEX('Base ETESA'!AX:AX,MATCH($A48,'Base ETESA'!$BG:$BG,0)),0)</f>
        <v>0</v>
      </c>
      <c r="K48" s="1442">
        <f>IFERROR(INDEX('Base ETESA'!BE:BE,MATCH($A48,'Base ETESA'!$BG:$BG,0)),0)</f>
        <v>0</v>
      </c>
      <c r="L48" s="1442">
        <f t="shared" ref="L48:L55" si="5">+SUMPRODUCT(H48:K48,$H$4:$K$4)</f>
        <v>0</v>
      </c>
    </row>
    <row r="49" spans="1:13" x14ac:dyDescent="0.25">
      <c r="A49" s="1462" t="s">
        <v>989</v>
      </c>
      <c r="B49" s="1460" t="s">
        <v>414</v>
      </c>
      <c r="C49" s="899">
        <f>'Base ETESA'!AE44</f>
        <v>7588062</v>
      </c>
      <c r="D49" s="899">
        <f>'Base ETESA'!BH44</f>
        <v>8263859.0799999991</v>
      </c>
      <c r="E49" s="1443">
        <f t="shared" si="3"/>
        <v>8.9060563817216984E-2</v>
      </c>
      <c r="F49" s="1439" t="str">
        <f t="shared" si="4"/>
        <v>no</v>
      </c>
      <c r="G49" s="1439"/>
      <c r="H49" s="1442">
        <f>IFERROR(INDEX('Base ETESA'!AJ:AJ,MATCH($A49,'Base ETESA'!$BG:$BG,0)),0)</f>
        <v>613787.89999999851</v>
      </c>
      <c r="I49" s="1442">
        <f>IFERROR(INDEX('Base ETESA'!AQ:AQ,MATCH($A49,'Base ETESA'!$BG:$BG,0)),0)</f>
        <v>62009.180000000633</v>
      </c>
      <c r="J49" s="1442">
        <f>IFERROR(INDEX('Base ETESA'!AX:AX,MATCH($A49,'Base ETESA'!$BG:$BG,0)),0)</f>
        <v>0</v>
      </c>
      <c r="K49" s="1442">
        <f>IFERROR(INDEX('Base ETESA'!BE:BE,MATCH($A49,'Base ETESA'!$BG:$BG,0)),0)</f>
        <v>0</v>
      </c>
      <c r="L49" s="1442">
        <f t="shared" si="5"/>
        <v>622121.31640267489</v>
      </c>
    </row>
    <row r="50" spans="1:13" x14ac:dyDescent="0.25">
      <c r="A50" s="1462" t="s">
        <v>991</v>
      </c>
      <c r="B50" s="1460" t="s">
        <v>412</v>
      </c>
      <c r="C50" s="899">
        <f>'Base ETESA'!AE45</f>
        <v>5738065</v>
      </c>
      <c r="D50" s="899">
        <f>'Base ETESA'!BH45</f>
        <v>6180344.4900000002</v>
      </c>
      <c r="E50" s="1443">
        <f t="shared" si="3"/>
        <v>7.7078159623496817E-2</v>
      </c>
      <c r="F50" s="1439" t="str">
        <f t="shared" si="4"/>
        <v>no</v>
      </c>
      <c r="G50" s="1439"/>
      <c r="H50" s="1442">
        <f>IFERROR(INDEX('Base ETESA'!AJ:AJ,MATCH($A50,'Base ETESA'!$BG:$BG,0)),0)</f>
        <v>351541.85000000056</v>
      </c>
      <c r="I50" s="1442">
        <f>IFERROR(INDEX('Base ETESA'!AQ:AQ,MATCH($A50,'Base ETESA'!$BG:$BG,0)),0)</f>
        <v>90737.639999999665</v>
      </c>
      <c r="J50" s="1442">
        <f>IFERROR(INDEX('Base ETESA'!AX:AX,MATCH($A50,'Base ETESA'!$BG:$BG,0)),0)</f>
        <v>0</v>
      </c>
      <c r="K50" s="1442">
        <f>IFERROR(INDEX('Base ETESA'!BE:BE,MATCH($A50,'Base ETESA'!$BG:$BG,0)),0)</f>
        <v>0</v>
      </c>
      <c r="L50" s="1442">
        <f t="shared" si="5"/>
        <v>409489.33684461133</v>
      </c>
    </row>
    <row r="51" spans="1:13" x14ac:dyDescent="0.25">
      <c r="A51" s="1461" t="s">
        <v>992</v>
      </c>
      <c r="B51" s="1460" t="s">
        <v>407</v>
      </c>
      <c r="C51" s="899">
        <f>'Base ETESA'!AE46</f>
        <v>3005387</v>
      </c>
      <c r="D51" s="899">
        <f>'Base ETESA'!BH46</f>
        <v>3039055.43</v>
      </c>
      <c r="E51" s="1443">
        <f t="shared" si="3"/>
        <v>1.1202693696352638E-2</v>
      </c>
      <c r="F51" s="1439" t="str">
        <f t="shared" si="4"/>
        <v>sí</v>
      </c>
      <c r="G51" s="1439"/>
      <c r="H51" s="1442">
        <f>IFERROR(INDEX('Base ETESA'!AJ:AJ,MATCH($A51,'Base ETESA'!$BG:$BG,0)),0)</f>
        <v>-0.20999999949708581</v>
      </c>
      <c r="I51" s="1442">
        <f>IFERROR(INDEX('Base ETESA'!AQ:AQ,MATCH($A51,'Base ETESA'!$BG:$BG,0)),0)</f>
        <v>33668.639999999665</v>
      </c>
      <c r="J51" s="1442">
        <f>IFERROR(INDEX('Base ETESA'!AX:AX,MATCH($A51,'Base ETESA'!$BG:$BG,0)),0)</f>
        <v>0</v>
      </c>
      <c r="K51" s="1442">
        <f>IFERROR(INDEX('Base ETESA'!BE:BE,MATCH($A51,'Base ETESA'!$BG:$BG,0)),0)</f>
        <v>0</v>
      </c>
      <c r="L51" s="1442">
        <f t="shared" si="5"/>
        <v>32419.913873866499</v>
      </c>
    </row>
    <row r="52" spans="1:13" x14ac:dyDescent="0.25">
      <c r="A52" s="1461" t="s">
        <v>994</v>
      </c>
      <c r="B52" s="1460" t="s">
        <v>415</v>
      </c>
      <c r="C52" s="899">
        <f>'Base ETESA'!AE47</f>
        <v>3451704</v>
      </c>
      <c r="D52" s="899">
        <f>'Base ETESA'!BH47</f>
        <v>3451704.4900000026</v>
      </c>
      <c r="E52" s="1443">
        <f t="shared" si="3"/>
        <v>1.4195887090892611E-7</v>
      </c>
      <c r="F52" s="1439" t="str">
        <f t="shared" si="4"/>
        <v>sí</v>
      </c>
      <c r="G52" s="1439"/>
      <c r="H52" s="1442">
        <f>IFERROR(INDEX('Base ETESA'!AJ:AJ,MATCH($A52,'Base ETESA'!$BG:$BG,0)),0)</f>
        <v>0.49000000255182385</v>
      </c>
      <c r="I52" s="1442">
        <f>IFERROR(INDEX('Base ETESA'!AQ:AQ,MATCH($A52,'Base ETESA'!$BG:$BG,0)),0)</f>
        <v>0</v>
      </c>
      <c r="J52" s="1442">
        <f>IFERROR(INDEX('Base ETESA'!AX:AX,MATCH($A52,'Base ETESA'!$BG:$BG,0)),0)</f>
        <v>0</v>
      </c>
      <c r="K52" s="1442">
        <f>IFERROR(INDEX('Base ETESA'!BE:BE,MATCH($A52,'Base ETESA'!$BG:$BG,0)),0)</f>
        <v>0</v>
      </c>
      <c r="L52" s="1442">
        <f t="shared" si="5"/>
        <v>0.44898522142937913</v>
      </c>
    </row>
    <row r="53" spans="1:13" x14ac:dyDescent="0.25">
      <c r="A53" s="1461" t="s">
        <v>995</v>
      </c>
      <c r="B53" s="1460" t="s">
        <v>417</v>
      </c>
      <c r="C53" s="899">
        <f>'Base ETESA'!AE48</f>
        <v>269818</v>
      </c>
      <c r="D53" s="899">
        <f>'Base ETESA'!BH48</f>
        <v>269818.45999999996</v>
      </c>
      <c r="E53" s="1443">
        <f t="shared" si="3"/>
        <v>1.7048529007062061E-6</v>
      </c>
      <c r="F53" s="1439" t="str">
        <f t="shared" si="4"/>
        <v>sí</v>
      </c>
      <c r="G53" s="1439"/>
      <c r="H53" s="1442">
        <f>IFERROR(INDEX('Base ETESA'!AJ:AJ,MATCH($A53,'Base ETESA'!$BG:$BG,0)),0)</f>
        <v>0.4599999999627471</v>
      </c>
      <c r="I53" s="1442">
        <f>IFERROR(INDEX('Base ETESA'!AQ:AQ,MATCH($A53,'Base ETESA'!$BG:$BG,0)),0)</f>
        <v>0</v>
      </c>
      <c r="J53" s="1442">
        <f>IFERROR(INDEX('Base ETESA'!AX:AX,MATCH($A53,'Base ETESA'!$BG:$BG,0)),0)</f>
        <v>0</v>
      </c>
      <c r="K53" s="1442">
        <f>IFERROR(INDEX('Base ETESA'!BE:BE,MATCH($A53,'Base ETESA'!$BG:$BG,0)),0)</f>
        <v>0</v>
      </c>
      <c r="L53" s="1442">
        <f t="shared" si="5"/>
        <v>0.42149632809225307</v>
      </c>
    </row>
    <row r="54" spans="1:13" x14ac:dyDescent="0.25">
      <c r="A54" s="1461" t="s">
        <v>996</v>
      </c>
      <c r="B54" s="1460" t="s">
        <v>419</v>
      </c>
      <c r="C54" s="899">
        <f>'Base ETESA'!AE49</f>
        <v>849114</v>
      </c>
      <c r="D54" s="899">
        <f>'Base ETESA'!BH49</f>
        <v>849114.22999999986</v>
      </c>
      <c r="E54" s="1443">
        <f t="shared" si="3"/>
        <v>2.708705778787751E-7</v>
      </c>
      <c r="F54" s="1439" t="str">
        <f t="shared" si="4"/>
        <v>sí</v>
      </c>
      <c r="G54" s="1439"/>
      <c r="H54" s="1442">
        <f>IFERROR(INDEX('Base ETESA'!AJ:AJ,MATCH($A54,'Base ETESA'!$BG:$BG,0)),0)</f>
        <v>0.22999999986495823</v>
      </c>
      <c r="I54" s="1442">
        <f>IFERROR(INDEX('Base ETESA'!AQ:AQ,MATCH($A54,'Base ETESA'!$BG:$BG,0)),0)</f>
        <v>0</v>
      </c>
      <c r="J54" s="1442">
        <f>IFERROR(INDEX('Base ETESA'!AX:AX,MATCH($A54,'Base ETESA'!$BG:$BG,0)),0)</f>
        <v>0</v>
      </c>
      <c r="K54" s="1442">
        <f>IFERROR(INDEX('Base ETESA'!BE:BE,MATCH($A54,'Base ETESA'!$BG:$BG,0)),0)</f>
        <v>0</v>
      </c>
      <c r="L54" s="1442">
        <f t="shared" si="5"/>
        <v>0.21074816393945559</v>
      </c>
    </row>
    <row r="55" spans="1:13" x14ac:dyDescent="0.25">
      <c r="A55" s="1459" t="s">
        <v>997</v>
      </c>
      <c r="B55" s="1444" t="s">
        <v>406</v>
      </c>
      <c r="C55" s="899">
        <f>'Base ETESA'!AE51</f>
        <v>5134476</v>
      </c>
      <c r="D55" s="899">
        <f>'Base ETESA'!BH51</f>
        <v>5134476.2300000032</v>
      </c>
      <c r="E55" s="1443">
        <f t="shared" si="3"/>
        <v>4.4795224136017494E-8</v>
      </c>
      <c r="F55" s="1439" t="str">
        <f t="shared" si="4"/>
        <v>sí</v>
      </c>
      <c r="G55" s="1439"/>
      <c r="H55" s="1442">
        <f>IFERROR(INDEX('Base ETESA'!AJ:AJ,MATCH($A55,'Base ETESA'!$BG:$BG,0)),0)</f>
        <v>0.23000000324100256</v>
      </c>
      <c r="I55" s="1442">
        <f>IFERROR(INDEX('Base ETESA'!AQ:AQ,MATCH($A55,'Base ETESA'!$BG:$BG,0)),0)</f>
        <v>0</v>
      </c>
      <c r="J55" s="1442">
        <f>IFERROR(INDEX('Base ETESA'!AX:AX,MATCH($A55,'Base ETESA'!$BG:$BG,0)),0)</f>
        <v>0</v>
      </c>
      <c r="K55" s="1442">
        <f>IFERROR(INDEX('Base ETESA'!BE:BE,MATCH($A55,'Base ETESA'!$BG:$BG,0)),0)</f>
        <v>0</v>
      </c>
      <c r="L55" s="1442">
        <f t="shared" si="5"/>
        <v>0.21074816703291274</v>
      </c>
    </row>
    <row r="56" spans="1:13" x14ac:dyDescent="0.25">
      <c r="F56" s="1439"/>
      <c r="G56" s="1439"/>
      <c r="H56" s="1442"/>
      <c r="I56" s="1442"/>
      <c r="J56" s="1442"/>
      <c r="K56" s="1442"/>
      <c r="L56" s="1442"/>
    </row>
    <row r="57" spans="1:13" x14ac:dyDescent="0.25">
      <c r="A57" s="911" t="s">
        <v>934</v>
      </c>
      <c r="B57" s="1458"/>
      <c r="F57" s="1439"/>
      <c r="G57" s="1439"/>
      <c r="H57" s="1442"/>
      <c r="I57" s="1442"/>
      <c r="J57" s="1442"/>
      <c r="K57" s="1442"/>
      <c r="L57" s="1442"/>
    </row>
    <row r="58" spans="1:13" x14ac:dyDescent="0.25">
      <c r="A58" s="928" t="s">
        <v>941</v>
      </c>
      <c r="B58" s="1446"/>
      <c r="C58" s="946">
        <f>SUBTOTAL(9,C59:C78)</f>
        <v>272379123</v>
      </c>
      <c r="D58" s="946">
        <f>SUBTOTAL(9,D59:D78)</f>
        <v>441503558.27999926</v>
      </c>
      <c r="F58" s="1439"/>
      <c r="G58" s="1439"/>
      <c r="H58" s="1442"/>
      <c r="I58" s="1442"/>
      <c r="J58" s="1442"/>
      <c r="K58" s="1442"/>
      <c r="L58" s="1442"/>
    </row>
    <row r="59" spans="1:13" x14ac:dyDescent="0.25">
      <c r="A59" s="893" t="s">
        <v>1310</v>
      </c>
      <c r="B59" s="1452" t="s">
        <v>440</v>
      </c>
      <c r="C59" s="899">
        <f>'Base ETESA'!AE55</f>
        <v>0</v>
      </c>
      <c r="D59" s="899">
        <f>'Base ETESA'!BH55</f>
        <v>129722.08</v>
      </c>
      <c r="E59" s="1443" t="str">
        <f t="shared" ref="E59:E78" si="6">IFERROR((D59-C59)/C59,"")</f>
        <v/>
      </c>
      <c r="F59" s="1439" t="str">
        <f t="shared" ref="F59:F78" si="7">IFERROR(IF(ABS(E59)&lt;=$F$1,"sí","no"),"no")</f>
        <v>no</v>
      </c>
      <c r="G59" s="1439"/>
      <c r="H59" s="1442">
        <f>IFERROR(INDEX('Base ETESA'!AJ:AJ,MATCH($A59,'Base ETESA'!$BG:$BG,0)),0)</f>
        <v>0</v>
      </c>
      <c r="I59" s="1442">
        <f>IFERROR(INDEX('Base ETESA'!AQ:AQ,MATCH($A59,'Base ETESA'!$BG:$BG,0)),0)</f>
        <v>0</v>
      </c>
      <c r="J59" s="1442">
        <f>IFERROR(INDEX('Base ETESA'!AX:AX,MATCH($A59,'Base ETESA'!$BG:$BG,0)),0)</f>
        <v>0</v>
      </c>
      <c r="K59" s="1442">
        <f>IFERROR(INDEX('Base ETESA'!BE:BE,MATCH($A59,'Base ETESA'!$BG:$BG,0)),0)</f>
        <v>129722.08</v>
      </c>
      <c r="L59" s="1442">
        <f t="shared" ref="L59:L78" si="8">+SUMPRODUCT(H59:K59,$H$4:$K$4)</f>
        <v>129722.08</v>
      </c>
      <c r="M59" s="1455" t="s">
        <v>1715</v>
      </c>
    </row>
    <row r="60" spans="1:13" x14ac:dyDescent="0.25">
      <c r="A60" s="930" t="s">
        <v>999</v>
      </c>
      <c r="B60" s="1449" t="s">
        <v>447</v>
      </c>
      <c r="C60" s="899">
        <f>'Base ETESA'!AE56</f>
        <v>7586508</v>
      </c>
      <c r="D60" s="899">
        <f>'Base ETESA'!BH56</f>
        <v>7586507.5599999893</v>
      </c>
      <c r="E60" s="1443">
        <f t="shared" si="6"/>
        <v>-5.799769942301916E-8</v>
      </c>
      <c r="F60" s="1439" t="str">
        <f t="shared" si="7"/>
        <v>sí</v>
      </c>
      <c r="G60" s="1439"/>
      <c r="H60" s="1442">
        <f>IFERROR(INDEX('Base ETESA'!AJ:AJ,MATCH($A60,'Base ETESA'!$BG:$BG,0)),0)</f>
        <v>-0.44000001065433025</v>
      </c>
      <c r="I60" s="1442">
        <f>IFERROR(INDEX('Base ETESA'!AQ:AQ,MATCH($A60,'Base ETESA'!$BG:$BG,0)),0)</f>
        <v>0</v>
      </c>
      <c r="J60" s="1442">
        <f>IFERROR(INDEX('Base ETESA'!AX:AX,MATCH($A60,'Base ETESA'!$BG:$BG,0)),0)</f>
        <v>0</v>
      </c>
      <c r="K60" s="1442">
        <f>IFERROR(INDEX('Base ETESA'!BE:BE,MATCH($A60,'Base ETESA'!$BG:$BG,0)),0)</f>
        <v>0</v>
      </c>
      <c r="L60" s="1442">
        <f t="shared" si="8"/>
        <v>-0.40317041057906894</v>
      </c>
      <c r="M60" s="1455" t="s">
        <v>1716</v>
      </c>
    </row>
    <row r="61" spans="1:13" x14ac:dyDescent="0.25">
      <c r="A61" s="1456" t="s">
        <v>1001</v>
      </c>
      <c r="B61" s="1450" t="s">
        <v>1714</v>
      </c>
      <c r="C61" s="899">
        <f>'Base ETESA'!AE57</f>
        <v>122667</v>
      </c>
      <c r="D61" s="899">
        <f>'Base ETESA'!BH57</f>
        <v>122666.72</v>
      </c>
      <c r="E61" s="1443">
        <f t="shared" si="6"/>
        <v>-2.282602492918518E-6</v>
      </c>
      <c r="F61" s="1439" t="str">
        <f t="shared" si="7"/>
        <v>sí</v>
      </c>
      <c r="G61" s="1439"/>
      <c r="H61" s="1442">
        <f>IFERROR(INDEX('Base ETESA'!AJ:AJ,MATCH($A61,'Base ETESA'!$BG:$BG,0)),0)</f>
        <v>-0.27999999999883585</v>
      </c>
      <c r="I61" s="1442">
        <f>IFERROR(INDEX('Base ETESA'!AQ:AQ,MATCH($A61,'Base ETESA'!$BG:$BG,0)),0)</f>
        <v>0</v>
      </c>
      <c r="J61" s="1442">
        <f>IFERROR(INDEX('Base ETESA'!AX:AX,MATCH($A61,'Base ETESA'!$BG:$BG,0)),0)</f>
        <v>0</v>
      </c>
      <c r="K61" s="1442">
        <f>IFERROR(INDEX('Base ETESA'!BE:BE,MATCH($A61,'Base ETESA'!$BG:$BG,0)),0)</f>
        <v>0</v>
      </c>
      <c r="L61" s="1442">
        <f t="shared" si="8"/>
        <v>-0.25656298233673452</v>
      </c>
    </row>
    <row r="62" spans="1:13" x14ac:dyDescent="0.25">
      <c r="A62" s="915" t="s">
        <v>998</v>
      </c>
      <c r="B62" s="1452" t="s">
        <v>441</v>
      </c>
      <c r="C62" s="899">
        <f>'Base ETESA'!AE58</f>
        <v>7930169</v>
      </c>
      <c r="D62" s="899">
        <f>'Base ETESA'!BH58</f>
        <v>19007931.840000011</v>
      </c>
      <c r="E62" s="1443">
        <f t="shared" si="6"/>
        <v>1.3969138413065361</v>
      </c>
      <c r="F62" s="1439" t="str">
        <f t="shared" si="7"/>
        <v>no</v>
      </c>
      <c r="G62" s="1439"/>
      <c r="H62" s="1442">
        <f>IFERROR(INDEX('Base ETESA'!AJ:AJ,MATCH($A62,'Base ETESA'!$BG:$BG,0)),0)</f>
        <v>0.46000000648200512</v>
      </c>
      <c r="I62" s="1442">
        <f>IFERROR(INDEX('Base ETESA'!AQ:AQ,MATCH($A62,'Base ETESA'!$BG:$BG,0)),0)</f>
        <v>7324640.6399999969</v>
      </c>
      <c r="J62" s="1442">
        <f>IFERROR(INDEX('Base ETESA'!AX:AX,MATCH($A62,'Base ETESA'!$BG:$BG,0)),0)</f>
        <v>0</v>
      </c>
      <c r="K62" s="1442">
        <f>IFERROR(INDEX('Base ETESA'!BE:BE,MATCH($A62,'Base ETESA'!$BG:$BG,0)),0)</f>
        <v>3753121.7400000077</v>
      </c>
      <c r="L62" s="1442">
        <f t="shared" si="8"/>
        <v>10806143.255593302</v>
      </c>
      <c r="M62" s="1455" t="s">
        <v>1715</v>
      </c>
    </row>
    <row r="63" spans="1:13" x14ac:dyDescent="0.25">
      <c r="A63" s="930" t="s">
        <v>1000</v>
      </c>
      <c r="B63" s="1449" t="s">
        <v>432</v>
      </c>
      <c r="C63" s="899">
        <f>'Base ETESA'!AE59</f>
        <v>29201878</v>
      </c>
      <c r="D63" s="899">
        <f>'Base ETESA'!BH59</f>
        <v>37375611.610000044</v>
      </c>
      <c r="E63" s="1443">
        <f t="shared" si="6"/>
        <v>0.27990438183462185</v>
      </c>
      <c r="F63" s="1439" t="str">
        <f t="shared" si="7"/>
        <v>no</v>
      </c>
      <c r="G63" s="1439"/>
      <c r="H63" s="1442">
        <f>IFERROR(INDEX('Base ETESA'!AJ:AJ,MATCH($A63,'Base ETESA'!$BG:$BG,0)),0)</f>
        <v>6580946.6100000069</v>
      </c>
      <c r="I63" s="1442">
        <f>IFERROR(INDEX('Base ETESA'!AQ:AQ,MATCH($A63,'Base ETESA'!$BG:$BG,0)),0)</f>
        <v>1230370.3100000471</v>
      </c>
      <c r="J63" s="1442">
        <f>IFERROR(INDEX('Base ETESA'!AX:AX,MATCH($A63,'Base ETESA'!$BG:$BG,0)),0)</f>
        <v>207879.38000000268</v>
      </c>
      <c r="K63" s="1442">
        <f>IFERROR(INDEX('Base ETESA'!BE:BE,MATCH($A63,'Base ETESA'!$BG:$BG,0)),0)</f>
        <v>154537.30999998748</v>
      </c>
      <c r="L63" s="1442">
        <f t="shared" si="8"/>
        <v>7571675.0029868055</v>
      </c>
      <c r="M63" s="1455" t="s">
        <v>1715</v>
      </c>
    </row>
    <row r="64" spans="1:13" x14ac:dyDescent="0.25">
      <c r="A64" s="930" t="s">
        <v>1002</v>
      </c>
      <c r="B64" s="1449" t="s">
        <v>436</v>
      </c>
      <c r="C64" s="899">
        <f>'Base ETESA'!AE60</f>
        <v>8306474</v>
      </c>
      <c r="D64" s="899">
        <f>'Base ETESA'!BH60</f>
        <v>8366491.509999997</v>
      </c>
      <c r="E64" s="1443">
        <f t="shared" si="6"/>
        <v>7.2253894973964864E-3</v>
      </c>
      <c r="F64" s="1439" t="str">
        <f t="shared" si="7"/>
        <v>sí</v>
      </c>
      <c r="G64" s="1439"/>
      <c r="H64" s="1442">
        <f>IFERROR(INDEX('Base ETESA'!AJ:AJ,MATCH($A64,'Base ETESA'!$BG:$BG,0)),0)</f>
        <v>0.46999999694526196</v>
      </c>
      <c r="I64" s="1442">
        <f>IFERROR(INDEX('Base ETESA'!AQ:AQ,MATCH($A64,'Base ETESA'!$BG:$BG,0)),0)</f>
        <v>60017.040000000037</v>
      </c>
      <c r="J64" s="1442">
        <f>IFERROR(INDEX('Base ETESA'!AX:AX,MATCH($A64,'Base ETESA'!$BG:$BG,0)),0)</f>
        <v>0</v>
      </c>
      <c r="K64" s="1442">
        <f>IFERROR(INDEX('Base ETESA'!BE:BE,MATCH($A64,'Base ETESA'!$BG:$BG,0)),0)</f>
        <v>0</v>
      </c>
      <c r="L64" s="1442">
        <f t="shared" si="8"/>
        <v>57791.859608527018</v>
      </c>
      <c r="M64" s="1455" t="s">
        <v>1715</v>
      </c>
    </row>
    <row r="65" spans="1:13" x14ac:dyDescent="0.25">
      <c r="A65" s="930" t="s">
        <v>1003</v>
      </c>
      <c r="B65" s="1449" t="s">
        <v>434</v>
      </c>
      <c r="C65" s="899">
        <f>'Base ETESA'!AE61</f>
        <v>46014553</v>
      </c>
      <c r="D65" s="899">
        <f>'Base ETESA'!BH61</f>
        <v>77181852.869999498</v>
      </c>
      <c r="E65" s="1443">
        <f t="shared" si="6"/>
        <v>0.67733570877021232</v>
      </c>
      <c r="F65" s="1439" t="str">
        <f t="shared" si="7"/>
        <v>no</v>
      </c>
      <c r="G65" s="1439"/>
      <c r="H65" s="1442">
        <f>IFERROR(INDEX('Base ETESA'!AJ:AJ,MATCH($A65,'Base ETESA'!$BG:$BG,0)),0)</f>
        <v>26462227.049999923</v>
      </c>
      <c r="I65" s="1442">
        <f>IFERROR(INDEX('Base ETESA'!AQ:AQ,MATCH($A65,'Base ETESA'!$BG:$BG,0)),0)</f>
        <v>4233227.8799996078</v>
      </c>
      <c r="J65" s="1442">
        <f>IFERROR(INDEX('Base ETESA'!AX:AX,MATCH($A65,'Base ETESA'!$BG:$BG,0)),0)</f>
        <v>364434.45999999344</v>
      </c>
      <c r="K65" s="1442">
        <f>IFERROR(INDEX('Base ETESA'!BE:BE,MATCH($A65,'Base ETESA'!$BG:$BG,0)),0)</f>
        <v>107410.47999997437</v>
      </c>
      <c r="L65" s="1442">
        <f t="shared" si="8"/>
        <v>28785545.827793408</v>
      </c>
      <c r="M65" s="1455" t="s">
        <v>1715</v>
      </c>
    </row>
    <row r="66" spans="1:13" x14ac:dyDescent="0.25">
      <c r="A66" s="930" t="s">
        <v>1004</v>
      </c>
      <c r="B66" s="1449" t="s">
        <v>437</v>
      </c>
      <c r="C66" s="899">
        <f>'Base ETESA'!AE62</f>
        <v>18455369</v>
      </c>
      <c r="D66" s="899">
        <f>'Base ETESA'!BH62</f>
        <v>21671818.679999966</v>
      </c>
      <c r="E66" s="1443">
        <f t="shared" si="6"/>
        <v>0.17428259928045689</v>
      </c>
      <c r="F66" s="1439" t="str">
        <f t="shared" si="7"/>
        <v>no</v>
      </c>
      <c r="G66" s="1439"/>
      <c r="H66" s="1442">
        <f>IFERROR(INDEX('Base ETESA'!AJ:AJ,MATCH($A66,'Base ETESA'!$BG:$BG,0)),0)</f>
        <v>3022061.6899999715</v>
      </c>
      <c r="I66" s="1442">
        <f>IFERROR(INDEX('Base ETESA'!AQ:AQ,MATCH($A66,'Base ETESA'!$BG:$BG,0)),0)</f>
        <v>71271.069999996573</v>
      </c>
      <c r="J66" s="1442">
        <f>IFERROR(INDEX('Base ETESA'!AX:AX,MATCH($A66,'Base ETESA'!$BG:$BG,0)),0)</f>
        <v>92330.30000000447</v>
      </c>
      <c r="K66" s="1442">
        <f>IFERROR(INDEX('Base ETESA'!BE:BE,MATCH($A66,'Base ETESA'!$BG:$BG,0)),0)</f>
        <v>30786.619999993593</v>
      </c>
      <c r="L66" s="1442">
        <f t="shared" si="8"/>
        <v>2958369.1914785882</v>
      </c>
      <c r="M66" s="1455" t="s">
        <v>1715</v>
      </c>
    </row>
    <row r="67" spans="1:13" x14ac:dyDescent="0.25">
      <c r="A67" s="893" t="s">
        <v>1008</v>
      </c>
      <c r="B67" s="1452" t="s">
        <v>451</v>
      </c>
      <c r="C67" s="899">
        <f>'Base ETESA'!AE64</f>
        <v>5338170</v>
      </c>
      <c r="D67" s="899">
        <f>'Base ETESA'!BH64</f>
        <v>5338170.1900000013</v>
      </c>
      <c r="E67" s="1443">
        <f t="shared" si="6"/>
        <v>3.5592722101601209E-8</v>
      </c>
      <c r="F67" s="1439" t="str">
        <f t="shared" si="7"/>
        <v>sí</v>
      </c>
      <c r="G67" s="1439"/>
      <c r="H67" s="1442">
        <f>IFERROR(INDEX('Base ETESA'!AJ:AJ,MATCH($A67,'Base ETESA'!$BG:$BG,0)),0)</f>
        <v>0.19000000134110451</v>
      </c>
      <c r="I67" s="1442">
        <f>IFERROR(INDEX('Base ETESA'!AQ:AQ,MATCH($A67,'Base ETESA'!$BG:$BG,0)),0)</f>
        <v>0</v>
      </c>
      <c r="J67" s="1442">
        <f>IFERROR(INDEX('Base ETESA'!AX:AX,MATCH($A67,'Base ETESA'!$BG:$BG,0)),0)</f>
        <v>0</v>
      </c>
      <c r="K67" s="1442">
        <f>IFERROR(INDEX('Base ETESA'!BE:BE,MATCH($A67,'Base ETESA'!$BG:$BG,0)),0)</f>
        <v>0</v>
      </c>
      <c r="L67" s="1442">
        <f t="shared" si="8"/>
        <v>0.17409631067235717</v>
      </c>
      <c r="M67" s="1448" t="s">
        <v>1713</v>
      </c>
    </row>
    <row r="68" spans="1:13" x14ac:dyDescent="0.25">
      <c r="A68" s="930" t="s">
        <v>1010</v>
      </c>
      <c r="B68" s="1449" t="s">
        <v>439</v>
      </c>
      <c r="C68" s="899">
        <f>'Base ETESA'!AE65</f>
        <v>2153122</v>
      </c>
      <c r="D68" s="899">
        <f>'Base ETESA'!BH65</f>
        <v>2153121.8200000008</v>
      </c>
      <c r="E68" s="1443">
        <f t="shared" si="6"/>
        <v>-8.3599535575000152E-8</v>
      </c>
      <c r="F68" s="1439" t="str">
        <f t="shared" si="7"/>
        <v>sí</v>
      </c>
      <c r="G68" s="1439"/>
      <c r="H68" s="1442">
        <f>IFERROR(INDEX('Base ETESA'!AJ:AJ,MATCH($A68,'Base ETESA'!$BG:$BG,0)),0)</f>
        <v>-0.17999999923631549</v>
      </c>
      <c r="I68" s="1442">
        <f>IFERROR(INDEX('Base ETESA'!AQ:AQ,MATCH($A68,'Base ETESA'!$BG:$BG,0)),0)</f>
        <v>0</v>
      </c>
      <c r="J68" s="1442">
        <f>IFERROR(INDEX('Base ETESA'!AX:AX,MATCH($A68,'Base ETESA'!$BG:$BG,0)),0)</f>
        <v>0</v>
      </c>
      <c r="K68" s="1442">
        <f>IFERROR(INDEX('Base ETESA'!BE:BE,MATCH($A68,'Base ETESA'!$BG:$BG,0)),0)</f>
        <v>0</v>
      </c>
      <c r="L68" s="1442">
        <f t="shared" si="8"/>
        <v>-0.16493334508882518</v>
      </c>
      <c r="M68" s="1455" t="s">
        <v>1715</v>
      </c>
    </row>
    <row r="69" spans="1:13" x14ac:dyDescent="0.25">
      <c r="A69" s="930" t="s">
        <v>1005</v>
      </c>
      <c r="B69" s="1449" t="s">
        <v>431</v>
      </c>
      <c r="C69" s="899">
        <f>'Base ETESA'!AE66</f>
        <v>40210468</v>
      </c>
      <c r="D69" s="899">
        <f>'Base ETESA'!BH66</f>
        <v>55336069.549999848</v>
      </c>
      <c r="E69" s="1443">
        <f t="shared" si="6"/>
        <v>0.37616079350282239</v>
      </c>
      <c r="F69" s="1439" t="str">
        <f t="shared" si="7"/>
        <v>no</v>
      </c>
      <c r="G69" s="1439"/>
      <c r="H69" s="1442">
        <f>IFERROR(INDEX('Base ETESA'!AJ:AJ,MATCH($A69,'Base ETESA'!$BG:$BG,0)),0)</f>
        <v>5458751.6699998677</v>
      </c>
      <c r="I69" s="1442">
        <f>IFERROR(INDEX('Base ETESA'!AQ:AQ,MATCH($A69,'Base ETESA'!$BG:$BG,0)),0)</f>
        <v>12807.150000013411</v>
      </c>
      <c r="J69" s="1442">
        <f>IFERROR(INDEX('Base ETESA'!AX:AX,MATCH($A69,'Base ETESA'!$BG:$BG,0)),0)</f>
        <v>8932775.0199999958</v>
      </c>
      <c r="K69" s="1442">
        <f>IFERROR(INDEX('Base ETESA'!BE:BE,MATCH($A69,'Base ETESA'!$BG:$BG,0)),0)</f>
        <v>721267.70999997109</v>
      </c>
      <c r="L69" s="1442">
        <f t="shared" si="8"/>
        <v>14428274.406921897</v>
      </c>
      <c r="M69" s="1455" t="s">
        <v>1715</v>
      </c>
    </row>
    <row r="70" spans="1:13" x14ac:dyDescent="0.25">
      <c r="A70" s="930" t="s">
        <v>1006</v>
      </c>
      <c r="B70" s="1449" t="s">
        <v>430</v>
      </c>
      <c r="C70" s="899">
        <f>'Base ETESA'!AE67</f>
        <v>32729562</v>
      </c>
      <c r="D70" s="899">
        <f>'Base ETESA'!BH67</f>
        <v>61377749.959999911</v>
      </c>
      <c r="E70" s="1443">
        <f t="shared" si="6"/>
        <v>0.87530007153777101</v>
      </c>
      <c r="F70" s="1439" t="str">
        <f t="shared" si="7"/>
        <v>no</v>
      </c>
      <c r="G70" s="1439"/>
      <c r="H70" s="1442">
        <f>IFERROR(INDEX('Base ETESA'!AJ:AJ,MATCH($A70,'Base ETESA'!$BG:$BG,0)),0)</f>
        <v>3905268.8100000992</v>
      </c>
      <c r="I70" s="1442">
        <f>IFERROR(INDEX('Base ETESA'!AQ:AQ,MATCH($A70,'Base ETESA'!$BG:$BG,0)),0)</f>
        <v>24833745.049999803</v>
      </c>
      <c r="J70" s="1442">
        <f>IFERROR(INDEX('Base ETESA'!AX:AX,MATCH($A70,'Base ETESA'!$BG:$BG,0)),0)</f>
        <v>-105983.49999999255</v>
      </c>
      <c r="K70" s="1442">
        <f>IFERROR(INDEX('Base ETESA'!BE:BE,MATCH($A70,'Base ETESA'!$BG:$BG,0)),0)</f>
        <v>15157.60000000149</v>
      </c>
      <c r="L70" s="1442">
        <f t="shared" si="8"/>
        <v>27403240.071256846</v>
      </c>
      <c r="M70" s="1455" t="s">
        <v>1715</v>
      </c>
    </row>
    <row r="71" spans="1:13" x14ac:dyDescent="0.25">
      <c r="A71" s="1456" t="s">
        <v>1013</v>
      </c>
      <c r="B71" s="1450" t="s">
        <v>1714</v>
      </c>
      <c r="C71" s="899">
        <f>'Base ETESA'!AE68</f>
        <v>6089787</v>
      </c>
      <c r="D71" s="899">
        <f>'Base ETESA'!BH68</f>
        <v>28273948.689999998</v>
      </c>
      <c r="E71" s="1443">
        <f t="shared" si="6"/>
        <v>3.642846899242945</v>
      </c>
      <c r="F71" s="1439" t="str">
        <f t="shared" si="7"/>
        <v>no</v>
      </c>
      <c r="G71" s="1439"/>
      <c r="H71" s="1442">
        <f>IFERROR(INDEX('Base ETESA'!AJ:AJ,MATCH($A71,'Base ETESA'!$BG:$BG,0)),0)</f>
        <v>0</v>
      </c>
      <c r="I71" s="1442">
        <f>IFERROR(INDEX('Base ETESA'!AQ:AQ,MATCH($A71,'Base ETESA'!$BG:$BG,0)),0)</f>
        <v>0</v>
      </c>
      <c r="J71" s="1442">
        <f>IFERROR(INDEX('Base ETESA'!AX:AX,MATCH($A71,'Base ETESA'!$BG:$BG,0)),0)</f>
        <v>0</v>
      </c>
      <c r="K71" s="1442">
        <f>IFERROR(INDEX('Base ETESA'!BE:BE,MATCH($A71,'Base ETESA'!$BG:$BG,0)),0)</f>
        <v>0</v>
      </c>
      <c r="L71" s="1442">
        <f t="shared" si="8"/>
        <v>0</v>
      </c>
    </row>
    <row r="72" spans="1:13" x14ac:dyDescent="0.25">
      <c r="A72" s="930" t="s">
        <v>1007</v>
      </c>
      <c r="B72" s="1449" t="s">
        <v>438</v>
      </c>
      <c r="C72" s="899">
        <f>'Base ETESA'!AE70</f>
        <v>5831309</v>
      </c>
      <c r="D72" s="899">
        <f>'Base ETESA'!BH70</f>
        <v>18135636.919999983</v>
      </c>
      <c r="E72" s="1443">
        <f t="shared" si="6"/>
        <v>2.1100456038258275</v>
      </c>
      <c r="F72" s="1439" t="str">
        <f t="shared" si="7"/>
        <v>no</v>
      </c>
      <c r="G72" s="1439"/>
      <c r="H72" s="1442">
        <f>IFERROR(INDEX('Base ETESA'!AJ:AJ,MATCH($A72,'Base ETESA'!$BG:$BG,0)),0)</f>
        <v>1888568.290000001</v>
      </c>
      <c r="I72" s="1442">
        <f>IFERROR(INDEX('Base ETESA'!AQ:AQ,MATCH($A72,'Base ETESA'!$BG:$BG,0)),0)</f>
        <v>10040683.009999992</v>
      </c>
      <c r="J72" s="1442">
        <f>IFERROR(INDEX('Base ETESA'!AX:AX,MATCH($A72,'Base ETESA'!$BG:$BG,0)),0)</f>
        <v>0</v>
      </c>
      <c r="K72" s="1442">
        <f>IFERROR(INDEX('Base ETESA'!BE:BE,MATCH($A72,'Base ETESA'!$BG:$BG,0)),0)</f>
        <v>375076.61999998987</v>
      </c>
      <c r="L72" s="1442">
        <f t="shared" si="8"/>
        <v>11773909.383175768</v>
      </c>
      <c r="M72" s="1455" t="s">
        <v>1715</v>
      </c>
    </row>
    <row r="73" spans="1:13" x14ac:dyDescent="0.25">
      <c r="A73" s="1457" t="s">
        <v>1303</v>
      </c>
      <c r="B73" s="1450" t="s">
        <v>1714</v>
      </c>
      <c r="C73" s="899">
        <f>'Base ETESA'!AE71</f>
        <v>0</v>
      </c>
      <c r="D73" s="899">
        <f>'Base ETESA'!BH71</f>
        <v>22347106.52</v>
      </c>
      <c r="E73" s="1443" t="str">
        <f t="shared" si="6"/>
        <v/>
      </c>
      <c r="F73" s="1439" t="str">
        <f t="shared" si="7"/>
        <v>no</v>
      </c>
      <c r="G73" s="1439"/>
      <c r="H73" s="1442">
        <f>IFERROR(INDEX('Base ETESA'!AJ:AJ,MATCH($A73,'Base ETESA'!$BG:$BG,0)),0)</f>
        <v>0</v>
      </c>
      <c r="I73" s="1442">
        <f>IFERROR(INDEX('Base ETESA'!AQ:AQ,MATCH($A73,'Base ETESA'!$BG:$BG,0)),0)</f>
        <v>0</v>
      </c>
      <c r="J73" s="1442">
        <f>IFERROR(INDEX('Base ETESA'!AX:AX,MATCH($A73,'Base ETESA'!$BG:$BG,0)),0)</f>
        <v>0</v>
      </c>
      <c r="K73" s="1442">
        <f>IFERROR(INDEX('Base ETESA'!BE:BE,MATCH($A73,'Base ETESA'!$BG:$BG,0)),0)</f>
        <v>0</v>
      </c>
      <c r="L73" s="1442">
        <f t="shared" si="8"/>
        <v>0</v>
      </c>
    </row>
    <row r="74" spans="1:13" x14ac:dyDescent="0.25">
      <c r="A74" s="930" t="s">
        <v>1009</v>
      </c>
      <c r="B74" s="1449" t="s">
        <v>435</v>
      </c>
      <c r="C74" s="899">
        <f>'Base ETESA'!AE72</f>
        <v>24482404</v>
      </c>
      <c r="D74" s="899">
        <f>'Base ETESA'!BH72</f>
        <v>31177609.450000029</v>
      </c>
      <c r="E74" s="1443">
        <f t="shared" si="6"/>
        <v>0.27347009917817011</v>
      </c>
      <c r="F74" s="1439" t="str">
        <f t="shared" si="7"/>
        <v>no</v>
      </c>
      <c r="G74" s="1439"/>
      <c r="H74" s="1442">
        <f>IFERROR(INDEX('Base ETESA'!AJ:AJ,MATCH($A74,'Base ETESA'!$BG:$BG,0)),0)</f>
        <v>5712227.3900000341</v>
      </c>
      <c r="I74" s="1442">
        <f>IFERROR(INDEX('Base ETESA'!AQ:AQ,MATCH($A74,'Base ETESA'!$BG:$BG,0)),0)</f>
        <v>52241.109999999404</v>
      </c>
      <c r="J74" s="1442">
        <f>IFERROR(INDEX('Base ETESA'!AX:AX,MATCH($A74,'Base ETESA'!$BG:$BG,0)),0)</f>
        <v>844746.29999999329</v>
      </c>
      <c r="K74" s="1442">
        <f>IFERROR(INDEX('Base ETESA'!BE:BE,MATCH($A74,'Base ETESA'!$BG:$BG,0)),0)</f>
        <v>85990.650000002235</v>
      </c>
      <c r="L74" s="1442">
        <f t="shared" si="8"/>
        <v>6192444.0648005866</v>
      </c>
      <c r="M74" s="1455" t="s">
        <v>1715</v>
      </c>
    </row>
    <row r="75" spans="1:13" x14ac:dyDescent="0.25">
      <c r="A75" s="1456" t="s">
        <v>950</v>
      </c>
      <c r="B75" s="1450" t="s">
        <v>1714</v>
      </c>
      <c r="C75" s="899">
        <f>'Base ETESA'!AE73</f>
        <v>11706840</v>
      </c>
      <c r="D75" s="899">
        <f>'Base ETESA'!BH73</f>
        <v>11706839.59</v>
      </c>
      <c r="E75" s="1443">
        <f t="shared" si="6"/>
        <v>-3.5022260503176916E-8</v>
      </c>
      <c r="F75" s="1439" t="str">
        <f t="shared" si="7"/>
        <v>sí</v>
      </c>
      <c r="G75" s="1439"/>
      <c r="H75" s="1442">
        <f>IFERROR(INDEX('Base ETESA'!AJ:AJ,MATCH($A75,'Base ETESA'!$BG:$BG,0)),0)</f>
        <v>-0.41000000014901161</v>
      </c>
      <c r="I75" s="1442">
        <f>IFERROR(INDEX('Base ETESA'!AQ:AQ,MATCH($A75,'Base ETESA'!$BG:$BG,0)),0)</f>
        <v>0</v>
      </c>
      <c r="J75" s="1442">
        <f>IFERROR(INDEX('Base ETESA'!AX:AX,MATCH($A75,'Base ETESA'!$BG:$BG,0)),0)</f>
        <v>0</v>
      </c>
      <c r="K75" s="1442">
        <f>IFERROR(INDEX('Base ETESA'!BE:BE,MATCH($A75,'Base ETESA'!$BG:$BG,0)),0)</f>
        <v>0</v>
      </c>
      <c r="L75" s="1442">
        <f t="shared" si="8"/>
        <v>-0.37568150998831923</v>
      </c>
    </row>
    <row r="76" spans="1:13" x14ac:dyDescent="0.25">
      <c r="A76" s="930" t="s">
        <v>1014</v>
      </c>
      <c r="B76" s="1449" t="s">
        <v>433</v>
      </c>
      <c r="C76" s="899">
        <f>'Base ETESA'!AE74</f>
        <v>10967252</v>
      </c>
      <c r="D76" s="899">
        <f>'Base ETESA'!BH74</f>
        <v>13779184.850000007</v>
      </c>
      <c r="E76" s="1443">
        <f t="shared" si="6"/>
        <v>0.25639356604553332</v>
      </c>
      <c r="F76" s="1439" t="str">
        <f t="shared" si="7"/>
        <v>no</v>
      </c>
      <c r="G76" s="1439"/>
      <c r="H76" s="1442">
        <f>IFERROR(INDEX('Base ETESA'!AJ:AJ,MATCH($A76,'Base ETESA'!$BG:$BG,0)),0)</f>
        <v>0.23000000417232513</v>
      </c>
      <c r="I76" s="1442">
        <f>IFERROR(INDEX('Base ETESA'!AQ:AQ,MATCH($A76,'Base ETESA'!$BG:$BG,0)),0)</f>
        <v>2754605.5200000014</v>
      </c>
      <c r="J76" s="1442">
        <f>IFERROR(INDEX('Base ETESA'!AX:AX,MATCH($A76,'Base ETESA'!$BG:$BG,0)),0)</f>
        <v>0</v>
      </c>
      <c r="K76" s="1442">
        <f>IFERROR(INDEX('Base ETESA'!BE:BE,MATCH($A76,'Base ETESA'!$BG:$BG,0)),0)</f>
        <v>57327.10000000149</v>
      </c>
      <c r="L76" s="1442">
        <f t="shared" si="8"/>
        <v>2709783.8329668404</v>
      </c>
      <c r="M76" s="1455" t="s">
        <v>1715</v>
      </c>
    </row>
    <row r="77" spans="1:13" x14ac:dyDescent="0.25">
      <c r="A77" s="930" t="s">
        <v>1015</v>
      </c>
      <c r="B77" s="1449" t="s">
        <v>448</v>
      </c>
      <c r="C77" s="899">
        <f>'Base ETESA'!AE75</f>
        <v>12201837</v>
      </c>
      <c r="D77" s="899">
        <f>'Base ETESA'!BH75</f>
        <v>17285828.169999994</v>
      </c>
      <c r="E77" s="1443">
        <f t="shared" si="6"/>
        <v>0.41665784996144389</v>
      </c>
      <c r="F77" s="1439" t="str">
        <f t="shared" si="7"/>
        <v>no</v>
      </c>
      <c r="G77" s="1439"/>
      <c r="H77" s="1442">
        <f>IFERROR(INDEX('Base ETESA'!AJ:AJ,MATCH($A77,'Base ETESA'!$BG:$BG,0)),0)</f>
        <v>4249533.5699999835</v>
      </c>
      <c r="I77" s="1442">
        <f>IFERROR(INDEX('Base ETESA'!AQ:AQ,MATCH($A77,'Base ETESA'!$BG:$BG,0)),0)</f>
        <v>0</v>
      </c>
      <c r="J77" s="1442">
        <f>IFERROR(INDEX('Base ETESA'!AX:AX,MATCH($A77,'Base ETESA'!$BG:$BG,0)),0)</f>
        <v>680462.59000000544</v>
      </c>
      <c r="K77" s="1442">
        <f>IFERROR(INDEX('Base ETESA'!BE:BE,MATCH($A77,'Base ETESA'!$BG:$BG,0)),0)</f>
        <v>153995.01000000536</v>
      </c>
      <c r="L77" s="1442">
        <f t="shared" si="8"/>
        <v>4710012.5001425548</v>
      </c>
      <c r="M77" s="1455" t="s">
        <v>1716</v>
      </c>
    </row>
    <row r="78" spans="1:13" x14ac:dyDescent="0.25">
      <c r="A78" s="893" t="s">
        <v>1016</v>
      </c>
      <c r="B78" s="1452" t="s">
        <v>452</v>
      </c>
      <c r="C78" s="899">
        <f>'Base ETESA'!AE76</f>
        <v>3050754</v>
      </c>
      <c r="D78" s="899">
        <f>'Base ETESA'!BH76</f>
        <v>3149689.6999999969</v>
      </c>
      <c r="E78" s="1443">
        <f t="shared" si="6"/>
        <v>3.242991732535528E-2</v>
      </c>
      <c r="F78" s="1439" t="str">
        <f t="shared" si="7"/>
        <v>no</v>
      </c>
      <c r="G78" s="1439"/>
      <c r="H78" s="1442">
        <f>IFERROR(INDEX('Base ETESA'!AJ:AJ,MATCH($A78,'Base ETESA'!$BG:$BG,0)),0)</f>
        <v>0.23999999696388841</v>
      </c>
      <c r="I78" s="1442">
        <f>IFERROR(INDEX('Base ETESA'!AQ:AQ,MATCH($A78,'Base ETESA'!$BG:$BG,0)),0)</f>
        <v>0</v>
      </c>
      <c r="J78" s="1442">
        <f>IFERROR(INDEX('Base ETESA'!AX:AX,MATCH($A78,'Base ETESA'!$BG:$BG,0)),0)</f>
        <v>0</v>
      </c>
      <c r="K78" s="1442">
        <f>IFERROR(INDEX('Base ETESA'!BE:BE,MATCH($A78,'Base ETESA'!$BG:$BG,0)),0)</f>
        <v>98935.459999999963</v>
      </c>
      <c r="L78" s="1442">
        <f t="shared" si="8"/>
        <v>98935.679911124898</v>
      </c>
      <c r="M78" s="1448" t="s">
        <v>1713</v>
      </c>
    </row>
    <row r="79" spans="1:13" x14ac:dyDescent="0.25">
      <c r="F79" s="1439"/>
      <c r="G79" s="1439"/>
      <c r="H79" s="1442"/>
      <c r="I79" s="1442"/>
      <c r="J79" s="1442"/>
      <c r="K79" s="1442"/>
      <c r="L79" s="1442"/>
    </row>
    <row r="80" spans="1:13" x14ac:dyDescent="0.25">
      <c r="A80" s="928" t="s">
        <v>1017</v>
      </c>
      <c r="B80" s="1446"/>
      <c r="C80" s="946">
        <f>SUBTOTAL(9,C81:C86)</f>
        <v>43352519</v>
      </c>
      <c r="D80" s="946">
        <f>SUBTOTAL(9,D81:D86)</f>
        <v>49350234.710000113</v>
      </c>
      <c r="F80" s="1439"/>
      <c r="G80" s="1439"/>
      <c r="H80" s="1442"/>
      <c r="I80" s="1442"/>
      <c r="J80" s="1442"/>
      <c r="K80" s="1442"/>
      <c r="L80" s="1442"/>
    </row>
    <row r="81" spans="1:17" x14ac:dyDescent="0.25">
      <c r="A81" s="930" t="s">
        <v>1018</v>
      </c>
      <c r="B81" s="1449" t="s">
        <v>442</v>
      </c>
      <c r="C81" s="899">
        <f>'Base ETESA'!AE80</f>
        <v>6932616</v>
      </c>
      <c r="D81" s="899">
        <f>'Base ETESA'!BH80</f>
        <v>9046285.3700000308</v>
      </c>
      <c r="E81" s="1443">
        <f t="shared" ref="E81:E86" si="9">IFERROR((D81-C81)/C81,"")</f>
        <v>0.30488770328545978</v>
      </c>
      <c r="F81" s="1439" t="str">
        <f t="shared" ref="F81:F86" si="10">IFERROR(IF(ABS(E81)&lt;=$F$1,"sí","no"),"no")</f>
        <v>no</v>
      </c>
      <c r="G81" s="1439"/>
      <c r="H81" s="1442">
        <f>IFERROR(INDEX('Base ETESA'!AJ:AJ,MATCH($A81,'Base ETESA'!$BG:$BG,0)),0)</f>
        <v>4.000003170222044E-2</v>
      </c>
      <c r="I81" s="1442">
        <f>IFERROR(INDEX('Base ETESA'!AQ:AQ,MATCH($A81,'Base ETESA'!$BG:$BG,0)),0)</f>
        <v>-45543.480000000447</v>
      </c>
      <c r="J81" s="1442">
        <f>IFERROR(INDEX('Base ETESA'!AX:AX,MATCH($A81,'Base ETESA'!$BG:$BG,0)),0)</f>
        <v>0</v>
      </c>
      <c r="K81" s="1442">
        <f>IFERROR(INDEX('Base ETESA'!BE:BE,MATCH($A81,'Base ETESA'!$BG:$BG,0)),0)</f>
        <v>2159212.8099999996</v>
      </c>
      <c r="L81" s="1442">
        <f t="shared" ref="L81:L86" si="11">+SUMPRODUCT(H81:K81,$H$4:$K$4)</f>
        <v>2115358.254880595</v>
      </c>
      <c r="M81" s="1455" t="s">
        <v>1715</v>
      </c>
    </row>
    <row r="82" spans="1:17" x14ac:dyDescent="0.25">
      <c r="A82" s="930" t="s">
        <v>1019</v>
      </c>
      <c r="B82" s="1449" t="s">
        <v>444</v>
      </c>
      <c r="C82" s="899">
        <f>'Base ETESA'!AE81</f>
        <v>7595397</v>
      </c>
      <c r="D82" s="899">
        <f>'Base ETESA'!BH81</f>
        <v>8176699.360000005</v>
      </c>
      <c r="E82" s="1443">
        <f t="shared" si="9"/>
        <v>7.6533505753551126E-2</v>
      </c>
      <c r="F82" s="1439" t="str">
        <f t="shared" si="10"/>
        <v>no</v>
      </c>
      <c r="G82" s="1439"/>
      <c r="H82" s="1442">
        <f>IFERROR(INDEX('Base ETESA'!AJ:AJ,MATCH($A82,'Base ETESA'!$BG:$BG,0)),0)</f>
        <v>-41014.079999996349</v>
      </c>
      <c r="I82" s="1442">
        <f>IFERROR(INDEX('Base ETESA'!AQ:AQ,MATCH($A82,'Base ETESA'!$BG:$BG,0)),0)</f>
        <v>0</v>
      </c>
      <c r="J82" s="1442">
        <f>IFERROR(INDEX('Base ETESA'!AX:AX,MATCH($A82,'Base ETESA'!$BG:$BG,0)),0)</f>
        <v>0</v>
      </c>
      <c r="K82" s="1442">
        <f>IFERROR(INDEX('Base ETESA'!BE:BE,MATCH($A82,'Base ETESA'!$BG:$BG,0)),0)</f>
        <v>622316.44000000134</v>
      </c>
      <c r="L82" s="1442">
        <f t="shared" si="11"/>
        <v>584735.38756200054</v>
      </c>
      <c r="M82" s="1455" t="s">
        <v>1716</v>
      </c>
    </row>
    <row r="83" spans="1:17" x14ac:dyDescent="0.25">
      <c r="A83" s="930" t="s">
        <v>1020</v>
      </c>
      <c r="B83" s="1449" t="s">
        <v>437</v>
      </c>
      <c r="C83" s="899">
        <f>'Base ETESA'!AE82</f>
        <v>490791</v>
      </c>
      <c r="D83" s="899">
        <f>'Base ETESA'!BH82</f>
        <v>490791.08</v>
      </c>
      <c r="E83" s="1443">
        <f t="shared" si="9"/>
        <v>1.6300217407470419E-7</v>
      </c>
      <c r="F83" s="1439" t="str">
        <f t="shared" si="10"/>
        <v>sí</v>
      </c>
      <c r="G83" s="1439"/>
      <c r="H83" s="1442">
        <f>IFERROR(INDEX('Base ETESA'!AJ:AJ,MATCH($A83,'Base ETESA'!$BG:$BG,0)),0)</f>
        <v>8.0000000016298145E-2</v>
      </c>
      <c r="I83" s="1442">
        <f>IFERROR(INDEX('Base ETESA'!AQ:AQ,MATCH($A83,'Base ETESA'!$BG:$BG,0)),0)</f>
        <v>0</v>
      </c>
      <c r="J83" s="1442">
        <f>IFERROR(INDEX('Base ETESA'!AX:AX,MATCH($A83,'Base ETESA'!$BG:$BG,0)),0)</f>
        <v>0</v>
      </c>
      <c r="K83" s="1442">
        <f>IFERROR(INDEX('Base ETESA'!BE:BE,MATCH($A83,'Base ETESA'!$BG:$BG,0)),0)</f>
        <v>0</v>
      </c>
      <c r="L83" s="1442">
        <f t="shared" si="11"/>
        <v>7.3303709254305724E-2</v>
      </c>
      <c r="M83" s="1455" t="s">
        <v>1715</v>
      </c>
    </row>
    <row r="84" spans="1:17" x14ac:dyDescent="0.25">
      <c r="A84" s="930" t="s">
        <v>1021</v>
      </c>
      <c r="B84" s="1449" t="s">
        <v>431</v>
      </c>
      <c r="C84" s="899">
        <f>'Base ETESA'!AE83</f>
        <v>6687076</v>
      </c>
      <c r="D84" s="899">
        <f>'Base ETESA'!BH83</f>
        <v>9897459.7600000501</v>
      </c>
      <c r="E84" s="1443">
        <f t="shared" si="9"/>
        <v>0.48008782313825205</v>
      </c>
      <c r="F84" s="1439" t="str">
        <f t="shared" si="10"/>
        <v>no</v>
      </c>
      <c r="G84" s="1439"/>
      <c r="H84" s="1442">
        <f>IFERROR(INDEX('Base ETESA'!AJ:AJ,MATCH($A84,'Base ETESA'!$BG:$BG,0)),0)</f>
        <v>362157.31000004895</v>
      </c>
      <c r="I84" s="1442">
        <f>IFERROR(INDEX('Base ETESA'!AQ:AQ,MATCH($A84,'Base ETESA'!$BG:$BG,0)),0)</f>
        <v>1632456.6000000015</v>
      </c>
      <c r="J84" s="1442">
        <f>IFERROR(INDEX('Base ETESA'!AX:AX,MATCH($A84,'Base ETESA'!$BG:$BG,0)),0)</f>
        <v>154871.46999999881</v>
      </c>
      <c r="K84" s="1442">
        <f>IFERROR(INDEX('Base ETESA'!BE:BE,MATCH($A84,'Base ETESA'!$BG:$BG,0)),0)</f>
        <v>1060898.3800000008</v>
      </c>
      <c r="L84" s="1442">
        <f t="shared" si="11"/>
        <v>3115373.6549669299</v>
      </c>
      <c r="M84" s="1455" t="s">
        <v>1715</v>
      </c>
    </row>
    <row r="85" spans="1:17" x14ac:dyDescent="0.25">
      <c r="A85" s="930" t="s">
        <v>1022</v>
      </c>
      <c r="B85" s="1449" t="s">
        <v>430</v>
      </c>
      <c r="C85" s="899">
        <f>'Base ETESA'!AE84</f>
        <v>14532011</v>
      </c>
      <c r="D85" s="899">
        <f>'Base ETESA'!BH84</f>
        <v>14532011.140000032</v>
      </c>
      <c r="E85" s="1443">
        <f t="shared" si="9"/>
        <v>9.6339062956265294E-9</v>
      </c>
      <c r="F85" s="1439" t="str">
        <f t="shared" si="10"/>
        <v>sí</v>
      </c>
      <c r="G85" s="1439"/>
      <c r="H85" s="1442">
        <f>IFERROR(INDEX('Base ETESA'!AJ:AJ,MATCH($A85,'Base ETESA'!$BG:$BG,0)),0)</f>
        <v>0.14000003226101398</v>
      </c>
      <c r="I85" s="1442">
        <f>IFERROR(INDEX('Base ETESA'!AQ:AQ,MATCH($A85,'Base ETESA'!$BG:$BG,0)),0)</f>
        <v>0</v>
      </c>
      <c r="J85" s="1442">
        <f>IFERROR(INDEX('Base ETESA'!AX:AX,MATCH($A85,'Base ETESA'!$BG:$BG,0)),0)</f>
        <v>0</v>
      </c>
      <c r="K85" s="1442">
        <f>IFERROR(INDEX('Base ETESA'!BE:BE,MATCH($A85,'Base ETESA'!$BG:$BG,0)),0)</f>
        <v>0</v>
      </c>
      <c r="L85" s="1442">
        <f t="shared" si="11"/>
        <v>0.12828152072955049</v>
      </c>
      <c r="M85" s="1455" t="s">
        <v>1715</v>
      </c>
    </row>
    <row r="86" spans="1:17" x14ac:dyDescent="0.25">
      <c r="A86" s="930" t="s">
        <v>1024</v>
      </c>
      <c r="B86" s="1449" t="s">
        <v>443</v>
      </c>
      <c r="C86" s="899">
        <f>'Base ETESA'!AE85</f>
        <v>7114628</v>
      </c>
      <c r="D86" s="899">
        <f>'Base ETESA'!BH85</f>
        <v>7206987.9999999972</v>
      </c>
      <c r="E86" s="1443">
        <f t="shared" si="9"/>
        <v>1.2981704735651281E-2</v>
      </c>
      <c r="F86" s="1439" t="str">
        <f t="shared" si="10"/>
        <v>sí</v>
      </c>
      <c r="G86" s="1439"/>
      <c r="H86" s="1442">
        <f>IFERROR(INDEX('Base ETESA'!AJ:AJ,MATCH($A86,'Base ETESA'!$BG:$BG,0)),0)</f>
        <v>0.13999999687075615</v>
      </c>
      <c r="I86" s="1442">
        <f>IFERROR(INDEX('Base ETESA'!AQ:AQ,MATCH($A86,'Base ETESA'!$BG:$BG,0)),0)</f>
        <v>0</v>
      </c>
      <c r="J86" s="1442">
        <f>IFERROR(INDEX('Base ETESA'!AX:AX,MATCH($A86,'Base ETESA'!$BG:$BG,0)),0)</f>
        <v>0</v>
      </c>
      <c r="K86" s="1442">
        <f>IFERROR(INDEX('Base ETESA'!BE:BE,MATCH($A86,'Base ETESA'!$BG:$BG,0)),0)</f>
        <v>92359.860000000335</v>
      </c>
      <c r="L86" s="1442">
        <f t="shared" si="11"/>
        <v>92359.988281488637</v>
      </c>
      <c r="M86" s="1455" t="s">
        <v>1715</v>
      </c>
    </row>
    <row r="87" spans="1:17" x14ac:dyDescent="0.25">
      <c r="F87" s="1439"/>
      <c r="G87" s="1439"/>
      <c r="H87" s="1439"/>
      <c r="I87" s="1439"/>
      <c r="J87" s="1439"/>
      <c r="K87" s="1439"/>
      <c r="L87" s="1442"/>
    </row>
    <row r="88" spans="1:17" x14ac:dyDescent="0.25">
      <c r="F88" s="1439"/>
      <c r="G88" s="1439"/>
      <c r="H88" s="1439"/>
      <c r="I88" s="1439"/>
      <c r="J88" s="1439"/>
      <c r="K88" s="1439"/>
      <c r="L88" s="1442"/>
    </row>
    <row r="89" spans="1:17" x14ac:dyDescent="0.25">
      <c r="A89" s="936" t="s">
        <v>31</v>
      </c>
      <c r="B89" s="1454"/>
      <c r="F89" s="1439"/>
      <c r="G89" s="1439"/>
      <c r="H89" s="1439"/>
      <c r="I89" s="1439"/>
      <c r="J89" s="1439"/>
      <c r="K89" s="1439"/>
      <c r="L89" s="1442"/>
    </row>
    <row r="90" spans="1:17" x14ac:dyDescent="0.25">
      <c r="A90" s="1453" t="s">
        <v>1191</v>
      </c>
      <c r="B90" s="1447"/>
      <c r="C90" s="910">
        <f>SUBTOTAL(9,C91:C162)</f>
        <v>33684180</v>
      </c>
      <c r="D90" s="910">
        <f>SUBTOTAL(9,D91:D114)</f>
        <v>42926348.359999992</v>
      </c>
      <c r="F90" s="1439"/>
      <c r="G90" s="1439"/>
      <c r="H90" s="1439"/>
      <c r="I90" s="1439"/>
      <c r="J90" s="1439"/>
      <c r="K90" s="1439"/>
      <c r="L90" s="1442"/>
    </row>
    <row r="91" spans="1:17" x14ac:dyDescent="0.25">
      <c r="A91" s="937" t="s">
        <v>934</v>
      </c>
      <c r="B91" s="1451"/>
      <c r="C91" s="946">
        <f>SUBTOTAL(9,C92:C107)</f>
        <v>30484017</v>
      </c>
      <c r="D91" s="946">
        <f>SUBTOTAL(9,D92:D107)</f>
        <v>39542733.899999999</v>
      </c>
      <c r="F91" s="1439"/>
      <c r="G91" s="1439"/>
      <c r="H91" s="1439"/>
      <c r="I91" s="1439"/>
      <c r="J91" s="1439"/>
      <c r="K91" s="1439"/>
      <c r="L91" s="1442"/>
    </row>
    <row r="92" spans="1:17" x14ac:dyDescent="0.25">
      <c r="A92" s="939" t="s">
        <v>941</v>
      </c>
      <c r="B92" s="1451"/>
      <c r="C92" s="946">
        <f>SUBTOTAL(9,C93:C96)</f>
        <v>12261841</v>
      </c>
      <c r="D92" s="946">
        <f>SUBTOTAL(9,D93:D96)</f>
        <v>17910015</v>
      </c>
      <c r="F92" s="1439"/>
      <c r="G92" s="1439"/>
      <c r="H92" s="1439"/>
      <c r="I92" s="1439"/>
      <c r="J92" s="1439"/>
      <c r="K92" s="1439"/>
      <c r="L92" s="1442"/>
    </row>
    <row r="93" spans="1:17" x14ac:dyDescent="0.25">
      <c r="A93" s="915" t="s">
        <v>942</v>
      </c>
      <c r="B93" s="1452" t="s">
        <v>434</v>
      </c>
      <c r="C93" s="899">
        <f>'Base ETESA'!AE91</f>
        <v>5375314</v>
      </c>
      <c r="D93" s="899">
        <f>'Base ETESA'!BH91</f>
        <v>5375314.25</v>
      </c>
      <c r="E93" s="1443">
        <f>IFERROR((D93-C93)/C93,"")</f>
        <v>4.6508910921296879E-8</v>
      </c>
      <c r="F93" s="1439" t="str">
        <f>IFERROR(IF(ABS(E93)&lt;=$F$1,"sí","no"),"no")</f>
        <v>sí</v>
      </c>
      <c r="G93" s="1439"/>
      <c r="H93" s="1442">
        <f>IFERROR(INDEX('Base ETESA'!AJ88:AJ114,MATCH($A93,'Base ETESA'!$BG88:$BG114,0)),0)</f>
        <v>0.25</v>
      </c>
      <c r="I93" s="1442">
        <f>IFERROR(INDEX('Base ETESA'!AQ88:AQ114,MATCH($A93,'Base ETESA'!$BG88:$BG114,0)),0)</f>
        <v>0</v>
      </c>
      <c r="J93" s="1442">
        <f>IFERROR(INDEX('Base ETESA'!AX88:AX114,MATCH($A93,'Base ETESA'!$BG88:$BG114,0)),0)</f>
        <v>0</v>
      </c>
      <c r="K93" s="1442">
        <f>IFERROR(INDEX('Base ETESA'!BE88:BE114,MATCH($A93,'Base ETESA'!$BG88:$BG114,0)),0)</f>
        <v>0</v>
      </c>
      <c r="L93" s="1442">
        <f>+SUMPRODUCT(H93:K93,$H$4:$K$4)</f>
        <v>0.22907409137303683</v>
      </c>
      <c r="M93" s="1442"/>
      <c r="N93" s="1441"/>
    </row>
    <row r="94" spans="1:17" x14ac:dyDescent="0.25">
      <c r="A94" s="915" t="s">
        <v>944</v>
      </c>
      <c r="B94" s="1440" t="s">
        <v>432</v>
      </c>
      <c r="C94" s="899">
        <f>'Base ETESA'!AE92</f>
        <v>5575414</v>
      </c>
      <c r="D94" s="899">
        <f>'Base ETESA'!BH92</f>
        <v>5575413.6900000004</v>
      </c>
      <c r="E94" s="1443">
        <f>IFERROR((D94-C94)/C94,"")</f>
        <v>-5.5601252138445335E-8</v>
      </c>
      <c r="F94" s="1439" t="str">
        <f>IFERROR(IF(ABS(E94)&lt;=$F$1,"sí","no"),"no")</f>
        <v>sí</v>
      </c>
      <c r="G94" s="1439"/>
      <c r="H94" s="1442">
        <f>IFERROR(INDEX('Base ETESA'!AJ89:AJ115,MATCH($A94,'Base ETESA'!$BG89:$BG115,0)),0)</f>
        <v>-0.30999999959021807</v>
      </c>
      <c r="I94" s="1442">
        <f>IFERROR(INDEX('Base ETESA'!AQ89:AQ115,MATCH($A94,'Base ETESA'!$BG89:$BG115,0)),0)</f>
        <v>0</v>
      </c>
      <c r="J94" s="1442">
        <f>IFERROR(INDEX('Base ETESA'!AX89:AX115,MATCH($A94,'Base ETESA'!$BG89:$BG115,0)),0)</f>
        <v>0</v>
      </c>
      <c r="K94" s="1442">
        <f>IFERROR(INDEX('Base ETESA'!BE89:BE115,MATCH($A94,'Base ETESA'!$BG89:$BG115,0)),0)</f>
        <v>0</v>
      </c>
      <c r="L94" s="1442">
        <f>+SUMPRODUCT(H94:K94,$H$4:$K$4)</f>
        <v>-0.28405187292708395</v>
      </c>
      <c r="M94" s="1442"/>
      <c r="N94" s="1441"/>
    </row>
    <row r="95" spans="1:17" x14ac:dyDescent="0.25">
      <c r="A95" s="930" t="s">
        <v>1000</v>
      </c>
      <c r="B95" s="1444" t="s">
        <v>432</v>
      </c>
      <c r="C95" s="899">
        <f>'Base ETESA'!AE93</f>
        <v>0</v>
      </c>
      <c r="D95" s="899">
        <f>'Base ETESA'!BH93</f>
        <v>5648173.8099999996</v>
      </c>
      <c r="E95" s="1443" t="str">
        <f>IFERROR((D95-C95)/C95,"")</f>
        <v/>
      </c>
      <c r="F95" s="1439" t="str">
        <f>IFERROR(IF(ABS(E95)&lt;=$F$1,"sí","no"),"no")</f>
        <v>no</v>
      </c>
      <c r="G95" s="1439"/>
      <c r="H95" s="1442">
        <f>IFERROR(INDEX('Base ETESA'!AJ90:AJ116,MATCH($A95,'Base ETESA'!$BG90:$BG116,0)),0)</f>
        <v>4328315.6100000013</v>
      </c>
      <c r="I95" s="1442">
        <f>IFERROR(INDEX('Base ETESA'!AQ90:AQ116,MATCH($A95,'Base ETESA'!$BG90:$BG116,0)),0)</f>
        <v>0</v>
      </c>
      <c r="J95" s="1442">
        <f>IFERROR(INDEX('Base ETESA'!AX90:AX116,MATCH($A95,'Base ETESA'!$BG90:$BG116,0)),0)</f>
        <v>1319858.1999999983</v>
      </c>
      <c r="K95" s="1442">
        <f>IFERROR(INDEX('Base ETESA'!BE90:BE116,MATCH($A95,'Base ETESA'!$BG90:$BG116,0)),0)</f>
        <v>0</v>
      </c>
      <c r="L95" s="1442">
        <f>+SUMPRODUCT(H95:K95,$H$4:$K$4)</f>
        <v>5250426.5934672132</v>
      </c>
      <c r="M95" s="1448" t="s">
        <v>1713</v>
      </c>
      <c r="N95" s="1441"/>
      <c r="Q95" s="1439"/>
    </row>
    <row r="96" spans="1:17" x14ac:dyDescent="0.25">
      <c r="A96" s="941" t="s">
        <v>1207</v>
      </c>
      <c r="B96" s="1440" t="s">
        <v>432</v>
      </c>
      <c r="C96" s="899">
        <f>'Base ETESA'!AE94</f>
        <v>1311113</v>
      </c>
      <c r="D96" s="899">
        <f>'Base ETESA'!BH94</f>
        <v>1311113.25</v>
      </c>
      <c r="E96" s="1443">
        <f>IFERROR((D96-C96)/C96,"")</f>
        <v>1.9067769139654628E-7</v>
      </c>
      <c r="F96" s="1439" t="str">
        <f>IFERROR(IF(ABS(E96)&lt;=$F$1,"sí","no"),"no")</f>
        <v>sí</v>
      </c>
      <c r="G96" s="1439"/>
      <c r="H96" s="1442">
        <f>IFERROR(INDEX('Base ETESA'!AJ91:AJ117,MATCH($A96,'Base ETESA'!$BG91:$BG117,0)),0)</f>
        <v>0.25</v>
      </c>
      <c r="I96" s="1442">
        <f>IFERROR(INDEX('Base ETESA'!AQ91:AQ117,MATCH($A96,'Base ETESA'!$BG91:$BG117,0)),0)</f>
        <v>0</v>
      </c>
      <c r="J96" s="1442">
        <f>IFERROR(INDEX('Base ETESA'!AX91:AX117,MATCH($A96,'Base ETESA'!$BG91:$BG117,0)),0)</f>
        <v>0</v>
      </c>
      <c r="K96" s="1442">
        <f>IFERROR(INDEX('Base ETESA'!BE91:BE117,MATCH($A96,'Base ETESA'!$BG91:$BG117,0)),0)</f>
        <v>0</v>
      </c>
      <c r="L96" s="1442">
        <f>+SUMPRODUCT(H96:K96,$H$4:$K$4)</f>
        <v>0.22907409137303683</v>
      </c>
      <c r="M96" s="1442"/>
      <c r="N96" s="1441"/>
      <c r="Q96" s="1439"/>
    </row>
    <row r="97" spans="1:17" x14ac:dyDescent="0.25">
      <c r="A97" s="939" t="s">
        <v>196</v>
      </c>
      <c r="B97" s="1451"/>
      <c r="C97" s="946">
        <f>SUBTOTAL(9,C98:C100)</f>
        <v>6958365</v>
      </c>
      <c r="D97" s="946">
        <f>SUBTOTAL(9,D98:D100)</f>
        <v>6684838.9899999965</v>
      </c>
      <c r="F97" s="1439"/>
      <c r="G97" s="1439"/>
      <c r="H97" s="1442"/>
      <c r="I97" s="1442"/>
      <c r="J97" s="1442"/>
      <c r="K97" s="1442"/>
      <c r="L97" s="1442"/>
      <c r="M97" s="1442"/>
      <c r="N97" s="1441"/>
      <c r="Q97" s="1439"/>
    </row>
    <row r="98" spans="1:17" x14ac:dyDescent="0.25">
      <c r="A98" s="930" t="s">
        <v>946</v>
      </c>
      <c r="B98" s="1449" t="s">
        <v>450</v>
      </c>
      <c r="C98" s="899">
        <f>'Base ETESA'!AE96</f>
        <v>1366157</v>
      </c>
      <c r="D98" s="899">
        <f>'Base ETESA'!BH96</f>
        <v>1338694.1900000004</v>
      </c>
      <c r="E98" s="1443">
        <f>IFERROR((D98-C98)/C98,"")</f>
        <v>-2.0102235687406052E-2</v>
      </c>
      <c r="F98" s="1439" t="str">
        <f>IFERROR(IF(ABS(E98)&lt;=$F$1,"sí","no"),"no")</f>
        <v>no</v>
      </c>
      <c r="G98" s="1439"/>
      <c r="H98" s="1442">
        <f>IFERROR(INDEX('Base ETESA'!AJ93:AJ119,MATCH($A98,'Base ETESA'!$BG93:$BG119,0)),0)</f>
        <v>-27462.80999999959</v>
      </c>
      <c r="I98" s="1442">
        <f>IFERROR(INDEX('Base ETESA'!AQ93:AQ119,MATCH($A98,'Base ETESA'!$BG93:$BG119,0)),0)</f>
        <v>0</v>
      </c>
      <c r="J98" s="1442">
        <f>IFERROR(INDEX('Base ETESA'!AX93:AX119,MATCH($A98,'Base ETESA'!$BG93:$BG119,0)),0)</f>
        <v>0</v>
      </c>
      <c r="K98" s="1442">
        <f>IFERROR(INDEX('Base ETESA'!BE93:BE119,MATCH($A98,'Base ETESA'!$BG93:$BG119,0)),0)</f>
        <v>0</v>
      </c>
      <c r="L98" s="1442">
        <f>+SUMPRODUCT(H98:K98,$H$4:$K$4)</f>
        <v>-25164.072989201024</v>
      </c>
      <c r="M98" s="1448" t="s">
        <v>1713</v>
      </c>
      <c r="N98" s="1441"/>
      <c r="Q98" s="1439"/>
    </row>
    <row r="99" spans="1:17" x14ac:dyDescent="0.25">
      <c r="A99" s="930" t="s">
        <v>947</v>
      </c>
      <c r="B99" s="1444" t="s">
        <v>434</v>
      </c>
      <c r="C99" s="899">
        <f>'Base ETESA'!AE97</f>
        <v>4622687</v>
      </c>
      <c r="D99" s="899">
        <f>'Base ETESA'!BH97</f>
        <v>4376623.429999996</v>
      </c>
      <c r="E99" s="1443">
        <f>IFERROR((D99-C99)/C99,"")</f>
        <v>-5.3229554585894311E-2</v>
      </c>
      <c r="F99" s="1439" t="str">
        <f>IFERROR(IF(ABS(E99)&lt;=$F$1,"sí","no"),"no")</f>
        <v>no</v>
      </c>
      <c r="G99" s="1439"/>
      <c r="H99" s="1442">
        <f>IFERROR(INDEX('Base ETESA'!AJ94:AJ120,MATCH($A99,'Base ETESA'!$BG94:$BG120,0)),0)</f>
        <v>-246063.57000000402</v>
      </c>
      <c r="I99" s="1442">
        <f>IFERROR(INDEX('Base ETESA'!AQ94:AQ120,MATCH($A99,'Base ETESA'!$BG94:$BG120,0)),0)</f>
        <v>0</v>
      </c>
      <c r="J99" s="1442">
        <f>IFERROR(INDEX('Base ETESA'!AX94:AX120,MATCH($A99,'Base ETESA'!$BG94:$BG120,0)),0)</f>
        <v>0</v>
      </c>
      <c r="K99" s="1442">
        <f>IFERROR(INDEX('Base ETESA'!BE94:BE120,MATCH($A99,'Base ETESA'!$BG94:$BG120,0)),0)</f>
        <v>0</v>
      </c>
      <c r="L99" s="1442">
        <f>+SUMPRODUCT(H99:K99,$H$4:$K$4)</f>
        <v>-225467.15487102626</v>
      </c>
      <c r="M99" s="1448" t="s">
        <v>1713</v>
      </c>
      <c r="N99" s="1441"/>
      <c r="Q99" s="1439"/>
    </row>
    <row r="100" spans="1:17" x14ac:dyDescent="0.25">
      <c r="A100" s="930" t="s">
        <v>948</v>
      </c>
      <c r="B100" s="1449" t="s">
        <v>438</v>
      </c>
      <c r="C100" s="899">
        <f>'Base ETESA'!AE98</f>
        <v>969521</v>
      </c>
      <c r="D100" s="899">
        <f>'Base ETESA'!BH98</f>
        <v>969521.36999999988</v>
      </c>
      <c r="E100" s="1443">
        <f>IFERROR((D100-C100)/C100,"")</f>
        <v>3.8163175411252369E-7</v>
      </c>
      <c r="F100" s="1439" t="str">
        <f>IFERROR(IF(ABS(E100)&lt;=$F$1,"sí","no"),"no")</f>
        <v>sí</v>
      </c>
      <c r="G100" s="1439"/>
      <c r="H100" s="1442">
        <f>IFERROR(INDEX('Base ETESA'!AJ95:AJ121,MATCH($A100,'Base ETESA'!$BG95:$BG121,0)),0)</f>
        <v>0.36999999987892807</v>
      </c>
      <c r="I100" s="1442">
        <f>IFERROR(INDEX('Base ETESA'!AQ95:AQ121,MATCH($A100,'Base ETESA'!$BG95:$BG121,0)),0)</f>
        <v>0</v>
      </c>
      <c r="J100" s="1442">
        <f>IFERROR(INDEX('Base ETESA'!AX95:AX121,MATCH($A100,'Base ETESA'!$BG95:$BG121,0)),0)</f>
        <v>0</v>
      </c>
      <c r="K100" s="1442">
        <f>IFERROR(INDEX('Base ETESA'!BE95:BE121,MATCH($A100,'Base ETESA'!$BG95:$BG121,0)),0)</f>
        <v>0</v>
      </c>
      <c r="L100" s="1442">
        <f>+SUMPRODUCT(H100:K100,$H$4:$K$4)</f>
        <v>0.33902965512115674</v>
      </c>
      <c r="M100" s="1448" t="s">
        <v>1713</v>
      </c>
      <c r="N100" s="1441"/>
      <c r="Q100" s="1439"/>
    </row>
    <row r="101" spans="1:17" x14ac:dyDescent="0.25">
      <c r="A101" s="928" t="s">
        <v>949</v>
      </c>
      <c r="B101" s="1444"/>
      <c r="C101" s="946">
        <f>SUBTOTAL(9,C102:C107)</f>
        <v>11263811</v>
      </c>
      <c r="D101" s="946">
        <f>SUBTOTAL(9,D102:D107)</f>
        <v>14947879.91</v>
      </c>
      <c r="F101" s="1439"/>
      <c r="G101" s="1439"/>
      <c r="H101" s="1442"/>
      <c r="I101" s="1442"/>
      <c r="J101" s="1442"/>
      <c r="K101" s="1442"/>
      <c r="L101" s="1442"/>
      <c r="M101" s="1442"/>
      <c r="N101" s="1441"/>
      <c r="Q101" s="1439"/>
    </row>
    <row r="102" spans="1:17" x14ac:dyDescent="0.25">
      <c r="A102" s="930" t="s">
        <v>950</v>
      </c>
      <c r="B102" s="1450" t="s">
        <v>1714</v>
      </c>
      <c r="C102" s="899">
        <f>'Base ETESA'!AE100</f>
        <v>266716</v>
      </c>
      <c r="D102" s="899">
        <f>'Base ETESA'!BH100</f>
        <v>266716.19</v>
      </c>
      <c r="E102" s="1443">
        <f t="shared" ref="E102:E107" si="12">IFERROR((D102-C102)/C102,"")</f>
        <v>7.123682118895316E-7</v>
      </c>
      <c r="F102" s="1439" t="str">
        <f t="shared" ref="F102:F107" si="13">IFERROR(IF(ABS(E102)&lt;=$F$1,"sí","no"),"no")</f>
        <v>sí</v>
      </c>
      <c r="G102" s="1439"/>
      <c r="H102" s="1442">
        <f>IFERROR(INDEX('Base ETESA'!AJ97:AJ123,MATCH($A102,'Base ETESA'!$BG97:$BG123,0)),0)</f>
        <v>0.19000000000232831</v>
      </c>
      <c r="I102" s="1442">
        <f>IFERROR(INDEX('Base ETESA'!AQ97:AQ123,MATCH($A102,'Base ETESA'!$BG97:$BG123,0)),0)</f>
        <v>0</v>
      </c>
      <c r="J102" s="1442">
        <f>IFERROR(INDEX('Base ETESA'!AX97:AX123,MATCH($A102,'Base ETESA'!$BG97:$BG123,0)),0)</f>
        <v>0</v>
      </c>
      <c r="K102" s="1442">
        <f>IFERROR(INDEX('Base ETESA'!BE97:BE123,MATCH($A102,'Base ETESA'!$BG97:$BG123,0)),0)</f>
        <v>0</v>
      </c>
      <c r="L102" s="1442">
        <f t="shared" ref="L102:L107" si="14">+SUMPRODUCT(H102:K102,$H$4:$K$4)</f>
        <v>0.17409630944564142</v>
      </c>
      <c r="M102" s="1442"/>
      <c r="N102" s="1441"/>
      <c r="Q102" s="1439"/>
    </row>
    <row r="103" spans="1:17" x14ac:dyDescent="0.25">
      <c r="A103" s="930" t="s">
        <v>952</v>
      </c>
      <c r="B103" s="1449" t="s">
        <v>441</v>
      </c>
      <c r="C103" s="899">
        <f>'Base ETESA'!AE101</f>
        <v>904919</v>
      </c>
      <c r="D103" s="899">
        <f>'Base ETESA'!BH101</f>
        <v>979052.36</v>
      </c>
      <c r="E103" s="1443">
        <f t="shared" si="12"/>
        <v>8.1922647220358941E-2</v>
      </c>
      <c r="F103" s="1439" t="str">
        <f t="shared" si="13"/>
        <v>no</v>
      </c>
      <c r="G103" s="1439"/>
      <c r="H103" s="1442">
        <f>IFERROR(INDEX('Base ETESA'!AJ98:AJ124,MATCH($A103,'Base ETESA'!$BG98:$BG124,0)),0)</f>
        <v>0.12000000011175871</v>
      </c>
      <c r="I103" s="1442">
        <f>IFERROR(INDEX('Base ETESA'!AQ98:AQ124,MATCH($A103,'Base ETESA'!$BG98:$BG124,0)),0)</f>
        <v>0</v>
      </c>
      <c r="J103" s="1442">
        <f>IFERROR(INDEX('Base ETESA'!AX98:AX124,MATCH($A103,'Base ETESA'!$BG98:$BG124,0)),0)</f>
        <v>0</v>
      </c>
      <c r="K103" s="1442">
        <f>IFERROR(INDEX('Base ETESA'!BE98:BE124,MATCH($A103,'Base ETESA'!$BG98:$BG124,0)),0)</f>
        <v>74133.239999999874</v>
      </c>
      <c r="L103" s="1442">
        <f t="shared" si="14"/>
        <v>74133.349955563841</v>
      </c>
      <c r="M103" s="1448" t="s">
        <v>1713</v>
      </c>
      <c r="N103" s="1441"/>
      <c r="Q103" s="1439"/>
    </row>
    <row r="104" spans="1:17" x14ac:dyDescent="0.25">
      <c r="A104" s="930" t="s">
        <v>951</v>
      </c>
      <c r="B104" s="1449" t="s">
        <v>432</v>
      </c>
      <c r="C104" s="899">
        <f>'Base ETESA'!AE102</f>
        <v>5972644</v>
      </c>
      <c r="D104" s="899">
        <f>'Base ETESA'!BH102</f>
        <v>5982780.2399999993</v>
      </c>
      <c r="E104" s="1443">
        <f t="shared" si="12"/>
        <v>1.6971110282145215E-3</v>
      </c>
      <c r="F104" s="1439" t="str">
        <f t="shared" si="13"/>
        <v>sí</v>
      </c>
      <c r="G104" s="1439"/>
      <c r="H104" s="1442">
        <f>IFERROR(INDEX('Base ETESA'!AJ99:AJ125,MATCH($A104,'Base ETESA'!$BG99:$BG125,0)),0)</f>
        <v>-28063.760000001639</v>
      </c>
      <c r="I104" s="1442">
        <f>IFERROR(INDEX('Base ETESA'!AQ99:AQ125,MATCH($A104,'Base ETESA'!$BG99:$BG125,0)),0)</f>
        <v>0</v>
      </c>
      <c r="J104" s="1442">
        <f>IFERROR(INDEX('Base ETESA'!AX99:AX125,MATCH($A104,'Base ETESA'!$BG99:$BG125,0)),0)</f>
        <v>0</v>
      </c>
      <c r="K104" s="1442">
        <f>IFERROR(INDEX('Base ETESA'!BE99:BE125,MATCH($A104,'Base ETESA'!$BG99:$BG125,0)),0)</f>
        <v>38200.000000000931</v>
      </c>
      <c r="L104" s="1442">
        <f t="shared" si="14"/>
        <v>12485.278709955524</v>
      </c>
      <c r="M104" s="1448" t="s">
        <v>1713</v>
      </c>
      <c r="N104" s="1441"/>
      <c r="Q104" s="1439"/>
    </row>
    <row r="105" spans="1:17" x14ac:dyDescent="0.25">
      <c r="A105" s="930" t="s">
        <v>953</v>
      </c>
      <c r="B105" s="1449" t="s">
        <v>434</v>
      </c>
      <c r="C105" s="899">
        <f>'Base ETESA'!AE103</f>
        <v>899071</v>
      </c>
      <c r="D105" s="899">
        <f>'Base ETESA'!BH103</f>
        <v>4392353.120000001</v>
      </c>
      <c r="E105" s="1443">
        <f t="shared" si="12"/>
        <v>3.8854352103449017</v>
      </c>
      <c r="F105" s="1439" t="str">
        <f t="shared" si="13"/>
        <v>no</v>
      </c>
      <c r="G105" s="1439"/>
      <c r="H105" s="1442">
        <f>IFERROR(INDEX('Base ETESA'!AJ100:AJ126,MATCH($A105,'Base ETESA'!$BG100:$BG126,0)),0)</f>
        <v>-0.49999999965075403</v>
      </c>
      <c r="I105" s="1442">
        <f>IFERROR(INDEX('Base ETESA'!AQ100:AQ126,MATCH($A105,'Base ETESA'!$BG100:$BG126,0)),0)</f>
        <v>2442552.2399999998</v>
      </c>
      <c r="J105" s="1442">
        <f>IFERROR(INDEX('Base ETESA'!AX100:AX126,MATCH($A105,'Base ETESA'!$BG100:$BG126,0)),0)</f>
        <v>677544.60000000102</v>
      </c>
      <c r="K105" s="1442">
        <f>IFERROR(INDEX('Base ETESA'!BE100:BE126,MATCH($A105,'Base ETESA'!$BG100:$BG126,0)),0)</f>
        <v>373185.7799999998</v>
      </c>
      <c r="L105" s="1442">
        <f t="shared" si="14"/>
        <v>3384506.1437639901</v>
      </c>
      <c r="M105" s="1448" t="s">
        <v>1713</v>
      </c>
      <c r="N105" s="1441"/>
      <c r="Q105" s="1439"/>
    </row>
    <row r="106" spans="1:17" x14ac:dyDescent="0.25">
      <c r="A106" s="930" t="s">
        <v>954</v>
      </c>
      <c r="B106" s="1449" t="s">
        <v>437</v>
      </c>
      <c r="C106" s="899">
        <f>'Base ETESA'!AE104</f>
        <v>2165468</v>
      </c>
      <c r="D106" s="899">
        <f>'Base ETESA'!BH104</f>
        <v>2271984.67</v>
      </c>
      <c r="E106" s="1443">
        <f t="shared" si="12"/>
        <v>4.9188752731511125E-2</v>
      </c>
      <c r="F106" s="1439" t="str">
        <f t="shared" si="13"/>
        <v>no</v>
      </c>
      <c r="G106" s="1439"/>
      <c r="H106" s="1442">
        <f>IFERROR(INDEX('Base ETESA'!AJ101:AJ127,MATCH($A106,'Base ETESA'!$BG101:$BG127,0)),0)</f>
        <v>0.31000000005587935</v>
      </c>
      <c r="I106" s="1442">
        <f>IFERROR(INDEX('Base ETESA'!AQ101:AQ127,MATCH($A106,'Base ETESA'!$BG101:$BG127,0)),0)</f>
        <v>0</v>
      </c>
      <c r="J106" s="1442">
        <f>IFERROR(INDEX('Base ETESA'!AX101:AX127,MATCH($A106,'Base ETESA'!$BG101:$BG127,0)),0)</f>
        <v>0</v>
      </c>
      <c r="K106" s="1442">
        <f>IFERROR(INDEX('Base ETESA'!BE101:BE127,MATCH($A106,'Base ETESA'!$BG101:$BG127,0)),0)</f>
        <v>106516.35999999987</v>
      </c>
      <c r="L106" s="1442">
        <f t="shared" si="14"/>
        <v>106516.64405187323</v>
      </c>
      <c r="M106" s="1448" t="s">
        <v>1713</v>
      </c>
      <c r="N106" s="1441"/>
      <c r="Q106" s="1439"/>
    </row>
    <row r="107" spans="1:17" x14ac:dyDescent="0.25">
      <c r="A107" s="930" t="s">
        <v>955</v>
      </c>
      <c r="B107" s="1449" t="s">
        <v>438</v>
      </c>
      <c r="C107" s="899">
        <f>'Base ETESA'!AE105</f>
        <v>1054993</v>
      </c>
      <c r="D107" s="899">
        <f>'Base ETESA'!BH105</f>
        <v>1054993.3299999998</v>
      </c>
      <c r="E107" s="1443">
        <f t="shared" si="12"/>
        <v>3.1279828381958475E-7</v>
      </c>
      <c r="F107" s="1439" t="str">
        <f t="shared" si="13"/>
        <v>sí</v>
      </c>
      <c r="G107" s="1439"/>
      <c r="H107" s="1442">
        <f>IFERROR(INDEX('Base ETESA'!AJ102:AJ128,MATCH($A107,'Base ETESA'!$BG102:$BG128,0)),0)</f>
        <v>0.32999999984167516</v>
      </c>
      <c r="I107" s="1442">
        <f>IFERROR(INDEX('Base ETESA'!AQ102:AQ128,MATCH($A107,'Base ETESA'!$BG102:$BG128,0)),0)</f>
        <v>0</v>
      </c>
      <c r="J107" s="1442">
        <f>IFERROR(INDEX('Base ETESA'!AX102:AX128,MATCH($A107,'Base ETESA'!$BG102:$BG128,0)),0)</f>
        <v>0</v>
      </c>
      <c r="K107" s="1442">
        <f>IFERROR(INDEX('Base ETESA'!BE102:BE128,MATCH($A107,'Base ETESA'!$BG102:$BG128,0)),0)</f>
        <v>0</v>
      </c>
      <c r="L107" s="1442">
        <f t="shared" si="14"/>
        <v>0.30237780046733614</v>
      </c>
      <c r="M107" s="1448" t="s">
        <v>1713</v>
      </c>
      <c r="N107" s="1441"/>
      <c r="Q107" s="1439"/>
    </row>
    <row r="108" spans="1:17" x14ac:dyDescent="0.25">
      <c r="F108" s="1439"/>
      <c r="G108" s="1439"/>
      <c r="H108" s="1439"/>
      <c r="I108" s="1439"/>
      <c r="J108" s="1439"/>
      <c r="K108" s="1439"/>
      <c r="L108" s="1442"/>
      <c r="M108" s="1442"/>
      <c r="N108" s="1441"/>
      <c r="Q108" s="1439"/>
    </row>
    <row r="109" spans="1:17" x14ac:dyDescent="0.25">
      <c r="A109" s="927" t="s">
        <v>935</v>
      </c>
      <c r="B109" s="1447"/>
      <c r="C109" s="946">
        <f>SUBTOTAL(9,C110:C114)</f>
        <v>3200163</v>
      </c>
      <c r="D109" s="946">
        <f>SUBTOTAL(9,D110:D114)</f>
        <v>3383614.4600000018</v>
      </c>
      <c r="F109" s="1439"/>
      <c r="G109" s="1439"/>
      <c r="H109" s="1439"/>
      <c r="I109" s="1439"/>
      <c r="J109" s="1439"/>
      <c r="K109" s="1439"/>
      <c r="L109" s="1442"/>
      <c r="M109" s="1442"/>
      <c r="N109" s="1441"/>
      <c r="Q109" s="1439"/>
    </row>
    <row r="110" spans="1:17" x14ac:dyDescent="0.25">
      <c r="A110" s="928" t="s">
        <v>196</v>
      </c>
      <c r="B110" s="1446"/>
      <c r="C110" s="946">
        <f>SUBTOTAL(9,C111:C114)</f>
        <v>3200163</v>
      </c>
      <c r="D110" s="946">
        <f>SUBTOTAL(9,D111:D114)</f>
        <v>3383614.4600000018</v>
      </c>
      <c r="F110" s="1439"/>
      <c r="G110" s="1439"/>
      <c r="H110" s="1439"/>
      <c r="I110" s="1439"/>
      <c r="J110" s="1439"/>
      <c r="K110" s="1439"/>
      <c r="L110" s="1442"/>
      <c r="M110" s="1442"/>
      <c r="N110" s="1441"/>
      <c r="Q110" s="1439"/>
    </row>
    <row r="111" spans="1:17" x14ac:dyDescent="0.25">
      <c r="A111" s="930" t="s">
        <v>956</v>
      </c>
      <c r="B111" s="1444" t="s">
        <v>421</v>
      </c>
      <c r="C111" s="899">
        <f>'Base ETESA'!AE109</f>
        <v>562710</v>
      </c>
      <c r="D111" s="899">
        <f>'Base ETESA'!BH109</f>
        <v>715784.16</v>
      </c>
      <c r="E111" s="1443">
        <f>IFERROR((D111-C111)/C111,"")</f>
        <v>0.27203028202804291</v>
      </c>
      <c r="F111" s="1439" t="str">
        <f>IFERROR(IF(ABS(E111)&lt;=$F$1,"sí","no"),"no")</f>
        <v>no</v>
      </c>
      <c r="G111" s="1439"/>
      <c r="H111" s="1442">
        <f>IFERROR(INDEX('Base ETESA'!AJ106:AJ132,MATCH($A111,'Base ETESA'!$BG106:$BG132,0)),0)</f>
        <v>153074.16000000003</v>
      </c>
      <c r="I111" s="1442">
        <f>IFERROR(INDEX('Base ETESA'!AQ106:AQ132,MATCH($A111,'Base ETESA'!$BG106:$BG132,0)),0)</f>
        <v>0</v>
      </c>
      <c r="J111" s="1442">
        <f>IFERROR(INDEX('Base ETESA'!AX106:AX132,MATCH($A111,'Base ETESA'!$BG106:$BG132,0)),0)</f>
        <v>0</v>
      </c>
      <c r="K111" s="1442">
        <f>IFERROR(INDEX('Base ETESA'!BE106:BE132,MATCH($A111,'Base ETESA'!$BG106:$BG132,0)),0)</f>
        <v>0</v>
      </c>
      <c r="L111" s="1445">
        <f>+SUMPRODUCT(H111:K111,$H$4:$K$4)</f>
        <v>140261.29645876348</v>
      </c>
      <c r="M111" s="1442"/>
      <c r="N111" s="1441"/>
      <c r="Q111" s="1439"/>
    </row>
    <row r="112" spans="1:17" x14ac:dyDescent="0.25">
      <c r="A112" s="930" t="s">
        <v>957</v>
      </c>
      <c r="B112" s="1444" t="s">
        <v>423</v>
      </c>
      <c r="C112" s="899">
        <f>'Base ETESA'!AE110</f>
        <v>787490</v>
      </c>
      <c r="D112" s="899">
        <f>'Base ETESA'!BH110</f>
        <v>817867.44000000006</v>
      </c>
      <c r="E112" s="1443">
        <f>IFERROR((D112-C112)/C112,"")</f>
        <v>3.8575016825610563E-2</v>
      </c>
      <c r="F112" s="1439" t="str">
        <f>IFERROR(IF(ABS(E112)&lt;=$F$1,"sí","no"),"no")</f>
        <v>no</v>
      </c>
      <c r="G112" s="1439"/>
      <c r="H112" s="1442">
        <f>IFERROR(INDEX('Base ETESA'!AJ107:AJ133,MATCH($A112,'Base ETESA'!$BG107:$BG133,0)),0)</f>
        <v>30377.440000000061</v>
      </c>
      <c r="I112" s="1442">
        <f>IFERROR(INDEX('Base ETESA'!AQ107:AQ133,MATCH($A112,'Base ETESA'!$BG107:$BG133,0)),0)</f>
        <v>0</v>
      </c>
      <c r="J112" s="1442">
        <f>IFERROR(INDEX('Base ETESA'!AX107:AX133,MATCH($A112,'Base ETESA'!$BG107:$BG133,0)),0)</f>
        <v>0</v>
      </c>
      <c r="K112" s="1442">
        <f>IFERROR(INDEX('Base ETESA'!BE107:BE133,MATCH($A112,'Base ETESA'!$BG107:$BG133,0)),0)</f>
        <v>0</v>
      </c>
      <c r="L112" s="1445">
        <f>+SUMPRODUCT(H112:K112,$H$4:$K$4)</f>
        <v>27834.73786495583</v>
      </c>
      <c r="M112" s="1442"/>
      <c r="N112" s="1441"/>
      <c r="Q112" s="1439"/>
    </row>
    <row r="113" spans="1:17" x14ac:dyDescent="0.25">
      <c r="A113" s="930" t="s">
        <v>958</v>
      </c>
      <c r="B113" s="1444" t="s">
        <v>425</v>
      </c>
      <c r="C113" s="899">
        <f>'Base ETESA'!AE111</f>
        <v>41700</v>
      </c>
      <c r="D113" s="899">
        <f>'Base ETESA'!BH111</f>
        <v>41700</v>
      </c>
      <c r="E113" s="1443">
        <f>IFERROR((D113-C113)/C113,"")</f>
        <v>0</v>
      </c>
      <c r="F113" s="1439" t="str">
        <f>IFERROR(IF(ABS(E113)&lt;=$F$1,"sí","no"),"no")</f>
        <v>sí</v>
      </c>
      <c r="G113" s="1439"/>
      <c r="H113" s="1442">
        <f>IFERROR(INDEX('Base ETESA'!AJ108:AJ134,MATCH($A113,'Base ETESA'!$BG108:$BG134,0)),0)</f>
        <v>0</v>
      </c>
      <c r="I113" s="1442">
        <f>IFERROR(INDEX('Base ETESA'!AQ108:AQ134,MATCH($A113,'Base ETESA'!$BG108:$BG134,0)),0)</f>
        <v>0</v>
      </c>
      <c r="J113" s="1442">
        <f>IFERROR(INDEX('Base ETESA'!AX108:AX134,MATCH($A113,'Base ETESA'!$BG108:$BG134,0)),0)</f>
        <v>0</v>
      </c>
      <c r="K113" s="1442">
        <f>IFERROR(INDEX('Base ETESA'!BE108:BE134,MATCH($A113,'Base ETESA'!$BG108:$BG134,0)),0)</f>
        <v>0</v>
      </c>
      <c r="L113" s="1442">
        <f>+SUMPRODUCT(H113:K113,$H$4:$K$4)</f>
        <v>0</v>
      </c>
      <c r="M113" s="1442"/>
      <c r="N113" s="1441"/>
      <c r="Q113" s="1439"/>
    </row>
    <row r="114" spans="1:17" x14ac:dyDescent="0.25">
      <c r="A114" s="930" t="s">
        <v>959</v>
      </c>
      <c r="B114" s="1444" t="s">
        <v>427</v>
      </c>
      <c r="C114" s="899">
        <f>'Base ETESA'!AE112</f>
        <v>1808263</v>
      </c>
      <c r="D114" s="899">
        <f>'Base ETESA'!BH112</f>
        <v>1808262.8600000015</v>
      </c>
      <c r="E114" s="1443">
        <f>IFERROR((D114-C114)/C114,"")</f>
        <v>-7.7422365275720769E-8</v>
      </c>
      <c r="F114" s="1439" t="str">
        <f>IFERROR(IF(ABS(E114)&lt;=$F$1,"sí","no"),"no")</f>
        <v>sí</v>
      </c>
      <c r="G114" s="1439"/>
      <c r="H114" s="1442">
        <f>IFERROR(INDEX('Base ETESA'!AJ109:AJ135,MATCH($A114,'Base ETESA'!$BG109:$BG135,0)),0)</f>
        <v>-0.13999999850057065</v>
      </c>
      <c r="I114" s="1442">
        <f>IFERROR(INDEX('Base ETESA'!AQ109:AQ135,MATCH($A114,'Base ETESA'!$BG109:$BG135,0)),0)</f>
        <v>0</v>
      </c>
      <c r="J114" s="1442">
        <f>IFERROR(INDEX('Base ETESA'!AX109:AX135,MATCH($A114,'Base ETESA'!$BG109:$BG135,0)),0)</f>
        <v>0</v>
      </c>
      <c r="K114" s="1442">
        <f>IFERROR(INDEX('Base ETESA'!BE109:BE135,MATCH($A114,'Base ETESA'!$BG109:$BG135,0)),0)</f>
        <v>0</v>
      </c>
      <c r="L114" s="1442">
        <f>+SUMPRODUCT(H114:K114,$H$4:$K$4)</f>
        <v>-0.12828148979497897</v>
      </c>
      <c r="M114" s="1442"/>
      <c r="N114" s="1441"/>
      <c r="Q114" s="1439"/>
    </row>
  </sheetData>
  <conditionalFormatting sqref="F7:L114">
    <cfRule type="containsText" dxfId="18" priority="7" operator="containsText" text="no">
      <formula>NOT(ISERROR(SEARCH("no",F7)))</formula>
    </cfRule>
    <cfRule type="containsText" dxfId="17" priority="8" operator="containsText" text="sí">
      <formula>NOT(ISERROR(SEARCH("sí",F7)))</formula>
    </cfRule>
  </conditionalFormatting>
  <conditionalFormatting sqref="M67">
    <cfRule type="containsText" dxfId="16" priority="3" operator="containsText" text="no">
      <formula>NOT(ISERROR(SEARCH("no",M67)))</formula>
    </cfRule>
    <cfRule type="containsText" dxfId="15" priority="4" operator="containsText" text="sí">
      <formula>NOT(ISERROR(SEARCH("sí",M67)))</formula>
    </cfRule>
  </conditionalFormatting>
  <conditionalFormatting sqref="M78">
    <cfRule type="containsText" dxfId="14" priority="1" operator="containsText" text="no">
      <formula>NOT(ISERROR(SEARCH("no",M78)))</formula>
    </cfRule>
    <cfRule type="containsText" dxfId="13" priority="2" operator="containsText" text="sí">
      <formula>NOT(ISERROR(SEARCH("sí",M78)))</formula>
    </cfRule>
  </conditionalFormatting>
  <conditionalFormatting sqref="M93:M114">
    <cfRule type="containsText" dxfId="12" priority="5" operator="containsText" text="no">
      <formula>NOT(ISERROR(SEARCH("no",M93)))</formula>
    </cfRule>
    <cfRule type="containsText" dxfId="11" priority="6" operator="containsText" text="sí">
      <formula>NOT(ISERROR(SEARCH("sí",M93)))</formula>
    </cfRule>
  </conditionalFormatting>
  <pageMargins left="0.7" right="0.7" top="0.75" bottom="0.75" header="0.3" footer="0.3"/>
  <pageSetup orientation="portrait" horizontalDpi="4294967293" vertic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2"/>
  <sheetViews>
    <sheetView zoomScale="110" zoomScaleNormal="110" workbookViewId="0">
      <selection activeCell="J6" sqref="J6"/>
    </sheetView>
  </sheetViews>
  <sheetFormatPr baseColWidth="10" defaultRowHeight="15" x14ac:dyDescent="0.25"/>
  <cols>
    <col min="1" max="1" width="4.5703125" customWidth="1"/>
    <col min="2" max="2" width="51.140625" bestFit="1" customWidth="1"/>
    <col min="7" max="7" width="2.42578125" customWidth="1"/>
    <col min="9" max="9" width="0" hidden="1" customWidth="1"/>
  </cols>
  <sheetData>
    <row r="2" spans="1:9" x14ac:dyDescent="0.25">
      <c r="B2" s="1528" t="s">
        <v>793</v>
      </c>
      <c r="C2" s="1528">
        <v>2021</v>
      </c>
      <c r="D2" s="1528">
        <v>2022</v>
      </c>
      <c r="E2" s="1528">
        <v>2023</v>
      </c>
      <c r="F2" s="1528">
        <v>2024</v>
      </c>
    </row>
    <row r="3" spans="1:9" x14ac:dyDescent="0.25">
      <c r="B3" s="1525" t="s">
        <v>1793</v>
      </c>
      <c r="C3" s="1525"/>
      <c r="D3" s="1525"/>
      <c r="E3" s="1525"/>
      <c r="F3" s="1525"/>
    </row>
    <row r="4" spans="1:9" x14ac:dyDescent="0.25">
      <c r="A4">
        <v>1</v>
      </c>
      <c r="B4" s="293" t="s">
        <v>1792</v>
      </c>
      <c r="C4" s="654">
        <v>1327336.57</v>
      </c>
      <c r="D4" s="654">
        <v>645793.12</v>
      </c>
      <c r="E4" s="654">
        <v>2979848.13</v>
      </c>
      <c r="F4" s="654">
        <v>59726.33</v>
      </c>
      <c r="G4" s="2"/>
      <c r="I4" t="s">
        <v>1774</v>
      </c>
    </row>
    <row r="5" spans="1:9" x14ac:dyDescent="0.25">
      <c r="A5">
        <v>1</v>
      </c>
      <c r="B5" s="293" t="s">
        <v>1791</v>
      </c>
      <c r="C5" s="654">
        <v>389408.77</v>
      </c>
      <c r="D5" s="654">
        <v>0</v>
      </c>
      <c r="E5" s="654">
        <v>0</v>
      </c>
      <c r="F5" s="654">
        <v>0</v>
      </c>
      <c r="G5" s="2"/>
      <c r="I5" t="s">
        <v>1774</v>
      </c>
    </row>
    <row r="6" spans="1:9" x14ac:dyDescent="0.25">
      <c r="A6">
        <v>1</v>
      </c>
      <c r="B6" s="293" t="s">
        <v>590</v>
      </c>
      <c r="C6" s="654">
        <v>0</v>
      </c>
      <c r="D6" s="654">
        <v>25559.54</v>
      </c>
      <c r="E6" s="654">
        <v>0</v>
      </c>
      <c r="F6" s="654">
        <v>0</v>
      </c>
      <c r="G6" s="2">
        <v>1</v>
      </c>
      <c r="I6" t="s">
        <v>1774</v>
      </c>
    </row>
    <row r="7" spans="1:9" x14ac:dyDescent="0.25">
      <c r="A7">
        <v>1</v>
      </c>
      <c r="B7" s="293" t="s">
        <v>1780</v>
      </c>
      <c r="C7" s="654">
        <v>0</v>
      </c>
      <c r="D7" s="654">
        <v>28544.58</v>
      </c>
      <c r="E7" s="654">
        <v>158274.37</v>
      </c>
      <c r="F7" s="654">
        <v>0</v>
      </c>
      <c r="G7" s="2">
        <v>1</v>
      </c>
      <c r="I7" t="s">
        <v>1774</v>
      </c>
    </row>
    <row r="8" spans="1:9" x14ac:dyDescent="0.25">
      <c r="A8">
        <v>1</v>
      </c>
      <c r="B8" s="293" t="s">
        <v>1790</v>
      </c>
      <c r="C8" s="654">
        <v>0</v>
      </c>
      <c r="D8" s="654">
        <v>0</v>
      </c>
      <c r="E8" s="654">
        <v>0</v>
      </c>
      <c r="F8" s="654">
        <v>11917204</v>
      </c>
      <c r="G8" s="2"/>
      <c r="I8" t="s">
        <v>1775</v>
      </c>
    </row>
    <row r="9" spans="1:9" x14ac:dyDescent="0.25">
      <c r="A9">
        <v>1</v>
      </c>
      <c r="B9" s="293" t="s">
        <v>1789</v>
      </c>
      <c r="C9" s="654">
        <v>0</v>
      </c>
      <c r="D9" s="654">
        <v>0</v>
      </c>
      <c r="E9" s="654">
        <v>0</v>
      </c>
      <c r="F9" s="654">
        <v>154845.78</v>
      </c>
      <c r="G9" s="2"/>
      <c r="I9" t="s">
        <v>1775</v>
      </c>
    </row>
    <row r="10" spans="1:9" x14ac:dyDescent="0.25">
      <c r="A10">
        <v>1</v>
      </c>
      <c r="B10" s="293" t="s">
        <v>1781</v>
      </c>
      <c r="C10" s="654">
        <v>0</v>
      </c>
      <c r="D10" s="654">
        <v>40847.24</v>
      </c>
      <c r="E10" s="654">
        <v>0</v>
      </c>
      <c r="F10" s="654">
        <v>29860.190000000002</v>
      </c>
      <c r="G10" s="2">
        <v>1</v>
      </c>
      <c r="I10" t="s">
        <v>1775</v>
      </c>
    </row>
    <row r="11" spans="1:9" x14ac:dyDescent="0.25">
      <c r="A11">
        <v>1</v>
      </c>
      <c r="B11" s="293" t="s">
        <v>1788</v>
      </c>
      <c r="C11" s="654">
        <v>0</v>
      </c>
      <c r="D11" s="654">
        <v>0</v>
      </c>
      <c r="E11" s="654">
        <v>0</v>
      </c>
      <c r="F11" s="654">
        <v>241297.97999999998</v>
      </c>
      <c r="I11" t="s">
        <v>1775</v>
      </c>
    </row>
    <row r="12" spans="1:9" x14ac:dyDescent="0.25">
      <c r="A12">
        <v>1</v>
      </c>
      <c r="B12" s="293" t="s">
        <v>1787</v>
      </c>
      <c r="C12" s="654">
        <v>0</v>
      </c>
      <c r="D12" s="654">
        <v>0</v>
      </c>
      <c r="E12" s="654">
        <v>0</v>
      </c>
      <c r="F12" s="654">
        <v>69706.100000000006</v>
      </c>
      <c r="G12" s="2">
        <v>1</v>
      </c>
      <c r="I12" t="s">
        <v>1774</v>
      </c>
    </row>
    <row r="13" spans="1:9" x14ac:dyDescent="0.25">
      <c r="B13" s="1527" t="s">
        <v>1776</v>
      </c>
      <c r="C13" s="1526">
        <f>SUM(C4:C12)</f>
        <v>1716745.34</v>
      </c>
      <c r="D13" s="1526">
        <f>SUM(D4:D12)</f>
        <v>740744.48</v>
      </c>
      <c r="E13" s="1526">
        <f>SUM(E4:E12)</f>
        <v>3138122.5</v>
      </c>
      <c r="F13" s="1526">
        <f>SUM(F4:F12)</f>
        <v>12472640.379999999</v>
      </c>
      <c r="I13" t="s">
        <v>1774</v>
      </c>
    </row>
    <row r="14" spans="1:9" x14ac:dyDescent="0.25">
      <c r="A14">
        <v>0</v>
      </c>
      <c r="B14" s="1525" t="s">
        <v>1786</v>
      </c>
      <c r="C14" s="1525"/>
      <c r="D14" s="1525"/>
      <c r="E14" s="1525"/>
      <c r="F14" s="1525"/>
      <c r="I14" t="s">
        <v>1774</v>
      </c>
    </row>
    <row r="15" spans="1:9" x14ac:dyDescent="0.25">
      <c r="A15">
        <v>0</v>
      </c>
      <c r="B15" s="293" t="s">
        <v>1785</v>
      </c>
      <c r="C15" s="654">
        <v>151144.49</v>
      </c>
      <c r="D15" s="654">
        <v>0</v>
      </c>
      <c r="E15" s="654">
        <v>0</v>
      </c>
      <c r="F15" s="654">
        <v>0</v>
      </c>
      <c r="I15" t="s">
        <v>1784</v>
      </c>
    </row>
    <row r="16" spans="1:9" ht="15" customHeight="1" x14ac:dyDescent="0.25">
      <c r="A16">
        <v>0</v>
      </c>
      <c r="B16" s="293" t="s">
        <v>1783</v>
      </c>
      <c r="C16" s="654">
        <v>50113.55</v>
      </c>
      <c r="D16" s="654">
        <v>0</v>
      </c>
      <c r="E16" s="654">
        <v>0</v>
      </c>
      <c r="F16" s="654">
        <v>0</v>
      </c>
      <c r="I16" t="s">
        <v>1774</v>
      </c>
    </row>
    <row r="17" spans="1:9" x14ac:dyDescent="0.25">
      <c r="A17">
        <v>0</v>
      </c>
      <c r="B17" s="293" t="s">
        <v>1782</v>
      </c>
      <c r="C17" s="654">
        <v>151144.49</v>
      </c>
      <c r="D17" s="654">
        <v>23907.780000000002</v>
      </c>
      <c r="E17" s="654">
        <v>49783.99</v>
      </c>
      <c r="F17" s="654">
        <v>0</v>
      </c>
      <c r="I17" t="s">
        <v>1775</v>
      </c>
    </row>
    <row r="18" spans="1:9" x14ac:dyDescent="0.25">
      <c r="A18">
        <v>0</v>
      </c>
      <c r="B18" s="293" t="s">
        <v>1781</v>
      </c>
      <c r="C18" s="654">
        <v>0</v>
      </c>
      <c r="D18" s="654">
        <v>40847.24</v>
      </c>
      <c r="E18" s="654">
        <v>0</v>
      </c>
      <c r="F18" s="654">
        <v>29860.190000000002</v>
      </c>
      <c r="I18" t="s">
        <v>1775</v>
      </c>
    </row>
    <row r="19" spans="1:9" x14ac:dyDescent="0.25">
      <c r="A19">
        <v>0</v>
      </c>
      <c r="B19" s="293" t="s">
        <v>1780</v>
      </c>
      <c r="C19" s="654">
        <v>0</v>
      </c>
      <c r="D19" s="654">
        <v>28544.58</v>
      </c>
      <c r="E19" s="654">
        <v>158274.37</v>
      </c>
      <c r="F19" s="654">
        <v>0</v>
      </c>
      <c r="I19" t="s">
        <v>1774</v>
      </c>
    </row>
    <row r="20" spans="1:9" x14ac:dyDescent="0.25">
      <c r="A20">
        <v>0</v>
      </c>
      <c r="B20" s="293" t="s">
        <v>1779</v>
      </c>
      <c r="C20" s="654">
        <v>0</v>
      </c>
      <c r="D20" s="654">
        <v>0</v>
      </c>
      <c r="E20" s="654">
        <v>0</v>
      </c>
      <c r="F20" s="654">
        <v>10610.88</v>
      </c>
      <c r="I20" t="s">
        <v>1774</v>
      </c>
    </row>
    <row r="21" spans="1:9" x14ac:dyDescent="0.25">
      <c r="A21">
        <v>0</v>
      </c>
      <c r="B21" s="293" t="s">
        <v>1778</v>
      </c>
      <c r="C21" s="654">
        <v>0</v>
      </c>
      <c r="D21" s="654">
        <v>0</v>
      </c>
      <c r="E21" s="654">
        <v>0</v>
      </c>
      <c r="F21" s="654">
        <v>52524.98</v>
      </c>
      <c r="I21" t="s">
        <v>1774</v>
      </c>
    </row>
    <row r="22" spans="1:9" x14ac:dyDescent="0.25">
      <c r="B22" s="293" t="s">
        <v>1777</v>
      </c>
      <c r="C22" s="654">
        <v>0</v>
      </c>
      <c r="D22" s="654">
        <v>0</v>
      </c>
      <c r="E22" s="654">
        <v>0</v>
      </c>
      <c r="F22" s="654">
        <v>49783.99</v>
      </c>
      <c r="I22" t="s">
        <v>1774</v>
      </c>
    </row>
    <row r="23" spans="1:9" x14ac:dyDescent="0.25">
      <c r="B23" s="1524" t="s">
        <v>1776</v>
      </c>
      <c r="C23" s="1523">
        <f>SUM(C15:C22)</f>
        <v>352402.52999999997</v>
      </c>
      <c r="D23" s="1523">
        <f>SUM(D15:D22)</f>
        <v>93299.6</v>
      </c>
      <c r="E23" s="1523">
        <f>SUM(E15:E22)</f>
        <v>208058.36</v>
      </c>
      <c r="F23" s="1523">
        <f>SUM(F15:F22)</f>
        <v>142780.04</v>
      </c>
      <c r="I23" t="s">
        <v>1774</v>
      </c>
    </row>
    <row r="24" spans="1:9" x14ac:dyDescent="0.25">
      <c r="B24" s="1522" t="s">
        <v>28</v>
      </c>
      <c r="C24" s="1521">
        <f>C23+C13</f>
        <v>2069147.87</v>
      </c>
      <c r="D24" s="1521">
        <f>D23+D13</f>
        <v>834044.08</v>
      </c>
      <c r="E24" s="1521">
        <f>E23+E13</f>
        <v>3346180.86</v>
      </c>
      <c r="F24" s="1521">
        <f>F23+F13</f>
        <v>12615420.419999998</v>
      </c>
      <c r="I24" t="s">
        <v>1774</v>
      </c>
    </row>
    <row r="25" spans="1:9" x14ac:dyDescent="0.25">
      <c r="I25" t="s">
        <v>1774</v>
      </c>
    </row>
    <row r="26" spans="1:9" x14ac:dyDescent="0.25">
      <c r="I26" t="s">
        <v>1774</v>
      </c>
    </row>
    <row r="27" spans="1:9" x14ac:dyDescent="0.25">
      <c r="I27">
        <v>0</v>
      </c>
    </row>
    <row r="28" spans="1:9" x14ac:dyDescent="0.25">
      <c r="I28" t="s">
        <v>1775</v>
      </c>
    </row>
    <row r="29" spans="1:9" x14ac:dyDescent="0.25">
      <c r="I29" t="s">
        <v>1775</v>
      </c>
    </row>
    <row r="30" spans="1:9" x14ac:dyDescent="0.25">
      <c r="I30" t="s">
        <v>1770</v>
      </c>
    </row>
    <row r="31" spans="1:9" x14ac:dyDescent="0.25">
      <c r="I31" t="s">
        <v>1774</v>
      </c>
    </row>
    <row r="32" spans="1:9" x14ac:dyDescent="0.25">
      <c r="I32" t="s">
        <v>1774</v>
      </c>
    </row>
    <row r="33" spans="9:9" x14ac:dyDescent="0.25">
      <c r="I33" t="s">
        <v>1774</v>
      </c>
    </row>
    <row r="34" spans="9:9" x14ac:dyDescent="0.25">
      <c r="I34" t="s">
        <v>1774</v>
      </c>
    </row>
    <row r="35" spans="9:9" x14ac:dyDescent="0.25">
      <c r="I35" t="s">
        <v>1774</v>
      </c>
    </row>
    <row r="36" spans="9:9" x14ac:dyDescent="0.25">
      <c r="I36" t="s">
        <v>1774</v>
      </c>
    </row>
    <row r="37" spans="9:9" x14ac:dyDescent="0.25">
      <c r="I37" t="s">
        <v>1774</v>
      </c>
    </row>
    <row r="38" spans="9:9" x14ac:dyDescent="0.25">
      <c r="I38" t="s">
        <v>1774</v>
      </c>
    </row>
    <row r="39" spans="9:9" x14ac:dyDescent="0.25">
      <c r="I39">
        <v>0</v>
      </c>
    </row>
    <row r="40" spans="9:9" x14ac:dyDescent="0.25">
      <c r="I40">
        <v>0</v>
      </c>
    </row>
    <row r="41" spans="9:9" x14ac:dyDescent="0.25">
      <c r="I41" t="s">
        <v>1772</v>
      </c>
    </row>
    <row r="42" spans="9:9" x14ac:dyDescent="0.25">
      <c r="I42">
        <v>0</v>
      </c>
    </row>
    <row r="43" spans="9:9" x14ac:dyDescent="0.25">
      <c r="I43" t="s">
        <v>1771</v>
      </c>
    </row>
    <row r="44" spans="9:9" x14ac:dyDescent="0.25">
      <c r="I44" t="s">
        <v>1774</v>
      </c>
    </row>
    <row r="45" spans="9:9" x14ac:dyDescent="0.25">
      <c r="I45" t="s">
        <v>1774</v>
      </c>
    </row>
    <row r="46" spans="9:9" x14ac:dyDescent="0.25">
      <c r="I46" t="s">
        <v>1774</v>
      </c>
    </row>
    <row r="47" spans="9:9" x14ac:dyDescent="0.25">
      <c r="I47" t="s">
        <v>1773</v>
      </c>
    </row>
    <row r="48" spans="9:9" x14ac:dyDescent="0.25">
      <c r="I48" t="s">
        <v>1773</v>
      </c>
    </row>
    <row r="49" spans="9:9" x14ac:dyDescent="0.25">
      <c r="I49" t="s">
        <v>1772</v>
      </c>
    </row>
    <row r="50" spans="9:9" x14ac:dyDescent="0.25">
      <c r="I50" t="s">
        <v>1771</v>
      </c>
    </row>
    <row r="51" spans="9:9" x14ac:dyDescent="0.25">
      <c r="I51" t="s">
        <v>1771</v>
      </c>
    </row>
    <row r="52" spans="9:9" x14ac:dyDescent="0.25">
      <c r="I52" t="s">
        <v>1770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8">
    <tabColor theme="8" tint="-0.249977111117893"/>
  </sheetPr>
  <dimension ref="A1:AY175"/>
  <sheetViews>
    <sheetView showGridLines="0" zoomScale="85" zoomScaleNormal="85" workbookViewId="0">
      <pane xSplit="2" ySplit="7" topLeftCell="D32" activePane="bottomRight" state="frozen"/>
      <selection pane="topRight" activeCell="Y34" sqref="Y34"/>
      <selection pane="bottomLeft" activeCell="Y34" sqref="Y34"/>
      <selection pane="bottomRight" activeCell="J16" sqref="J16"/>
    </sheetView>
  </sheetViews>
  <sheetFormatPr baseColWidth="10" defaultColWidth="11.42578125" defaultRowHeight="14.25" outlineLevelRow="2" outlineLevelCol="1" x14ac:dyDescent="0.2"/>
  <cols>
    <col min="1" max="1" width="5" style="64" bestFit="1" customWidth="1"/>
    <col min="2" max="2" width="83.28515625" style="62" customWidth="1"/>
    <col min="3" max="4" width="12" style="62" customWidth="1" outlineLevel="1"/>
    <col min="5" max="6" width="12" style="62" customWidth="1"/>
    <col min="7" max="7" width="12.28515625" style="62" customWidth="1"/>
    <col min="8" max="10" width="12.85546875" style="62" bestFit="1" customWidth="1"/>
    <col min="11" max="12" width="11.7109375" style="62" bestFit="1" customWidth="1"/>
    <col min="13" max="14" width="10.7109375" style="62" customWidth="1"/>
    <col min="15" max="15" width="13" style="62" bestFit="1" customWidth="1"/>
    <col min="16" max="16" width="4.7109375" style="62" customWidth="1"/>
    <col min="17" max="17" width="25.140625" style="62" customWidth="1"/>
    <col min="18" max="18" width="18.7109375" style="62" customWidth="1"/>
    <col min="19" max="19" width="20.28515625" style="62" customWidth="1"/>
    <col min="20" max="16384" width="11.42578125" style="62"/>
  </cols>
  <sheetData>
    <row r="1" spans="1:50" ht="18" x14ac:dyDescent="0.25">
      <c r="A1" s="1611" t="s">
        <v>461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73"/>
      <c r="Q1" s="74"/>
      <c r="R1" s="74"/>
      <c r="AO1" s="1217">
        <f>AO6</f>
        <v>2021</v>
      </c>
      <c r="AP1" s="1218">
        <f t="shared" ref="AP1:AX1" si="0">AP6</f>
        <v>2022</v>
      </c>
      <c r="AQ1" s="1218">
        <f t="shared" si="0"/>
        <v>2023</v>
      </c>
      <c r="AR1" s="1218">
        <f t="shared" si="0"/>
        <v>2024</v>
      </c>
      <c r="AS1" s="1218">
        <f t="shared" si="0"/>
        <v>2025</v>
      </c>
      <c r="AT1" s="1218">
        <f t="shared" si="0"/>
        <v>2026</v>
      </c>
      <c r="AU1" s="1218">
        <f t="shared" si="0"/>
        <v>2027</v>
      </c>
      <c r="AV1" s="1218">
        <f t="shared" si="0"/>
        <v>2028</v>
      </c>
      <c r="AW1" s="1218">
        <f t="shared" si="0"/>
        <v>2029</v>
      </c>
      <c r="AX1" s="1219">
        <f t="shared" si="0"/>
        <v>2030</v>
      </c>
    </row>
    <row r="2" spans="1:50" ht="18" x14ac:dyDescent="0.25">
      <c r="A2" s="1611" t="s">
        <v>462</v>
      </c>
      <c r="B2" s="1611"/>
      <c r="C2" s="1611"/>
      <c r="D2" s="1611"/>
      <c r="E2" s="1611"/>
      <c r="F2" s="1611"/>
      <c r="G2" s="1611"/>
      <c r="H2" s="1611"/>
      <c r="I2" s="1611"/>
      <c r="J2" s="1611"/>
      <c r="K2" s="1611"/>
      <c r="L2" s="1611"/>
      <c r="M2" s="1611"/>
      <c r="N2" s="1611"/>
      <c r="O2" s="1611"/>
      <c r="P2" s="73"/>
      <c r="Q2" s="74"/>
      <c r="R2" s="74"/>
      <c r="AO2" s="1220">
        <f t="shared" ref="AO2:AX2" si="1">IFERROR(SUMPRODUCT(AE12:AE165,AO12:AO165)/SUM(AO12:AO165)*12,)</f>
        <v>0</v>
      </c>
      <c r="AP2" s="1221">
        <f t="shared" si="1"/>
        <v>0</v>
      </c>
      <c r="AQ2" s="1221">
        <f t="shared" si="1"/>
        <v>0</v>
      </c>
      <c r="AR2" s="1221">
        <f t="shared" si="1"/>
        <v>3.3885542505548383</v>
      </c>
      <c r="AS2" s="1221">
        <f t="shared" si="1"/>
        <v>7.240931862774854</v>
      </c>
      <c r="AT2" s="1221">
        <f t="shared" si="1"/>
        <v>6.7397260273972588</v>
      </c>
      <c r="AU2" s="1221">
        <f t="shared" si="1"/>
        <v>0</v>
      </c>
      <c r="AV2" s="1221">
        <f t="shared" si="1"/>
        <v>0</v>
      </c>
      <c r="AW2" s="1221">
        <f t="shared" si="1"/>
        <v>0</v>
      </c>
      <c r="AX2" s="1222">
        <f t="shared" si="1"/>
        <v>0</v>
      </c>
    </row>
    <row r="3" spans="1:50" ht="18.75" thickBot="1" x14ac:dyDescent="0.3">
      <c r="A3" s="1611" t="s">
        <v>463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1611"/>
      <c r="O3" s="1611"/>
      <c r="P3" s="73"/>
      <c r="Q3" s="74"/>
      <c r="R3" s="74"/>
      <c r="AO3" s="1223" t="s">
        <v>1662</v>
      </c>
      <c r="AP3" s="1224"/>
      <c r="AQ3" s="1224"/>
      <c r="AR3" s="1224"/>
      <c r="AS3" s="1224"/>
      <c r="AT3" s="1224"/>
      <c r="AU3" s="1224"/>
      <c r="AV3" s="1224"/>
      <c r="AW3" s="1224"/>
      <c r="AX3" s="1225"/>
    </row>
    <row r="4" spans="1:50" ht="18" x14ac:dyDescent="0.25">
      <c r="A4" s="1611" t="s">
        <v>464</v>
      </c>
      <c r="B4" s="1611"/>
      <c r="C4" s="1611"/>
      <c r="D4" s="1611"/>
      <c r="E4" s="1611"/>
      <c r="F4" s="1611"/>
      <c r="G4" s="1611"/>
      <c r="H4" s="1611"/>
      <c r="I4" s="1611"/>
      <c r="J4" s="1611"/>
      <c r="K4" s="1611"/>
      <c r="L4" s="1611"/>
      <c r="M4" s="1611"/>
      <c r="N4" s="1611"/>
      <c r="O4" s="1611"/>
      <c r="P4" s="73"/>
      <c r="Q4" s="74"/>
      <c r="R4" s="74"/>
      <c r="S4" s="1610"/>
    </row>
    <row r="5" spans="1:50" ht="15" customHeight="1" x14ac:dyDescent="0.25">
      <c r="A5" s="75"/>
      <c r="B5" s="74"/>
      <c r="C5" s="72"/>
      <c r="D5" s="72"/>
      <c r="E5" s="71"/>
      <c r="F5" s="71"/>
      <c r="G5" s="71"/>
      <c r="H5" s="71"/>
      <c r="I5" s="71"/>
      <c r="J5" s="72"/>
      <c r="K5" s="72"/>
      <c r="L5" s="72"/>
      <c r="M5" s="72"/>
      <c r="N5" s="72"/>
      <c r="O5" s="72"/>
      <c r="P5" s="71"/>
      <c r="Q5" s="74"/>
      <c r="R5" s="74"/>
      <c r="S5" s="1610"/>
      <c r="U5" s="135" t="s">
        <v>465</v>
      </c>
      <c r="V5" s="135"/>
      <c r="W5" s="135"/>
      <c r="X5" s="135"/>
      <c r="Y5" s="135"/>
      <c r="Z5" s="135"/>
      <c r="AA5" s="135"/>
      <c r="AB5" s="135"/>
      <c r="AC5" s="135"/>
      <c r="AD5" s="135"/>
      <c r="AE5" s="136" t="s">
        <v>466</v>
      </c>
      <c r="AF5" s="136"/>
      <c r="AG5" s="136"/>
      <c r="AH5" s="136"/>
      <c r="AI5" s="136"/>
      <c r="AJ5" s="136"/>
      <c r="AK5" s="136"/>
      <c r="AL5" s="136"/>
      <c r="AM5" s="136"/>
      <c r="AN5" s="136"/>
      <c r="AO5" s="1200" t="s">
        <v>1661</v>
      </c>
      <c r="AP5" s="1200"/>
      <c r="AQ5" s="1200"/>
      <c r="AR5" s="1200"/>
      <c r="AS5" s="1200"/>
      <c r="AT5" s="1200"/>
      <c r="AU5" s="1200"/>
      <c r="AV5" s="1200"/>
      <c r="AW5" s="1200"/>
      <c r="AX5" s="1200"/>
    </row>
    <row r="6" spans="1:50" s="493" customFormat="1" ht="15" customHeight="1" x14ac:dyDescent="0.25">
      <c r="A6" s="490" t="s">
        <v>467</v>
      </c>
      <c r="B6" s="491"/>
      <c r="C6" s="492" t="s">
        <v>468</v>
      </c>
      <c r="D6" s="492"/>
      <c r="E6" s="492">
        <f>+D7+1</f>
        <v>2021</v>
      </c>
      <c r="F6" s="492">
        <f t="shared" ref="F6:N7" si="2">+E6+1</f>
        <v>2022</v>
      </c>
      <c r="G6" s="492">
        <f t="shared" si="2"/>
        <v>2023</v>
      </c>
      <c r="H6" s="492">
        <f t="shared" si="2"/>
        <v>2024</v>
      </c>
      <c r="I6" s="492">
        <f t="shared" si="2"/>
        <v>2025</v>
      </c>
      <c r="J6" s="492">
        <f t="shared" si="2"/>
        <v>2026</v>
      </c>
      <c r="K6" s="492">
        <f t="shared" si="2"/>
        <v>2027</v>
      </c>
      <c r="L6" s="492">
        <f t="shared" si="2"/>
        <v>2028</v>
      </c>
      <c r="M6" s="492">
        <f t="shared" si="2"/>
        <v>2029</v>
      </c>
      <c r="N6" s="492">
        <f t="shared" si="2"/>
        <v>2030</v>
      </c>
      <c r="Q6" s="1609" t="s">
        <v>334</v>
      </c>
      <c r="R6" s="1609" t="s">
        <v>469</v>
      </c>
      <c r="U6" s="492">
        <v>2021</v>
      </c>
      <c r="V6" s="492">
        <v>2022</v>
      </c>
      <c r="W6" s="492">
        <v>2023</v>
      </c>
      <c r="X6" s="492">
        <v>2024</v>
      </c>
      <c r="Y6" s="492">
        <v>2025</v>
      </c>
      <c r="Z6" s="492">
        <v>2026</v>
      </c>
      <c r="AA6" s="492">
        <v>2027</v>
      </c>
      <c r="AB6" s="492">
        <v>2028</v>
      </c>
      <c r="AC6" s="492">
        <v>2029</v>
      </c>
      <c r="AD6" s="492">
        <v>2030</v>
      </c>
      <c r="AE6" s="492">
        <f>U6</f>
        <v>2021</v>
      </c>
      <c r="AF6" s="492">
        <f t="shared" ref="AF6:AN6" si="3">V6</f>
        <v>2022</v>
      </c>
      <c r="AG6" s="492">
        <f t="shared" si="3"/>
        <v>2023</v>
      </c>
      <c r="AH6" s="492">
        <f t="shared" si="3"/>
        <v>2024</v>
      </c>
      <c r="AI6" s="492">
        <f t="shared" si="3"/>
        <v>2025</v>
      </c>
      <c r="AJ6" s="492">
        <f t="shared" si="3"/>
        <v>2026</v>
      </c>
      <c r="AK6" s="492">
        <f t="shared" si="3"/>
        <v>2027</v>
      </c>
      <c r="AL6" s="492">
        <f t="shared" si="3"/>
        <v>2028</v>
      </c>
      <c r="AM6" s="492">
        <f t="shared" si="3"/>
        <v>2029</v>
      </c>
      <c r="AN6" s="492">
        <f t="shared" si="3"/>
        <v>2030</v>
      </c>
      <c r="AO6" s="500">
        <f>AE6</f>
        <v>2021</v>
      </c>
      <c r="AP6" s="500">
        <f t="shared" ref="AP6:AX6" si="4">AF6</f>
        <v>2022</v>
      </c>
      <c r="AQ6" s="500">
        <f t="shared" si="4"/>
        <v>2023</v>
      </c>
      <c r="AR6" s="500">
        <f t="shared" si="4"/>
        <v>2024</v>
      </c>
      <c r="AS6" s="500">
        <f t="shared" si="4"/>
        <v>2025</v>
      </c>
      <c r="AT6" s="500">
        <f t="shared" si="4"/>
        <v>2026</v>
      </c>
      <c r="AU6" s="500">
        <f t="shared" si="4"/>
        <v>2027</v>
      </c>
      <c r="AV6" s="500">
        <f t="shared" si="4"/>
        <v>2028</v>
      </c>
      <c r="AW6" s="500">
        <f t="shared" si="4"/>
        <v>2029</v>
      </c>
      <c r="AX6" s="500">
        <f t="shared" si="4"/>
        <v>2030</v>
      </c>
    </row>
    <row r="7" spans="1:50" ht="15" x14ac:dyDescent="0.25">
      <c r="A7" s="68" t="s">
        <v>467</v>
      </c>
      <c r="B7" s="103"/>
      <c r="C7" s="76">
        <v>2019</v>
      </c>
      <c r="D7" s="76">
        <f t="shared" ref="D7" si="5">+C7+1</f>
        <v>2020</v>
      </c>
      <c r="E7" s="76">
        <f t="shared" ref="E7" si="6">+D7+1</f>
        <v>2021</v>
      </c>
      <c r="F7" s="76">
        <f t="shared" si="2"/>
        <v>2022</v>
      </c>
      <c r="G7" s="76">
        <f t="shared" si="2"/>
        <v>2023</v>
      </c>
      <c r="H7" s="76">
        <f t="shared" si="2"/>
        <v>2024</v>
      </c>
      <c r="I7" s="76">
        <f t="shared" si="2"/>
        <v>2025</v>
      </c>
      <c r="J7" s="76">
        <f t="shared" si="2"/>
        <v>2026</v>
      </c>
      <c r="K7" s="76">
        <f t="shared" si="2"/>
        <v>2027</v>
      </c>
      <c r="L7" s="76">
        <f t="shared" si="2"/>
        <v>2028</v>
      </c>
      <c r="M7" s="76">
        <f t="shared" si="2"/>
        <v>2029</v>
      </c>
      <c r="N7" s="76">
        <f t="shared" si="2"/>
        <v>2030</v>
      </c>
      <c r="O7" s="76" t="s">
        <v>325</v>
      </c>
      <c r="P7" s="70"/>
      <c r="Q7" s="1609"/>
      <c r="R7" s="1609" t="s">
        <v>469</v>
      </c>
    </row>
    <row r="8" spans="1:50" s="493" customFormat="1" ht="15" x14ac:dyDescent="0.25">
      <c r="A8" s="494">
        <v>1</v>
      </c>
      <c r="B8" s="495"/>
      <c r="C8" s="496">
        <f t="shared" ref="C8:N8" si="7">+C10+C49+C64+C81+C136+C151+C162</f>
        <v>0</v>
      </c>
      <c r="D8" s="496">
        <f t="shared" si="7"/>
        <v>0</v>
      </c>
      <c r="E8" s="496">
        <f t="shared" si="7"/>
        <v>0</v>
      </c>
      <c r="F8" s="496">
        <f t="shared" si="7"/>
        <v>0</v>
      </c>
      <c r="G8" s="496">
        <f t="shared" si="7"/>
        <v>0</v>
      </c>
      <c r="H8" s="496">
        <f t="shared" si="7"/>
        <v>72664.081409199993</v>
      </c>
      <c r="I8" s="496">
        <f t="shared" si="7"/>
        <v>202940.2114843</v>
      </c>
      <c r="J8" s="496">
        <f t="shared" si="7"/>
        <v>49890.996182500006</v>
      </c>
      <c r="K8" s="496">
        <f t="shared" si="7"/>
        <v>5129.0559999999996</v>
      </c>
      <c r="L8" s="496">
        <f t="shared" si="7"/>
        <v>0</v>
      </c>
      <c r="M8" s="496">
        <f t="shared" si="7"/>
        <v>0</v>
      </c>
      <c r="N8" s="496">
        <f t="shared" si="7"/>
        <v>0</v>
      </c>
      <c r="O8" s="497">
        <f>SUM(C8:M8)</f>
        <v>330624.34507599997</v>
      </c>
      <c r="P8" s="497"/>
      <c r="Q8" s="490"/>
      <c r="R8" s="490"/>
      <c r="S8" s="490"/>
      <c r="T8" s="498"/>
    </row>
    <row r="9" spans="1:50" ht="15" x14ac:dyDescent="0.25">
      <c r="A9" s="64">
        <f t="shared" ref="A9:A10" si="8">+A8+1</f>
        <v>2</v>
      </c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  <c r="P9" s="69"/>
      <c r="Q9" s="68"/>
      <c r="R9" s="68"/>
      <c r="S9" s="68"/>
      <c r="T9" s="63"/>
    </row>
    <row r="10" spans="1:50" s="493" customFormat="1" ht="15" collapsed="1" x14ac:dyDescent="0.25">
      <c r="A10" s="494">
        <f t="shared" si="8"/>
        <v>3</v>
      </c>
      <c r="B10" s="490" t="s">
        <v>162</v>
      </c>
      <c r="C10" s="497">
        <f t="shared" ref="C10:N10" si="9">SUBTOTAL(9,C12:C48)</f>
        <v>0</v>
      </c>
      <c r="D10" s="497">
        <f t="shared" si="9"/>
        <v>0</v>
      </c>
      <c r="E10" s="497">
        <f t="shared" si="9"/>
        <v>0</v>
      </c>
      <c r="F10" s="497">
        <f t="shared" si="9"/>
        <v>0</v>
      </c>
      <c r="G10" s="497">
        <f t="shared" si="9"/>
        <v>0</v>
      </c>
      <c r="H10" s="497">
        <f t="shared" si="9"/>
        <v>72664.081409199993</v>
      </c>
      <c r="I10" s="497">
        <f t="shared" si="9"/>
        <v>190252.31304430001</v>
      </c>
      <c r="J10" s="497">
        <f t="shared" si="9"/>
        <v>49890.996182500006</v>
      </c>
      <c r="K10" s="497">
        <f t="shared" si="9"/>
        <v>0</v>
      </c>
      <c r="L10" s="497">
        <f t="shared" si="9"/>
        <v>0</v>
      </c>
      <c r="M10" s="497">
        <f t="shared" si="9"/>
        <v>0</v>
      </c>
      <c r="N10" s="497">
        <f t="shared" si="9"/>
        <v>0</v>
      </c>
      <c r="O10" s="497">
        <f>SUM(D10:N10)</f>
        <v>312807.39063599997</v>
      </c>
      <c r="P10" s="497"/>
      <c r="Q10" s="490"/>
      <c r="R10" s="490"/>
      <c r="S10" s="490"/>
      <c r="T10" s="498"/>
    </row>
    <row r="11" spans="1:50" s="493" customFormat="1" ht="15" x14ac:dyDescent="0.25">
      <c r="A11" s="494"/>
      <c r="B11" s="490" t="s">
        <v>470</v>
      </c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0"/>
      <c r="R11" s="490"/>
      <c r="S11" s="490"/>
      <c r="T11" s="498"/>
    </row>
    <row r="12" spans="1:50" ht="15" x14ac:dyDescent="0.25">
      <c r="A12" s="64">
        <v>4</v>
      </c>
      <c r="B12" s="728" t="str">
        <f>'[11]COSTOS DEL PLAN'!B11</f>
        <v>ADICION BANCO CAPACITORES 40 MVAR STA. RITA 115 KV 2x20 MVAR</v>
      </c>
      <c r="C12" s="2"/>
      <c r="D12" s="2"/>
      <c r="E12" s="2"/>
      <c r="F12" s="2"/>
      <c r="G12" s="2"/>
      <c r="H12" s="1226">
        <v>4286.5073599999996</v>
      </c>
      <c r="I12" s="1226">
        <v>0</v>
      </c>
      <c r="J12" s="1226">
        <v>0</v>
      </c>
      <c r="K12" s="1226">
        <v>0</v>
      </c>
      <c r="L12" s="1226">
        <f>IF(YEAR('[11]COSTOS DEL PLAN'!$P11)=L$7,'[11]COSTOS DEL PLAN'!$O11,)</f>
        <v>0</v>
      </c>
      <c r="M12" s="1226">
        <f>IF(YEAR('[11]COSTOS DEL PLAN'!$P11)=M$7,'[11]COSTOS DEL PLAN'!$O11,)</f>
        <v>0</v>
      </c>
      <c r="N12" s="1226">
        <f>IF(YEAR('[11]COSTOS DEL PLAN'!$P11)=N$7,'[11]COSTOS DEL PLAN'!$O11,)</f>
        <v>0</v>
      </c>
      <c r="O12" s="66">
        <f>SUM(C12:N12)</f>
        <v>4286.5073599999996</v>
      </c>
      <c r="P12" s="66"/>
      <c r="Q12" s="65">
        <f>'[11]COSTOS DEL PLAN'!P11</f>
        <v>45503</v>
      </c>
      <c r="R12" s="68"/>
      <c r="S12" s="65"/>
      <c r="T12" s="63"/>
      <c r="U12" s="155" t="str">
        <f>IF(U$6=YEAR($Q12),$Q12,"")</f>
        <v/>
      </c>
      <c r="V12" s="155" t="str">
        <f t="shared" ref="V12:AD23" si="10">IF(V$6=YEAR($Q12),$Q12,"")</f>
        <v/>
      </c>
      <c r="W12" s="155" t="str">
        <f t="shared" si="10"/>
        <v/>
      </c>
      <c r="X12" s="155">
        <f t="shared" si="10"/>
        <v>45503</v>
      </c>
      <c r="Y12" s="155" t="str">
        <f t="shared" si="10"/>
        <v/>
      </c>
      <c r="Z12" s="155" t="str">
        <f t="shared" si="10"/>
        <v/>
      </c>
      <c r="AA12" s="155" t="str">
        <f t="shared" si="10"/>
        <v/>
      </c>
      <c r="AB12" s="155" t="str">
        <f t="shared" si="10"/>
        <v/>
      </c>
      <c r="AC12" s="155" t="str">
        <f t="shared" si="10"/>
        <v/>
      </c>
      <c r="AD12" s="155" t="str">
        <f t="shared" si="10"/>
        <v/>
      </c>
      <c r="AE12" s="137">
        <f>IF(U12="",,(DATE(AE$6,12,31)-U12)/365)</f>
        <v>0</v>
      </c>
      <c r="AF12" s="137">
        <f t="shared" ref="AF12:AN12" si="11">IF(V12="",,(DATE(AF$6,12,31)-V12)/365)</f>
        <v>0</v>
      </c>
      <c r="AG12" s="137">
        <f t="shared" si="11"/>
        <v>0</v>
      </c>
      <c r="AH12" s="137">
        <f>IF(X12="",,(DATE(AH$6,12,31)-X12)/365)</f>
        <v>0.42191780821917807</v>
      </c>
      <c r="AI12" s="137">
        <f t="shared" si="11"/>
        <v>0</v>
      </c>
      <c r="AJ12" s="137">
        <f t="shared" si="11"/>
        <v>0</v>
      </c>
      <c r="AK12" s="137">
        <f t="shared" si="11"/>
        <v>0</v>
      </c>
      <c r="AL12" s="137">
        <f t="shared" si="11"/>
        <v>0</v>
      </c>
      <c r="AM12" s="137">
        <f t="shared" si="11"/>
        <v>0</v>
      </c>
      <c r="AN12" s="137">
        <f t="shared" si="11"/>
        <v>0</v>
      </c>
      <c r="AO12" s="1201">
        <f>AE12*E12</f>
        <v>0</v>
      </c>
      <c r="AP12" s="1201">
        <f t="shared" ref="AP12:AP23" si="12">AF12*F12</f>
        <v>0</v>
      </c>
      <c r="AQ12" s="1201">
        <f t="shared" ref="AQ12:AQ23" si="13">AG12*G12</f>
        <v>0</v>
      </c>
      <c r="AR12" s="1201">
        <f t="shared" ref="AR12:AR23" si="14">AH12*H12</f>
        <v>1808.5537902465751</v>
      </c>
      <c r="AS12" s="1201">
        <f t="shared" ref="AS12:AS23" si="15">AI12*I12</f>
        <v>0</v>
      </c>
      <c r="AT12" s="1201">
        <f t="shared" ref="AT12:AT23" si="16">AJ12*J12</f>
        <v>0</v>
      </c>
      <c r="AU12" s="1201">
        <f t="shared" ref="AU12:AU23" si="17">AK12*K12</f>
        <v>0</v>
      </c>
      <c r="AV12" s="1201">
        <f t="shared" ref="AV12:AV23" si="18">AL12*L12</f>
        <v>0</v>
      </c>
      <c r="AW12" s="1201">
        <f t="shared" ref="AW12:AW23" si="19">AM12*M12</f>
        <v>0</v>
      </c>
      <c r="AX12" s="1201">
        <f t="shared" ref="AX12:AX23" si="20">AN12*N12</f>
        <v>0</v>
      </c>
    </row>
    <row r="13" spans="1:50" ht="15" outlineLevel="1" x14ac:dyDescent="0.25">
      <c r="A13" s="64">
        <v>5</v>
      </c>
      <c r="B13" s="728" t="str">
        <f>'[11]COSTOS DEL PLAN'!B12</f>
        <v>LÍNEA TELFERS - SABANITAS 230 KV</v>
      </c>
      <c r="C13" s="2"/>
      <c r="D13" s="2"/>
      <c r="E13" s="2"/>
      <c r="F13" s="2"/>
      <c r="G13" s="2"/>
      <c r="H13" s="1226">
        <v>33016.646879200001</v>
      </c>
      <c r="I13" s="1226">
        <v>0</v>
      </c>
      <c r="J13" s="1226">
        <v>0</v>
      </c>
      <c r="K13" s="1226">
        <v>0</v>
      </c>
      <c r="L13" s="1226">
        <f>IF(YEAR('[11]COSTOS DEL PLAN'!$P12)=L$7,'[11]COSTOS DEL PLAN'!$O12,)</f>
        <v>0</v>
      </c>
      <c r="M13" s="1226">
        <f>IF(YEAR('[11]COSTOS DEL PLAN'!$P12)=M$7,'[11]COSTOS DEL PLAN'!$O12,)</f>
        <v>0</v>
      </c>
      <c r="N13" s="1226">
        <f>IF(YEAR('[11]COSTOS DEL PLAN'!$P12)=N$7,'[11]COSTOS DEL PLAN'!$O12,)</f>
        <v>0</v>
      </c>
      <c r="O13" s="66">
        <f>SUM(C13:N13)</f>
        <v>33016.646879200001</v>
      </c>
      <c r="P13" s="63"/>
      <c r="Q13" s="65">
        <f>'[11]COSTOS DEL PLAN'!P12</f>
        <v>45565</v>
      </c>
      <c r="R13" s="64"/>
      <c r="S13" s="82"/>
      <c r="T13" s="63"/>
      <c r="U13" s="155" t="str">
        <f t="shared" ref="U13:U23" si="21">IF(U$6=YEAR($Q13),$Q13,"")</f>
        <v/>
      </c>
      <c r="V13" s="155" t="str">
        <f t="shared" si="10"/>
        <v/>
      </c>
      <c r="W13" s="155" t="str">
        <f t="shared" si="10"/>
        <v/>
      </c>
      <c r="X13" s="155">
        <f t="shared" si="10"/>
        <v>45565</v>
      </c>
      <c r="Y13" s="155" t="str">
        <f t="shared" si="10"/>
        <v/>
      </c>
      <c r="Z13" s="155" t="str">
        <f t="shared" si="10"/>
        <v/>
      </c>
      <c r="AA13" s="155" t="str">
        <f t="shared" si="10"/>
        <v/>
      </c>
      <c r="AB13" s="155" t="str">
        <f t="shared" si="10"/>
        <v/>
      </c>
      <c r="AC13" s="155" t="str">
        <f t="shared" si="10"/>
        <v/>
      </c>
      <c r="AD13" s="155" t="str">
        <f t="shared" si="10"/>
        <v/>
      </c>
      <c r="AE13" s="137">
        <f t="shared" ref="AE13:AE23" si="22">IF(U13="",,(DATE(AE$6,12,31)-U13)/365)</f>
        <v>0</v>
      </c>
      <c r="AF13" s="137">
        <f t="shared" ref="AF13:AF23" si="23">IF(V13="",,(DATE(AF$6,12,31)-V13)/365)</f>
        <v>0</v>
      </c>
      <c r="AG13" s="137">
        <f t="shared" ref="AG13:AG23" si="24">IF(W13="",,(DATE(AG$6,12,31)-W13)/365)</f>
        <v>0</v>
      </c>
      <c r="AH13" s="137">
        <f t="shared" ref="AH13:AH23" si="25">IF(X13="",,(DATE(AH$6,12,31)-X13)/365)</f>
        <v>0.25205479452054796</v>
      </c>
      <c r="AI13" s="137">
        <f t="shared" ref="AI13:AI23" si="26">IF(Y13="",,(DATE(AI$6,12,31)-Y13)/365)</f>
        <v>0</v>
      </c>
      <c r="AJ13" s="137">
        <f t="shared" ref="AJ13:AJ23" si="27">IF(Z13="",,(DATE(AJ$6,12,31)-Z13)/365)</f>
        <v>0</v>
      </c>
      <c r="AK13" s="137">
        <f t="shared" ref="AK13:AK23" si="28">IF(AA13="",,(DATE(AK$6,12,31)-AA13)/365)</f>
        <v>0</v>
      </c>
      <c r="AL13" s="137">
        <f t="shared" ref="AL13:AL23" si="29">IF(AB13="",,(DATE(AL$6,12,31)-AB13)/365)</f>
        <v>0</v>
      </c>
      <c r="AM13" s="137">
        <f t="shared" ref="AM13:AM23" si="30">IF(AC13="",,(DATE(AM$6,12,31)-AC13)/365)</f>
        <v>0</v>
      </c>
      <c r="AN13" s="137">
        <f t="shared" ref="AN13:AN23" si="31">IF(AD13="",,(DATE(AN$6,12,31)-AD13)/365)</f>
        <v>0</v>
      </c>
      <c r="AO13" s="1201">
        <f t="shared" ref="AO13:AO23" si="32">AE13*E13</f>
        <v>0</v>
      </c>
      <c r="AP13" s="1201">
        <f t="shared" si="12"/>
        <v>0</v>
      </c>
      <c r="AQ13" s="1201">
        <f t="shared" si="13"/>
        <v>0</v>
      </c>
      <c r="AR13" s="1201">
        <f t="shared" si="14"/>
        <v>8322.0041448942484</v>
      </c>
      <c r="AS13" s="1201">
        <f t="shared" si="15"/>
        <v>0</v>
      </c>
      <c r="AT13" s="1201">
        <f t="shared" si="16"/>
        <v>0</v>
      </c>
      <c r="AU13" s="1201">
        <f t="shared" si="17"/>
        <v>0</v>
      </c>
      <c r="AV13" s="1201">
        <f t="shared" si="18"/>
        <v>0</v>
      </c>
      <c r="AW13" s="1201">
        <f t="shared" si="19"/>
        <v>0</v>
      </c>
      <c r="AX13" s="1201">
        <f t="shared" si="20"/>
        <v>0</v>
      </c>
    </row>
    <row r="14" spans="1:50" ht="15" outlineLevel="1" x14ac:dyDescent="0.25">
      <c r="A14" s="64">
        <f t="shared" ref="A14:A26" si="33">+A13+1</f>
        <v>6</v>
      </c>
      <c r="B14" s="728" t="str">
        <f>'[11]COSTOS DEL PLAN'!B13</f>
        <v xml:space="preserve">LINEA DOBLE CTO. M. NANCE - FRONTERA 230 KV </v>
      </c>
      <c r="C14" s="2"/>
      <c r="D14" s="2"/>
      <c r="E14" s="2"/>
      <c r="F14" s="2"/>
      <c r="G14" s="2"/>
      <c r="H14" s="1226">
        <v>35360.927169999995</v>
      </c>
      <c r="I14" s="1226">
        <v>0</v>
      </c>
      <c r="J14" s="1226">
        <v>0</v>
      </c>
      <c r="K14" s="1226">
        <v>0</v>
      </c>
      <c r="L14" s="1226">
        <f>IF(YEAR('[11]COSTOS DEL PLAN'!$P13)=L$7,'[11]COSTOS DEL PLAN'!$O13,)</f>
        <v>0</v>
      </c>
      <c r="M14" s="1226">
        <f>IF(YEAR('[11]COSTOS DEL PLAN'!$P13)=M$7,'[11]COSTOS DEL PLAN'!$O13,)</f>
        <v>0</v>
      </c>
      <c r="N14" s="1226">
        <f>IF(YEAR('[11]COSTOS DEL PLAN'!$P13)=N$7,'[11]COSTOS DEL PLAN'!$O13,)</f>
        <v>0</v>
      </c>
      <c r="O14" s="66">
        <f>SUM(C14:N14)</f>
        <v>35360.927169999995</v>
      </c>
      <c r="P14" s="63"/>
      <c r="Q14" s="65">
        <f>'[11]COSTOS DEL PLAN'!P13</f>
        <v>45657</v>
      </c>
      <c r="R14" s="64"/>
      <c r="S14" s="82"/>
      <c r="T14" s="63"/>
      <c r="U14" s="155" t="str">
        <f t="shared" si="21"/>
        <v/>
      </c>
      <c r="V14" s="155" t="str">
        <f t="shared" si="10"/>
        <v/>
      </c>
      <c r="W14" s="155" t="str">
        <f t="shared" si="10"/>
        <v/>
      </c>
      <c r="X14" s="155">
        <f t="shared" si="10"/>
        <v>45657</v>
      </c>
      <c r="Y14" s="155" t="str">
        <f t="shared" si="10"/>
        <v/>
      </c>
      <c r="Z14" s="155" t="str">
        <f t="shared" si="10"/>
        <v/>
      </c>
      <c r="AA14" s="155" t="str">
        <f t="shared" si="10"/>
        <v/>
      </c>
      <c r="AB14" s="155" t="str">
        <f t="shared" si="10"/>
        <v/>
      </c>
      <c r="AC14" s="155" t="str">
        <f t="shared" si="10"/>
        <v/>
      </c>
      <c r="AD14" s="155" t="str">
        <f t="shared" si="10"/>
        <v/>
      </c>
      <c r="AE14" s="137">
        <f t="shared" si="22"/>
        <v>0</v>
      </c>
      <c r="AF14" s="137">
        <f t="shared" si="23"/>
        <v>0</v>
      </c>
      <c r="AG14" s="137">
        <f t="shared" si="24"/>
        <v>0</v>
      </c>
      <c r="AH14" s="137">
        <f t="shared" si="25"/>
        <v>0</v>
      </c>
      <c r="AI14" s="137">
        <f t="shared" si="26"/>
        <v>0</v>
      </c>
      <c r="AJ14" s="137">
        <f t="shared" si="27"/>
        <v>0</v>
      </c>
      <c r="AK14" s="137">
        <f t="shared" si="28"/>
        <v>0</v>
      </c>
      <c r="AL14" s="137">
        <f t="shared" si="29"/>
        <v>0</v>
      </c>
      <c r="AM14" s="137">
        <f t="shared" si="30"/>
        <v>0</v>
      </c>
      <c r="AN14" s="137">
        <f t="shared" si="31"/>
        <v>0</v>
      </c>
      <c r="AO14" s="1201">
        <f t="shared" si="32"/>
        <v>0</v>
      </c>
      <c r="AP14" s="1201">
        <f t="shared" si="12"/>
        <v>0</v>
      </c>
      <c r="AQ14" s="1201">
        <f t="shared" si="13"/>
        <v>0</v>
      </c>
      <c r="AR14" s="1201">
        <f t="shared" si="14"/>
        <v>0</v>
      </c>
      <c r="AS14" s="1201">
        <f t="shared" si="15"/>
        <v>0</v>
      </c>
      <c r="AT14" s="1201">
        <f t="shared" si="16"/>
        <v>0</v>
      </c>
      <c r="AU14" s="1201">
        <f t="shared" si="17"/>
        <v>0</v>
      </c>
      <c r="AV14" s="1201">
        <f t="shared" si="18"/>
        <v>0</v>
      </c>
      <c r="AW14" s="1201">
        <f t="shared" si="19"/>
        <v>0</v>
      </c>
      <c r="AX14" s="1201">
        <f t="shared" si="20"/>
        <v>0</v>
      </c>
    </row>
    <row r="15" spans="1:50" ht="15" outlineLevel="1" x14ac:dyDescent="0.25">
      <c r="A15" s="64">
        <v>6</v>
      </c>
      <c r="B15" s="728" t="str">
        <f>'[11]COSTOS DEL PLAN'!B14</f>
        <v>ADICION TRANSFORMADOR T3 S/E BOQUERON III 230/34.5 KV</v>
      </c>
      <c r="C15" s="2"/>
      <c r="D15" s="2"/>
      <c r="E15" s="2"/>
      <c r="F15" s="2"/>
      <c r="G15" s="2"/>
      <c r="H15" s="1226">
        <v>0</v>
      </c>
      <c r="I15" s="1226">
        <v>6784.6891399999995</v>
      </c>
      <c r="J15" s="1226">
        <v>0</v>
      </c>
      <c r="K15" s="1226">
        <v>0</v>
      </c>
      <c r="L15" s="1226">
        <f>IF(YEAR('[11]COSTOS DEL PLAN'!$P14)=L$7,'[11]COSTOS DEL PLAN'!$O14,)</f>
        <v>0</v>
      </c>
      <c r="M15" s="1226">
        <f>IF(YEAR('[11]COSTOS DEL PLAN'!$P14)=M$7,'[11]COSTOS DEL PLAN'!$O14,)</f>
        <v>0</v>
      </c>
      <c r="N15" s="1226">
        <f>IF(YEAR('[11]COSTOS DEL PLAN'!$P14)=N$7,'[11]COSTOS DEL PLAN'!$O14,)</f>
        <v>0</v>
      </c>
      <c r="O15" s="66">
        <f t="shared" ref="O15:O29" si="34">SUM(C15:N15)</f>
        <v>6784.6891399999995</v>
      </c>
      <c r="P15" s="63"/>
      <c r="Q15" s="65">
        <f>'[11]COSTOS DEL PLAN'!P14</f>
        <v>45702</v>
      </c>
      <c r="R15" s="64"/>
      <c r="S15" s="82"/>
      <c r="T15" s="63"/>
      <c r="U15" s="155" t="str">
        <f t="shared" si="21"/>
        <v/>
      </c>
      <c r="V15" s="155" t="str">
        <f t="shared" si="10"/>
        <v/>
      </c>
      <c r="W15" s="155" t="str">
        <f t="shared" si="10"/>
        <v/>
      </c>
      <c r="X15" s="155" t="str">
        <f t="shared" si="10"/>
        <v/>
      </c>
      <c r="Y15" s="155">
        <f t="shared" si="10"/>
        <v>45702</v>
      </c>
      <c r="Z15" s="155" t="str">
        <f t="shared" si="10"/>
        <v/>
      </c>
      <c r="AA15" s="155" t="str">
        <f t="shared" si="10"/>
        <v/>
      </c>
      <c r="AB15" s="155" t="str">
        <f t="shared" si="10"/>
        <v/>
      </c>
      <c r="AC15" s="155" t="str">
        <f t="shared" si="10"/>
        <v/>
      </c>
      <c r="AD15" s="155" t="str">
        <f t="shared" si="10"/>
        <v/>
      </c>
      <c r="AE15" s="137">
        <f t="shared" si="22"/>
        <v>0</v>
      </c>
      <c r="AF15" s="137">
        <f t="shared" si="23"/>
        <v>0</v>
      </c>
      <c r="AG15" s="137">
        <f t="shared" si="24"/>
        <v>0</v>
      </c>
      <c r="AH15" s="137">
        <f t="shared" si="25"/>
        <v>0</v>
      </c>
      <c r="AI15" s="137">
        <f t="shared" si="26"/>
        <v>0.87671232876712324</v>
      </c>
      <c r="AJ15" s="137">
        <f t="shared" si="27"/>
        <v>0</v>
      </c>
      <c r="AK15" s="137">
        <f t="shared" si="28"/>
        <v>0</v>
      </c>
      <c r="AL15" s="137">
        <f t="shared" si="29"/>
        <v>0</v>
      </c>
      <c r="AM15" s="137">
        <f t="shared" si="30"/>
        <v>0</v>
      </c>
      <c r="AN15" s="137">
        <f t="shared" si="31"/>
        <v>0</v>
      </c>
      <c r="AO15" s="1201">
        <f t="shared" si="32"/>
        <v>0</v>
      </c>
      <c r="AP15" s="1201">
        <f t="shared" si="12"/>
        <v>0</v>
      </c>
      <c r="AQ15" s="1201">
        <f t="shared" si="13"/>
        <v>0</v>
      </c>
      <c r="AR15" s="1201">
        <f t="shared" si="14"/>
        <v>0</v>
      </c>
      <c r="AS15" s="1201">
        <f t="shared" si="15"/>
        <v>5948.22061589041</v>
      </c>
      <c r="AT15" s="1201">
        <f t="shared" si="16"/>
        <v>0</v>
      </c>
      <c r="AU15" s="1201">
        <f t="shared" si="17"/>
        <v>0</v>
      </c>
      <c r="AV15" s="1201">
        <f t="shared" si="18"/>
        <v>0</v>
      </c>
      <c r="AW15" s="1201">
        <f t="shared" si="19"/>
        <v>0</v>
      </c>
      <c r="AX15" s="1201">
        <f t="shared" si="20"/>
        <v>0</v>
      </c>
    </row>
    <row r="16" spans="1:50" ht="15" outlineLevel="1" x14ac:dyDescent="0.25">
      <c r="A16" s="64">
        <v>7</v>
      </c>
      <c r="B16" s="728" t="str">
        <f>'[11]COSTOS DEL PLAN'!B15</f>
        <v>AUMENTO DE CAPACIDAD LT2 VELADERO - PANAMA II 230 KV 305 KM</v>
      </c>
      <c r="C16" s="2"/>
      <c r="D16" s="2"/>
      <c r="E16" s="2"/>
      <c r="F16" s="2"/>
      <c r="G16" s="2"/>
      <c r="H16" s="1226">
        <v>0</v>
      </c>
      <c r="I16" s="1226">
        <v>44699.986629999999</v>
      </c>
      <c r="J16" s="1226">
        <v>0</v>
      </c>
      <c r="K16" s="1226">
        <v>0</v>
      </c>
      <c r="L16" s="1226">
        <f>IF(YEAR('[11]COSTOS DEL PLAN'!$P15)=L$7,'[11]COSTOS DEL PLAN'!$O15,)</f>
        <v>0</v>
      </c>
      <c r="M16" s="1226">
        <f>IF(YEAR('[11]COSTOS DEL PLAN'!$P15)=M$7,'[11]COSTOS DEL PLAN'!$O15,)</f>
        <v>0</v>
      </c>
      <c r="N16" s="1226">
        <f>IF(YEAR('[11]COSTOS DEL PLAN'!$P15)=N$7,'[11]COSTOS DEL PLAN'!$O15,)</f>
        <v>0</v>
      </c>
      <c r="O16" s="66">
        <f t="shared" si="34"/>
        <v>44699.986629999999</v>
      </c>
      <c r="P16" s="63"/>
      <c r="Q16" s="65">
        <f>'[11]COSTOS DEL PLAN'!P15</f>
        <v>45776</v>
      </c>
      <c r="R16" s="64"/>
      <c r="S16" s="82"/>
      <c r="T16" s="63"/>
      <c r="U16" s="155" t="str">
        <f t="shared" si="21"/>
        <v/>
      </c>
      <c r="V16" s="155" t="str">
        <f t="shared" si="10"/>
        <v/>
      </c>
      <c r="W16" s="155" t="str">
        <f t="shared" si="10"/>
        <v/>
      </c>
      <c r="X16" s="155" t="str">
        <f t="shared" si="10"/>
        <v/>
      </c>
      <c r="Y16" s="155">
        <f t="shared" si="10"/>
        <v>45776</v>
      </c>
      <c r="Z16" s="155" t="str">
        <f t="shared" si="10"/>
        <v/>
      </c>
      <c r="AA16" s="155" t="str">
        <f t="shared" si="10"/>
        <v/>
      </c>
      <c r="AB16" s="155" t="str">
        <f t="shared" si="10"/>
        <v/>
      </c>
      <c r="AC16" s="155" t="str">
        <f t="shared" si="10"/>
        <v/>
      </c>
      <c r="AD16" s="155" t="str">
        <f t="shared" si="10"/>
        <v/>
      </c>
      <c r="AE16" s="137">
        <f t="shared" si="22"/>
        <v>0</v>
      </c>
      <c r="AF16" s="137">
        <f t="shared" si="23"/>
        <v>0</v>
      </c>
      <c r="AG16" s="137">
        <f t="shared" si="24"/>
        <v>0</v>
      </c>
      <c r="AH16" s="137">
        <f t="shared" si="25"/>
        <v>0</v>
      </c>
      <c r="AI16" s="137">
        <f t="shared" si="26"/>
        <v>0.67397260273972603</v>
      </c>
      <c r="AJ16" s="137">
        <f t="shared" si="27"/>
        <v>0</v>
      </c>
      <c r="AK16" s="137">
        <f t="shared" si="28"/>
        <v>0</v>
      </c>
      <c r="AL16" s="137">
        <f t="shared" si="29"/>
        <v>0</v>
      </c>
      <c r="AM16" s="137">
        <f t="shared" si="30"/>
        <v>0</v>
      </c>
      <c r="AN16" s="137">
        <f t="shared" si="31"/>
        <v>0</v>
      </c>
      <c r="AO16" s="1201">
        <f t="shared" si="32"/>
        <v>0</v>
      </c>
      <c r="AP16" s="1201">
        <f t="shared" si="12"/>
        <v>0</v>
      </c>
      <c r="AQ16" s="1201">
        <f t="shared" si="13"/>
        <v>0</v>
      </c>
      <c r="AR16" s="1201">
        <f t="shared" si="14"/>
        <v>0</v>
      </c>
      <c r="AS16" s="1201">
        <f t="shared" si="15"/>
        <v>30126.566331452053</v>
      </c>
      <c r="AT16" s="1201">
        <f t="shared" si="16"/>
        <v>0</v>
      </c>
      <c r="AU16" s="1201">
        <f t="shared" si="17"/>
        <v>0</v>
      </c>
      <c r="AV16" s="1201">
        <f t="shared" si="18"/>
        <v>0</v>
      </c>
      <c r="AW16" s="1201">
        <f t="shared" si="19"/>
        <v>0</v>
      </c>
      <c r="AX16" s="1201">
        <f t="shared" si="20"/>
        <v>0</v>
      </c>
    </row>
    <row r="17" spans="1:51" ht="15" outlineLevel="1" x14ac:dyDescent="0.25">
      <c r="A17" s="64">
        <f t="shared" si="33"/>
        <v>8</v>
      </c>
      <c r="B17" s="728" t="str">
        <f>'[11]COSTOS DEL PLAN'!B16</f>
        <v>AUMENTO DE CAPACIDAD LT1 VEL-LLS-EHI-CHO-PAN 230 KV 192 KM</v>
      </c>
      <c r="C17" s="2"/>
      <c r="D17" s="2"/>
      <c r="E17" s="2"/>
      <c r="F17" s="2"/>
      <c r="G17" s="2"/>
      <c r="H17" s="1226">
        <v>0</v>
      </c>
      <c r="I17" s="1226">
        <v>117067.75133</v>
      </c>
      <c r="J17" s="1226">
        <v>0</v>
      </c>
      <c r="K17" s="1226">
        <v>0</v>
      </c>
      <c r="L17" s="1226">
        <f>IF(YEAR('[11]COSTOS DEL PLAN'!$P16)=L$7,'[11]COSTOS DEL PLAN'!$O16,)</f>
        <v>0</v>
      </c>
      <c r="M17" s="1226">
        <f>IF(YEAR('[11]COSTOS DEL PLAN'!$P16)=M$7,'[11]COSTOS DEL PLAN'!$O16,)</f>
        <v>0</v>
      </c>
      <c r="N17" s="1226">
        <f>IF(YEAR('[11]COSTOS DEL PLAN'!$P16)=N$7,'[11]COSTOS DEL PLAN'!$O16,)</f>
        <v>0</v>
      </c>
      <c r="O17" s="66">
        <f t="shared" si="34"/>
        <v>117067.75133</v>
      </c>
      <c r="P17" s="63"/>
      <c r="Q17" s="65">
        <f>'[11]COSTOS DEL PLAN'!P16</f>
        <v>45813</v>
      </c>
      <c r="R17" s="64"/>
      <c r="S17" s="82"/>
      <c r="T17" s="63"/>
      <c r="U17" s="155" t="str">
        <f t="shared" si="21"/>
        <v/>
      </c>
      <c r="V17" s="155" t="str">
        <f t="shared" si="10"/>
        <v/>
      </c>
      <c r="W17" s="155" t="str">
        <f t="shared" si="10"/>
        <v/>
      </c>
      <c r="X17" s="155" t="str">
        <f t="shared" si="10"/>
        <v/>
      </c>
      <c r="Y17" s="155">
        <f t="shared" si="10"/>
        <v>45813</v>
      </c>
      <c r="Z17" s="155" t="str">
        <f t="shared" si="10"/>
        <v/>
      </c>
      <c r="AA17" s="155" t="str">
        <f t="shared" si="10"/>
        <v/>
      </c>
      <c r="AB17" s="155" t="str">
        <f t="shared" si="10"/>
        <v/>
      </c>
      <c r="AC17" s="155" t="str">
        <f t="shared" si="10"/>
        <v/>
      </c>
      <c r="AD17" s="155" t="str">
        <f t="shared" si="10"/>
        <v/>
      </c>
      <c r="AE17" s="137">
        <f t="shared" si="22"/>
        <v>0</v>
      </c>
      <c r="AF17" s="137">
        <f t="shared" si="23"/>
        <v>0</v>
      </c>
      <c r="AG17" s="137">
        <f t="shared" si="24"/>
        <v>0</v>
      </c>
      <c r="AH17" s="137">
        <f t="shared" si="25"/>
        <v>0</v>
      </c>
      <c r="AI17" s="137">
        <f t="shared" si="26"/>
        <v>0.57260273972602738</v>
      </c>
      <c r="AJ17" s="137">
        <f t="shared" si="27"/>
        <v>0</v>
      </c>
      <c r="AK17" s="137">
        <f t="shared" si="28"/>
        <v>0</v>
      </c>
      <c r="AL17" s="137">
        <f t="shared" si="29"/>
        <v>0</v>
      </c>
      <c r="AM17" s="137">
        <f t="shared" si="30"/>
        <v>0</v>
      </c>
      <c r="AN17" s="137">
        <f t="shared" si="31"/>
        <v>0</v>
      </c>
      <c r="AO17" s="1201">
        <f t="shared" si="32"/>
        <v>0</v>
      </c>
      <c r="AP17" s="1201">
        <f t="shared" si="12"/>
        <v>0</v>
      </c>
      <c r="AQ17" s="1201">
        <f t="shared" si="13"/>
        <v>0</v>
      </c>
      <c r="AR17" s="1201">
        <f t="shared" si="14"/>
        <v>0</v>
      </c>
      <c r="AS17" s="1201">
        <f t="shared" si="15"/>
        <v>67033.315145123284</v>
      </c>
      <c r="AT17" s="1201">
        <f t="shared" si="16"/>
        <v>0</v>
      </c>
      <c r="AU17" s="1201">
        <f t="shared" si="17"/>
        <v>0</v>
      </c>
      <c r="AV17" s="1201">
        <f t="shared" si="18"/>
        <v>0</v>
      </c>
      <c r="AW17" s="1201">
        <f t="shared" si="19"/>
        <v>0</v>
      </c>
      <c r="AX17" s="1201">
        <f t="shared" si="20"/>
        <v>0</v>
      </c>
    </row>
    <row r="18" spans="1:51" ht="15" outlineLevel="1" x14ac:dyDescent="0.25">
      <c r="A18" s="64">
        <v>9</v>
      </c>
      <c r="B18" s="728" t="str">
        <f>'[11]COSTOS DEL PLAN'!B17</f>
        <v>LINEA SAB-S.RITA 230 KV, S/E STA. RITA 230 KV Y AD. SABANITAS 230 KV</v>
      </c>
      <c r="C18" s="2"/>
      <c r="D18" s="2"/>
      <c r="E18" s="2"/>
      <c r="F18" s="2"/>
      <c r="G18" s="2"/>
      <c r="H18" s="1226">
        <v>0</v>
      </c>
      <c r="I18" s="1226">
        <v>21699.8859443</v>
      </c>
      <c r="J18" s="1226">
        <v>0</v>
      </c>
      <c r="K18" s="1226">
        <v>0</v>
      </c>
      <c r="L18" s="1226">
        <f>IF(YEAR('[11]COSTOS DEL PLAN'!$P17)=L$7,'[11]COSTOS DEL PLAN'!$O17,)</f>
        <v>0</v>
      </c>
      <c r="M18" s="1226">
        <f>IF(YEAR('[11]COSTOS DEL PLAN'!$P17)=M$7,'[11]COSTOS DEL PLAN'!$O17,)</f>
        <v>0</v>
      </c>
      <c r="N18" s="1226">
        <f>IF(YEAR('[11]COSTOS DEL PLAN'!$P17)=N$7,'[11]COSTOS DEL PLAN'!$O17,)</f>
        <v>0</v>
      </c>
      <c r="O18" s="66">
        <f t="shared" si="34"/>
        <v>21699.8859443</v>
      </c>
      <c r="P18" s="63"/>
      <c r="Q18" s="65">
        <f>'[11]COSTOS DEL PLAN'!P17</f>
        <v>45954</v>
      </c>
      <c r="R18" s="64"/>
      <c r="S18" s="82"/>
      <c r="T18" s="63"/>
      <c r="U18" s="155" t="str">
        <f t="shared" si="21"/>
        <v/>
      </c>
      <c r="V18" s="155" t="str">
        <f t="shared" si="10"/>
        <v/>
      </c>
      <c r="W18" s="155" t="str">
        <f t="shared" si="10"/>
        <v/>
      </c>
      <c r="X18" s="155" t="str">
        <f t="shared" si="10"/>
        <v/>
      </c>
      <c r="Y18" s="155">
        <f t="shared" si="10"/>
        <v>45954</v>
      </c>
      <c r="Z18" s="155" t="str">
        <f t="shared" si="10"/>
        <v/>
      </c>
      <c r="AA18" s="155" t="str">
        <f t="shared" si="10"/>
        <v/>
      </c>
      <c r="AB18" s="155" t="str">
        <f t="shared" si="10"/>
        <v/>
      </c>
      <c r="AC18" s="155" t="str">
        <f t="shared" si="10"/>
        <v/>
      </c>
      <c r="AD18" s="155" t="str">
        <f t="shared" si="10"/>
        <v/>
      </c>
      <c r="AE18" s="137">
        <f t="shared" si="22"/>
        <v>0</v>
      </c>
      <c r="AF18" s="137">
        <f t="shared" si="23"/>
        <v>0</v>
      </c>
      <c r="AG18" s="137">
        <f t="shared" si="24"/>
        <v>0</v>
      </c>
      <c r="AH18" s="137">
        <f t="shared" si="25"/>
        <v>0</v>
      </c>
      <c r="AI18" s="137">
        <f t="shared" si="26"/>
        <v>0.18630136986301371</v>
      </c>
      <c r="AJ18" s="137">
        <f t="shared" si="27"/>
        <v>0</v>
      </c>
      <c r="AK18" s="137">
        <f t="shared" si="28"/>
        <v>0</v>
      </c>
      <c r="AL18" s="137">
        <f t="shared" si="29"/>
        <v>0</v>
      </c>
      <c r="AM18" s="137">
        <f t="shared" si="30"/>
        <v>0</v>
      </c>
      <c r="AN18" s="137">
        <f t="shared" si="31"/>
        <v>0</v>
      </c>
      <c r="AO18" s="1201">
        <f t="shared" si="32"/>
        <v>0</v>
      </c>
      <c r="AP18" s="1201">
        <f t="shared" si="12"/>
        <v>0</v>
      </c>
      <c r="AQ18" s="1201">
        <f t="shared" si="13"/>
        <v>0</v>
      </c>
      <c r="AR18" s="1201">
        <f t="shared" si="14"/>
        <v>0</v>
      </c>
      <c r="AS18" s="1201">
        <f t="shared" si="15"/>
        <v>4042.7184772942469</v>
      </c>
      <c r="AT18" s="1201">
        <f t="shared" si="16"/>
        <v>0</v>
      </c>
      <c r="AU18" s="1201">
        <f t="shared" si="17"/>
        <v>0</v>
      </c>
      <c r="AV18" s="1201">
        <f t="shared" si="18"/>
        <v>0</v>
      </c>
      <c r="AW18" s="1201">
        <f t="shared" si="19"/>
        <v>0</v>
      </c>
      <c r="AX18" s="1201">
        <f t="shared" si="20"/>
        <v>0</v>
      </c>
    </row>
    <row r="19" spans="1:51" ht="15" outlineLevel="1" x14ac:dyDescent="0.25">
      <c r="A19" s="64">
        <v>10</v>
      </c>
      <c r="B19" s="728" t="str">
        <f>'[11]COSTOS DEL PLAN'!B18</f>
        <v>NUEVA LINEA PANAMA II - BAYANO 230 KV DOBLE CTO. 1200 ACAR.</v>
      </c>
      <c r="C19" s="2"/>
      <c r="D19" s="2"/>
      <c r="E19" s="2"/>
      <c r="F19" s="2"/>
      <c r="G19" s="2"/>
      <c r="H19" s="1226">
        <v>0</v>
      </c>
      <c r="I19" s="1226">
        <v>0</v>
      </c>
      <c r="J19" s="1226">
        <v>33734.791407500008</v>
      </c>
      <c r="K19" s="1226">
        <v>0</v>
      </c>
      <c r="L19" s="1226">
        <f>IF(YEAR('[11]COSTOS DEL PLAN'!$P18)=L$7,'[11]COSTOS DEL PLAN'!$O18,)</f>
        <v>0</v>
      </c>
      <c r="M19" s="1226">
        <f>IF(YEAR('[11]COSTOS DEL PLAN'!$P18)=M$7,'[11]COSTOS DEL PLAN'!$O18,)</f>
        <v>0</v>
      </c>
      <c r="N19" s="1226">
        <f>IF(YEAR('[11]COSTOS DEL PLAN'!$P18)=N$7,'[11]COSTOS DEL PLAN'!$O18,)</f>
        <v>0</v>
      </c>
      <c r="O19" s="66">
        <f t="shared" si="34"/>
        <v>33734.791407500008</v>
      </c>
      <c r="P19" s="63"/>
      <c r="Q19" s="65">
        <f>'[11]COSTOS DEL PLAN'!P18</f>
        <v>46182</v>
      </c>
      <c r="R19" s="64"/>
      <c r="S19" s="82"/>
      <c r="T19" s="63"/>
      <c r="U19" s="155" t="str">
        <f t="shared" si="21"/>
        <v/>
      </c>
      <c r="V19" s="155" t="str">
        <f t="shared" si="10"/>
        <v/>
      </c>
      <c r="W19" s="155" t="str">
        <f t="shared" si="10"/>
        <v/>
      </c>
      <c r="X19" s="155" t="str">
        <f t="shared" si="10"/>
        <v/>
      </c>
      <c r="Y19" s="155" t="str">
        <f t="shared" si="10"/>
        <v/>
      </c>
      <c r="Z19" s="155">
        <f t="shared" si="10"/>
        <v>46182</v>
      </c>
      <c r="AA19" s="155" t="str">
        <f t="shared" si="10"/>
        <v/>
      </c>
      <c r="AB19" s="155" t="str">
        <f t="shared" si="10"/>
        <v/>
      </c>
      <c r="AC19" s="155" t="str">
        <f t="shared" si="10"/>
        <v/>
      </c>
      <c r="AD19" s="155" t="str">
        <f t="shared" si="10"/>
        <v/>
      </c>
      <c r="AE19" s="137">
        <f t="shared" si="22"/>
        <v>0</v>
      </c>
      <c r="AF19" s="137">
        <f t="shared" si="23"/>
        <v>0</v>
      </c>
      <c r="AG19" s="137">
        <f t="shared" si="24"/>
        <v>0</v>
      </c>
      <c r="AH19" s="137">
        <f t="shared" si="25"/>
        <v>0</v>
      </c>
      <c r="AI19" s="137">
        <f t="shared" si="26"/>
        <v>0</v>
      </c>
      <c r="AJ19" s="137">
        <f t="shared" si="27"/>
        <v>0.56164383561643838</v>
      </c>
      <c r="AK19" s="137">
        <f t="shared" si="28"/>
        <v>0</v>
      </c>
      <c r="AL19" s="137">
        <f t="shared" si="29"/>
        <v>0</v>
      </c>
      <c r="AM19" s="137">
        <f t="shared" si="30"/>
        <v>0</v>
      </c>
      <c r="AN19" s="137">
        <f t="shared" si="31"/>
        <v>0</v>
      </c>
      <c r="AO19" s="1201">
        <f t="shared" si="32"/>
        <v>0</v>
      </c>
      <c r="AP19" s="1201">
        <f t="shared" si="12"/>
        <v>0</v>
      </c>
      <c r="AQ19" s="1201">
        <f t="shared" si="13"/>
        <v>0</v>
      </c>
      <c r="AR19" s="1201">
        <f t="shared" si="14"/>
        <v>0</v>
      </c>
      <c r="AS19" s="1201">
        <f t="shared" si="15"/>
        <v>0</v>
      </c>
      <c r="AT19" s="1201">
        <f t="shared" si="16"/>
        <v>18946.937639828771</v>
      </c>
      <c r="AU19" s="1201">
        <f t="shared" si="17"/>
        <v>0</v>
      </c>
      <c r="AV19" s="1201">
        <f t="shared" si="18"/>
        <v>0</v>
      </c>
      <c r="AW19" s="1201">
        <f t="shared" si="19"/>
        <v>0</v>
      </c>
      <c r="AX19" s="1201">
        <f t="shared" si="20"/>
        <v>0</v>
      </c>
    </row>
    <row r="20" spans="1:51" ht="15" outlineLevel="1" x14ac:dyDescent="0.25">
      <c r="A20" s="64">
        <f t="shared" si="33"/>
        <v>11</v>
      </c>
      <c r="B20" s="728" t="str">
        <f>'[11]COSTOS DEL PLAN'!B19</f>
        <v xml:space="preserve">NUEVA S/E CHEPO 230 KV </v>
      </c>
      <c r="C20" s="2"/>
      <c r="D20" s="2"/>
      <c r="E20" s="2"/>
      <c r="F20" s="2"/>
      <c r="G20" s="2"/>
      <c r="H20" s="1226">
        <v>0</v>
      </c>
      <c r="I20" s="1226">
        <v>0</v>
      </c>
      <c r="J20" s="1226">
        <v>16156.204775000002</v>
      </c>
      <c r="K20" s="1226">
        <v>0</v>
      </c>
      <c r="L20" s="1226">
        <f>IF(YEAR('[11]COSTOS DEL PLAN'!$P19)=L$7,'[11]COSTOS DEL PLAN'!$O19,)</f>
        <v>0</v>
      </c>
      <c r="M20" s="1226">
        <f>IF(YEAR('[11]COSTOS DEL PLAN'!$P19)=M$7,'[11]COSTOS DEL PLAN'!$O19,)</f>
        <v>0</v>
      </c>
      <c r="N20" s="1226">
        <f>IF(YEAR('[11]COSTOS DEL PLAN'!$P19)=N$7,'[11]COSTOS DEL PLAN'!$O19,)</f>
        <v>0</v>
      </c>
      <c r="O20" s="66">
        <f t="shared" si="34"/>
        <v>16156.204775000002</v>
      </c>
      <c r="P20" s="63"/>
      <c r="Q20" s="65">
        <f>'[11]COSTOS DEL PLAN'!P19</f>
        <v>46182</v>
      </c>
      <c r="R20" s="64"/>
      <c r="S20" s="82"/>
      <c r="T20" s="63"/>
      <c r="U20" s="155" t="str">
        <f t="shared" si="21"/>
        <v/>
      </c>
      <c r="V20" s="155" t="str">
        <f t="shared" si="10"/>
        <v/>
      </c>
      <c r="W20" s="155" t="str">
        <f t="shared" si="10"/>
        <v/>
      </c>
      <c r="X20" s="155" t="str">
        <f t="shared" si="10"/>
        <v/>
      </c>
      <c r="Y20" s="155" t="str">
        <f t="shared" si="10"/>
        <v/>
      </c>
      <c r="Z20" s="155">
        <f t="shared" si="10"/>
        <v>46182</v>
      </c>
      <c r="AA20" s="155" t="str">
        <f t="shared" si="10"/>
        <v/>
      </c>
      <c r="AB20" s="155" t="str">
        <f t="shared" si="10"/>
        <v/>
      </c>
      <c r="AC20" s="155" t="str">
        <f t="shared" si="10"/>
        <v/>
      </c>
      <c r="AD20" s="155" t="str">
        <f t="shared" si="10"/>
        <v/>
      </c>
      <c r="AE20" s="137">
        <f t="shared" si="22"/>
        <v>0</v>
      </c>
      <c r="AF20" s="137">
        <f t="shared" si="23"/>
        <v>0</v>
      </c>
      <c r="AG20" s="137">
        <f t="shared" si="24"/>
        <v>0</v>
      </c>
      <c r="AH20" s="137">
        <f t="shared" si="25"/>
        <v>0</v>
      </c>
      <c r="AI20" s="137">
        <f t="shared" si="26"/>
        <v>0</v>
      </c>
      <c r="AJ20" s="137">
        <f t="shared" si="27"/>
        <v>0.56164383561643838</v>
      </c>
      <c r="AK20" s="137">
        <f t="shared" si="28"/>
        <v>0</v>
      </c>
      <c r="AL20" s="137">
        <f t="shared" si="29"/>
        <v>0</v>
      </c>
      <c r="AM20" s="137">
        <f t="shared" si="30"/>
        <v>0</v>
      </c>
      <c r="AN20" s="137">
        <f t="shared" si="31"/>
        <v>0</v>
      </c>
      <c r="AO20" s="1201">
        <f t="shared" si="32"/>
        <v>0</v>
      </c>
      <c r="AP20" s="1201">
        <f t="shared" si="12"/>
        <v>0</v>
      </c>
      <c r="AQ20" s="1201">
        <f t="shared" si="13"/>
        <v>0</v>
      </c>
      <c r="AR20" s="1201">
        <f t="shared" si="14"/>
        <v>0</v>
      </c>
      <c r="AS20" s="1201">
        <f t="shared" si="15"/>
        <v>0</v>
      </c>
      <c r="AT20" s="1201">
        <f t="shared" si="16"/>
        <v>9074.0328188356179</v>
      </c>
      <c r="AU20" s="1201">
        <f t="shared" si="17"/>
        <v>0</v>
      </c>
      <c r="AV20" s="1201">
        <f t="shared" si="18"/>
        <v>0</v>
      </c>
      <c r="AW20" s="1201">
        <f t="shared" si="19"/>
        <v>0</v>
      </c>
      <c r="AX20" s="1201">
        <f t="shared" si="20"/>
        <v>0</v>
      </c>
    </row>
    <row r="21" spans="1:51" ht="15" outlineLevel="1" x14ac:dyDescent="0.25">
      <c r="B21" s="728"/>
      <c r="C21" s="2"/>
      <c r="D21" s="2"/>
      <c r="E21" s="2"/>
      <c r="F21" s="2"/>
      <c r="G21" s="2"/>
      <c r="H21" s="1226"/>
      <c r="I21" s="1226"/>
      <c r="J21" s="1226"/>
      <c r="K21" s="1226"/>
      <c r="L21" s="1226"/>
      <c r="M21" s="1226"/>
      <c r="N21" s="1226"/>
      <c r="O21" s="66"/>
      <c r="P21" s="63"/>
      <c r="Q21" s="65"/>
      <c r="R21" s="64"/>
      <c r="S21" s="82"/>
      <c r="T21" s="63"/>
      <c r="U21" s="155" t="str">
        <f t="shared" si="21"/>
        <v/>
      </c>
      <c r="V21" s="155" t="str">
        <f t="shared" si="10"/>
        <v/>
      </c>
      <c r="W21" s="155" t="str">
        <f t="shared" si="10"/>
        <v/>
      </c>
      <c r="X21" s="155" t="str">
        <f t="shared" si="10"/>
        <v/>
      </c>
      <c r="Y21" s="155" t="str">
        <f t="shared" si="10"/>
        <v/>
      </c>
      <c r="Z21" s="155" t="str">
        <f t="shared" si="10"/>
        <v/>
      </c>
      <c r="AA21" s="155" t="str">
        <f t="shared" si="10"/>
        <v/>
      </c>
      <c r="AB21" s="155" t="str">
        <f t="shared" si="10"/>
        <v/>
      </c>
      <c r="AC21" s="155" t="str">
        <f t="shared" si="10"/>
        <v/>
      </c>
      <c r="AD21" s="155" t="str">
        <f t="shared" si="10"/>
        <v/>
      </c>
      <c r="AE21" s="137">
        <f t="shared" si="22"/>
        <v>0</v>
      </c>
      <c r="AF21" s="137">
        <f t="shared" si="23"/>
        <v>0</v>
      </c>
      <c r="AG21" s="137">
        <f t="shared" si="24"/>
        <v>0</v>
      </c>
      <c r="AH21" s="137">
        <f t="shared" si="25"/>
        <v>0</v>
      </c>
      <c r="AI21" s="137">
        <f t="shared" si="26"/>
        <v>0</v>
      </c>
      <c r="AJ21" s="137">
        <f t="shared" si="27"/>
        <v>0</v>
      </c>
      <c r="AK21" s="137">
        <f t="shared" si="28"/>
        <v>0</v>
      </c>
      <c r="AL21" s="137">
        <f t="shared" si="29"/>
        <v>0</v>
      </c>
      <c r="AM21" s="137">
        <f t="shared" si="30"/>
        <v>0</v>
      </c>
      <c r="AN21" s="137">
        <f t="shared" si="31"/>
        <v>0</v>
      </c>
      <c r="AO21" s="1201">
        <f t="shared" si="32"/>
        <v>0</v>
      </c>
      <c r="AP21" s="1201">
        <f t="shared" si="12"/>
        <v>0</v>
      </c>
      <c r="AQ21" s="1201">
        <f t="shared" si="13"/>
        <v>0</v>
      </c>
      <c r="AR21" s="1201">
        <f t="shared" si="14"/>
        <v>0</v>
      </c>
      <c r="AS21" s="1201">
        <f t="shared" si="15"/>
        <v>0</v>
      </c>
      <c r="AT21" s="1201">
        <f t="shared" si="16"/>
        <v>0</v>
      </c>
      <c r="AU21" s="1201">
        <f t="shared" si="17"/>
        <v>0</v>
      </c>
      <c r="AV21" s="1201">
        <f t="shared" si="18"/>
        <v>0</v>
      </c>
      <c r="AW21" s="1201">
        <f t="shared" si="19"/>
        <v>0</v>
      </c>
      <c r="AX21" s="1201">
        <f t="shared" si="20"/>
        <v>0</v>
      </c>
    </row>
    <row r="22" spans="1:51" ht="15" outlineLevel="1" x14ac:dyDescent="0.25">
      <c r="A22" s="64">
        <v>13</v>
      </c>
      <c r="B22" s="728"/>
      <c r="C22" s="2"/>
      <c r="D22" s="2"/>
      <c r="E22" s="2"/>
      <c r="F22" s="2"/>
      <c r="G22" s="2"/>
      <c r="H22" s="1226"/>
      <c r="I22" s="1226"/>
      <c r="J22" s="1226"/>
      <c r="K22" s="1226"/>
      <c r="L22" s="1226"/>
      <c r="M22" s="1226"/>
      <c r="N22" s="1226"/>
      <c r="O22" s="66">
        <f t="shared" si="34"/>
        <v>0</v>
      </c>
      <c r="P22" s="63"/>
      <c r="Q22" s="65"/>
      <c r="R22" s="64"/>
      <c r="S22" s="82"/>
      <c r="T22" s="63"/>
      <c r="U22" s="155" t="str">
        <f t="shared" si="21"/>
        <v/>
      </c>
      <c r="V22" s="155" t="str">
        <f t="shared" si="10"/>
        <v/>
      </c>
      <c r="W22" s="155" t="str">
        <f t="shared" si="10"/>
        <v/>
      </c>
      <c r="X22" s="155" t="str">
        <f t="shared" si="10"/>
        <v/>
      </c>
      <c r="Y22" s="155" t="str">
        <f t="shared" si="10"/>
        <v/>
      </c>
      <c r="Z22" s="155" t="str">
        <f t="shared" si="10"/>
        <v/>
      </c>
      <c r="AA22" s="155" t="str">
        <f t="shared" si="10"/>
        <v/>
      </c>
      <c r="AB22" s="155" t="str">
        <f t="shared" si="10"/>
        <v/>
      </c>
      <c r="AC22" s="155" t="str">
        <f t="shared" si="10"/>
        <v/>
      </c>
      <c r="AD22" s="155" t="str">
        <f t="shared" si="10"/>
        <v/>
      </c>
      <c r="AE22" s="137">
        <f t="shared" si="22"/>
        <v>0</v>
      </c>
      <c r="AF22" s="137">
        <f t="shared" si="23"/>
        <v>0</v>
      </c>
      <c r="AG22" s="137">
        <f t="shared" si="24"/>
        <v>0</v>
      </c>
      <c r="AH22" s="137">
        <f t="shared" si="25"/>
        <v>0</v>
      </c>
      <c r="AI22" s="137">
        <f t="shared" si="26"/>
        <v>0</v>
      </c>
      <c r="AJ22" s="137">
        <f t="shared" si="27"/>
        <v>0</v>
      </c>
      <c r="AK22" s="137">
        <f t="shared" si="28"/>
        <v>0</v>
      </c>
      <c r="AL22" s="137">
        <f t="shared" si="29"/>
        <v>0</v>
      </c>
      <c r="AM22" s="137">
        <f t="shared" si="30"/>
        <v>0</v>
      </c>
      <c r="AN22" s="137">
        <f t="shared" si="31"/>
        <v>0</v>
      </c>
      <c r="AO22" s="1201">
        <f t="shared" si="32"/>
        <v>0</v>
      </c>
      <c r="AP22" s="1201">
        <f t="shared" si="12"/>
        <v>0</v>
      </c>
      <c r="AQ22" s="1201">
        <f t="shared" si="13"/>
        <v>0</v>
      </c>
      <c r="AR22" s="1201">
        <f t="shared" si="14"/>
        <v>0</v>
      </c>
      <c r="AS22" s="1201">
        <f t="shared" si="15"/>
        <v>0</v>
      </c>
      <c r="AT22" s="1201">
        <f t="shared" si="16"/>
        <v>0</v>
      </c>
      <c r="AU22" s="1201">
        <f t="shared" si="17"/>
        <v>0</v>
      </c>
      <c r="AV22" s="1201">
        <f t="shared" si="18"/>
        <v>0</v>
      </c>
      <c r="AW22" s="1201">
        <f t="shared" si="19"/>
        <v>0</v>
      </c>
      <c r="AX22" s="1201">
        <f t="shared" si="20"/>
        <v>0</v>
      </c>
    </row>
    <row r="23" spans="1:51" ht="15" outlineLevel="1" x14ac:dyDescent="0.25">
      <c r="A23" s="64">
        <f t="shared" si="33"/>
        <v>14</v>
      </c>
      <c r="B23" s="728"/>
      <c r="C23"/>
      <c r="D23"/>
      <c r="E23"/>
      <c r="G23" s="686"/>
      <c r="H23" s="322"/>
      <c r="I23" s="322"/>
      <c r="J23" s="322"/>
      <c r="K23" s="322"/>
      <c r="L23" s="322"/>
      <c r="M23" s="322"/>
      <c r="N23" s="322"/>
      <c r="O23" s="66">
        <f t="shared" si="34"/>
        <v>0</v>
      </c>
      <c r="P23" s="63"/>
      <c r="Q23" s="82"/>
      <c r="R23" s="64"/>
      <c r="S23" s="82"/>
      <c r="T23" s="63"/>
      <c r="U23" s="155" t="str">
        <f t="shared" si="21"/>
        <v/>
      </c>
      <c r="V23" s="155" t="str">
        <f t="shared" si="10"/>
        <v/>
      </c>
      <c r="W23" s="155" t="str">
        <f t="shared" si="10"/>
        <v/>
      </c>
      <c r="X23" s="155" t="str">
        <f t="shared" si="10"/>
        <v/>
      </c>
      <c r="Y23" s="155" t="str">
        <f t="shared" si="10"/>
        <v/>
      </c>
      <c r="Z23" s="155" t="str">
        <f t="shared" si="10"/>
        <v/>
      </c>
      <c r="AA23" s="155" t="str">
        <f t="shared" si="10"/>
        <v/>
      </c>
      <c r="AB23" s="155" t="str">
        <f t="shared" si="10"/>
        <v/>
      </c>
      <c r="AC23" s="155" t="str">
        <f t="shared" si="10"/>
        <v/>
      </c>
      <c r="AD23" s="155" t="str">
        <f t="shared" si="10"/>
        <v/>
      </c>
      <c r="AE23" s="137">
        <f t="shared" si="22"/>
        <v>0</v>
      </c>
      <c r="AF23" s="137">
        <f t="shared" si="23"/>
        <v>0</v>
      </c>
      <c r="AG23" s="137">
        <f t="shared" si="24"/>
        <v>0</v>
      </c>
      <c r="AH23" s="137">
        <f t="shared" si="25"/>
        <v>0</v>
      </c>
      <c r="AI23" s="137">
        <f t="shared" si="26"/>
        <v>0</v>
      </c>
      <c r="AJ23" s="137">
        <f t="shared" si="27"/>
        <v>0</v>
      </c>
      <c r="AK23" s="137">
        <f t="shared" si="28"/>
        <v>0</v>
      </c>
      <c r="AL23" s="137">
        <f t="shared" si="29"/>
        <v>0</v>
      </c>
      <c r="AM23" s="137">
        <f t="shared" si="30"/>
        <v>0</v>
      </c>
      <c r="AN23" s="137">
        <f t="shared" si="31"/>
        <v>0</v>
      </c>
      <c r="AO23" s="1201">
        <f t="shared" si="32"/>
        <v>0</v>
      </c>
      <c r="AP23" s="1201">
        <f t="shared" si="12"/>
        <v>0</v>
      </c>
      <c r="AQ23" s="1201">
        <f t="shared" si="13"/>
        <v>0</v>
      </c>
      <c r="AR23" s="1201">
        <f t="shared" si="14"/>
        <v>0</v>
      </c>
      <c r="AS23" s="1201">
        <f t="shared" si="15"/>
        <v>0</v>
      </c>
      <c r="AT23" s="1201">
        <f t="shared" si="16"/>
        <v>0</v>
      </c>
      <c r="AU23" s="1201">
        <f t="shared" si="17"/>
        <v>0</v>
      </c>
      <c r="AV23" s="1201">
        <f t="shared" si="18"/>
        <v>0</v>
      </c>
      <c r="AW23" s="1201">
        <f t="shared" si="19"/>
        <v>0</v>
      </c>
      <c r="AX23" s="1201">
        <f t="shared" si="20"/>
        <v>0</v>
      </c>
    </row>
    <row r="24" spans="1:51" ht="15" x14ac:dyDescent="0.25">
      <c r="A24" s="64">
        <v>15</v>
      </c>
      <c r="B24" s="728"/>
      <c r="C24"/>
      <c r="D24"/>
      <c r="E24"/>
      <c r="F24" s="67"/>
      <c r="G24" s="686"/>
      <c r="H24" s="323"/>
      <c r="I24" s="323"/>
      <c r="J24" s="323"/>
      <c r="K24" s="323"/>
      <c r="L24" s="322"/>
      <c r="M24" s="322"/>
      <c r="N24" s="322"/>
      <c r="O24" s="66">
        <f t="shared" si="34"/>
        <v>0</v>
      </c>
      <c r="P24" s="63"/>
      <c r="Q24" s="82"/>
      <c r="R24" s="64"/>
      <c r="S24" s="82"/>
      <c r="T24" s="63"/>
      <c r="U24" s="158"/>
      <c r="V24" s="155"/>
      <c r="W24" s="158"/>
      <c r="X24" s="158"/>
      <c r="Y24" s="158"/>
      <c r="Z24" s="651"/>
      <c r="AA24" s="82"/>
      <c r="AB24" s="158"/>
      <c r="AC24" s="158"/>
      <c r="AD24" s="158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</row>
    <row r="25" spans="1:51" ht="15" outlineLevel="1" x14ac:dyDescent="0.25">
      <c r="A25" s="64">
        <v>16</v>
      </c>
      <c r="B25" s="686"/>
      <c r="C25"/>
      <c r="D25"/>
      <c r="E25"/>
      <c r="F25" s="67"/>
      <c r="G25" s="686"/>
      <c r="H25" s="323"/>
      <c r="I25" s="323"/>
      <c r="J25" s="323"/>
      <c r="K25" s="323"/>
      <c r="L25" s="322"/>
      <c r="M25" s="322"/>
      <c r="N25" s="322"/>
      <c r="O25" s="66">
        <f t="shared" si="34"/>
        <v>0</v>
      </c>
      <c r="P25" s="63"/>
      <c r="Q25" s="82"/>
      <c r="R25" s="64"/>
      <c r="S25" s="82"/>
      <c r="T25" s="63"/>
      <c r="U25" s="155"/>
      <c r="W25" s="158"/>
      <c r="X25" s="158"/>
      <c r="Y25" s="158"/>
      <c r="Z25" s="82"/>
      <c r="AA25" s="82"/>
      <c r="AB25" s="158"/>
      <c r="AC25" s="158"/>
      <c r="AD25" s="158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</row>
    <row r="26" spans="1:51" ht="15" outlineLevel="1" x14ac:dyDescent="0.25">
      <c r="A26" s="64">
        <f t="shared" si="33"/>
        <v>17</v>
      </c>
      <c r="B26" s="686"/>
      <c r="C26"/>
      <c r="D26"/>
      <c r="E26"/>
      <c r="F26" s="67"/>
      <c r="G26" s="686"/>
      <c r="H26" s="323"/>
      <c r="I26" s="74"/>
      <c r="J26" s="323"/>
      <c r="K26" s="323"/>
      <c r="L26" s="322"/>
      <c r="M26" s="323"/>
      <c r="N26" s="323"/>
      <c r="O26" s="66">
        <f t="shared" si="34"/>
        <v>0</v>
      </c>
      <c r="P26" s="63"/>
      <c r="Q26" s="82"/>
      <c r="R26" s="65"/>
      <c r="S26" s="82"/>
      <c r="T26" s="63"/>
      <c r="U26" s="158"/>
      <c r="V26" s="158"/>
      <c r="W26" s="155"/>
      <c r="X26" s="155"/>
      <c r="Y26" s="155"/>
      <c r="Z26" s="82"/>
      <c r="AA26" s="82"/>
      <c r="AB26" s="158"/>
      <c r="AC26" s="158"/>
      <c r="AD26" s="158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</row>
    <row r="27" spans="1:51" s="67" customFormat="1" ht="15" outlineLevel="1" x14ac:dyDescent="0.25">
      <c r="A27" s="64"/>
      <c r="B27"/>
      <c r="C27"/>
      <c r="D27"/>
      <c r="E27"/>
      <c r="F27"/>
      <c r="G27" s="323"/>
      <c r="H27" s="323"/>
      <c r="I27" s="323"/>
      <c r="J27" s="323"/>
      <c r="K27" s="323"/>
      <c r="L27" s="323"/>
      <c r="M27" s="323"/>
      <c r="N27" s="323"/>
      <c r="O27" s="66">
        <f t="shared" si="34"/>
        <v>0</v>
      </c>
      <c r="P27" s="63"/>
      <c r="Q27" s="82"/>
      <c r="R27" s="64"/>
      <c r="S27" s="82"/>
      <c r="T27" s="63"/>
      <c r="U27" s="159"/>
      <c r="V27" s="155"/>
      <c r="W27" s="159"/>
      <c r="X27" s="159"/>
      <c r="Y27" s="159"/>
      <c r="Z27" s="82"/>
      <c r="AA27" s="159"/>
      <c r="AB27" s="159"/>
      <c r="AC27" s="159"/>
      <c r="AD27" s="159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Q27" s="62"/>
      <c r="AR27" s="62"/>
      <c r="AY27" s="62"/>
    </row>
    <row r="28" spans="1:51" s="67" customFormat="1" ht="15" outlineLevel="1" x14ac:dyDescent="0.25">
      <c r="A28" s="64"/>
      <c r="B28"/>
      <c r="C28"/>
      <c r="D28"/>
      <c r="E28"/>
      <c r="F28"/>
      <c r="G28" s="323"/>
      <c r="H28" s="323"/>
      <c r="I28" s="323"/>
      <c r="J28" s="323"/>
      <c r="K28" s="323"/>
      <c r="L28" s="323"/>
      <c r="M28" s="323"/>
      <c r="N28" s="323"/>
      <c r="O28" s="66">
        <f t="shared" si="34"/>
        <v>0</v>
      </c>
      <c r="P28" s="63"/>
      <c r="Q28" s="82"/>
      <c r="R28" s="64"/>
      <c r="S28" s="82"/>
      <c r="T28" s="63"/>
      <c r="U28" s="159"/>
      <c r="V28" s="155"/>
      <c r="W28" s="155"/>
      <c r="X28" s="155"/>
      <c r="Y28" s="159"/>
      <c r="Z28" s="82"/>
      <c r="AA28" s="159"/>
      <c r="AB28" s="159"/>
      <c r="AC28" s="159"/>
      <c r="AD28" s="159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Q28" s="62"/>
      <c r="AR28" s="62"/>
      <c r="AY28" s="62"/>
    </row>
    <row r="29" spans="1:51" s="67" customFormat="1" ht="15" outlineLevel="1" x14ac:dyDescent="0.25">
      <c r="A29" s="64"/>
      <c r="B29"/>
      <c r="C29"/>
      <c r="D29"/>
      <c r="E29"/>
      <c r="F29"/>
      <c r="G29" s="323"/>
      <c r="H29" s="323"/>
      <c r="I29" s="323"/>
      <c r="J29" s="323"/>
      <c r="K29" s="323"/>
      <c r="L29" s="323"/>
      <c r="M29" s="323"/>
      <c r="N29" s="323"/>
      <c r="O29" s="66">
        <f t="shared" si="34"/>
        <v>0</v>
      </c>
      <c r="P29" s="63"/>
      <c r="Q29" s="82"/>
      <c r="R29" s="64"/>
      <c r="S29" s="82"/>
      <c r="T29" s="63"/>
      <c r="U29" s="159"/>
      <c r="V29" s="155"/>
      <c r="W29" s="155"/>
      <c r="X29" s="155"/>
      <c r="Y29" s="159"/>
      <c r="Z29" s="82"/>
      <c r="AA29" s="159"/>
      <c r="AB29" s="159"/>
      <c r="AC29" s="159"/>
      <c r="AD29" s="159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Q29" s="62"/>
      <c r="AR29" s="62"/>
      <c r="AY29" s="62"/>
    </row>
    <row r="30" spans="1:51" s="500" customFormat="1" ht="15" outlineLevel="1" x14ac:dyDescent="0.25">
      <c r="A30" s="490"/>
      <c r="B30" s="501" t="s">
        <v>481</v>
      </c>
      <c r="C30" s="501"/>
      <c r="D30" s="501"/>
      <c r="E30" s="501"/>
      <c r="F30" s="501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502"/>
      <c r="R30" s="490"/>
      <c r="S30" s="502"/>
      <c r="T30" s="497"/>
      <c r="V30" s="502"/>
      <c r="W30" s="502"/>
      <c r="X30" s="502"/>
      <c r="AE30" s="503"/>
      <c r="AF30" s="503"/>
      <c r="AG30" s="503"/>
      <c r="AH30" s="503"/>
      <c r="AI30" s="503"/>
      <c r="AJ30" s="503"/>
      <c r="AK30" s="503"/>
      <c r="AL30" s="503"/>
      <c r="AM30" s="503"/>
      <c r="AN30" s="503"/>
    </row>
    <row r="31" spans="1:51" s="67" customFormat="1" ht="15" outlineLevel="1" x14ac:dyDescent="0.25">
      <c r="A31" s="64">
        <v>18</v>
      </c>
      <c r="B31" s="686" t="str">
        <f>'[11]COSTOS DEL PLAN'!B21</f>
        <v>NUEVA S/E CACERES 115 KV GIS</v>
      </c>
      <c r="C31" s="2"/>
      <c r="D31" s="2"/>
      <c r="E31" s="2"/>
      <c r="F31" s="2"/>
      <c r="G31" s="2"/>
      <c r="H31" s="1226">
        <f>IF(YEAR('[11]COSTOS DEL PLAN'!$P21)=H$7,'[11]COSTOS DEL PLAN'!$O21,)</f>
        <v>0</v>
      </c>
      <c r="I31" s="1226">
        <v>0</v>
      </c>
      <c r="J31" s="1226">
        <v>0</v>
      </c>
      <c r="K31" s="1226">
        <f>IF(YEAR('[11]COSTOS DEL PLAN'!$P21)=K$7,'[11]COSTOS DEL PLAN'!$O21,)</f>
        <v>0</v>
      </c>
      <c r="L31" s="1226">
        <f>IF(YEAR('[11]COSTOS DEL PLAN'!$P21)=L$7,'[11]COSTOS DEL PLAN'!$O21,)</f>
        <v>0</v>
      </c>
      <c r="M31" s="1226">
        <f>IF(YEAR('[11]COSTOS DEL PLAN'!$P21)=M$7,'[11]COSTOS DEL PLAN'!$O21,)</f>
        <v>0</v>
      </c>
      <c r="N31" s="1226">
        <f>IF(YEAR('[11]COSTOS DEL PLAN'!$P21)=N$7,'[11]COSTOS DEL PLAN'!$O21,)</f>
        <v>0</v>
      </c>
      <c r="O31" s="66">
        <f t="shared" ref="O31:O46" si="35">SUM(C31:N31)</f>
        <v>0</v>
      </c>
      <c r="P31" s="63"/>
      <c r="Q31" s="82">
        <f>'[11]COSTOS DEL PLAN'!P21</f>
        <v>46033</v>
      </c>
      <c r="R31" s="64"/>
      <c r="S31" s="82"/>
      <c r="T31" s="63"/>
      <c r="U31" s="155" t="str">
        <f t="shared" ref="U31:AD46" si="36">IF(U$6=YEAR($Q31),$Q31,"")</f>
        <v/>
      </c>
      <c r="V31" s="155" t="str">
        <f t="shared" si="36"/>
        <v/>
      </c>
      <c r="W31" s="155" t="str">
        <f t="shared" si="36"/>
        <v/>
      </c>
      <c r="X31" s="155" t="str">
        <f t="shared" si="36"/>
        <v/>
      </c>
      <c r="Y31" s="155" t="str">
        <f t="shared" si="36"/>
        <v/>
      </c>
      <c r="Z31" s="155">
        <f t="shared" si="36"/>
        <v>46033</v>
      </c>
      <c r="AA31" s="155" t="str">
        <f t="shared" si="36"/>
        <v/>
      </c>
      <c r="AB31" s="155" t="str">
        <f t="shared" si="36"/>
        <v/>
      </c>
      <c r="AC31" s="155" t="str">
        <f t="shared" si="36"/>
        <v/>
      </c>
      <c r="AD31" s="155" t="str">
        <f t="shared" si="36"/>
        <v/>
      </c>
      <c r="AE31" s="137">
        <f t="shared" ref="AE31:AE46" si="37">IF(U31="",,(DATE(AE$6,12,31)-U31)/365)</f>
        <v>0</v>
      </c>
      <c r="AF31" s="137">
        <f t="shared" ref="AF31:AF46" si="38">IF(V31="",,(DATE(AF$6,12,31)-V31)/365)</f>
        <v>0</v>
      </c>
      <c r="AG31" s="137">
        <f t="shared" ref="AG31:AG46" si="39">IF(W31="",,(DATE(AG$6,12,31)-W31)/365)</f>
        <v>0</v>
      </c>
      <c r="AH31" s="137">
        <f t="shared" ref="AH31:AH46" si="40">IF(X31="",,(DATE(AH$6,12,31)-X31)/365)</f>
        <v>0</v>
      </c>
      <c r="AI31" s="137">
        <f t="shared" ref="AI31:AI46" si="41">IF(Y31="",,(DATE(AI$6,12,31)-Y31)/365)</f>
        <v>0</v>
      </c>
      <c r="AJ31" s="137">
        <f>IF(Z31="",,(DATE(AJ$6,12,31)-Z31)/365)</f>
        <v>0.96986301369863015</v>
      </c>
      <c r="AK31" s="137">
        <f t="shared" ref="AK31:AK46" si="42">IF(AA31="",,(DATE(AK$6,12,31)-AA31)/365)</f>
        <v>0</v>
      </c>
      <c r="AL31" s="137">
        <f t="shared" ref="AL31:AL46" si="43">IF(AB31="",,(DATE(AL$6,12,31)-AB31)/365)</f>
        <v>0</v>
      </c>
      <c r="AM31" s="137">
        <f t="shared" ref="AM31:AM46" si="44">IF(AC31="",,(DATE(AM$6,12,31)-AC31)/365)</f>
        <v>0</v>
      </c>
      <c r="AN31" s="137">
        <f t="shared" ref="AN31:AN46" si="45">IF(AD31="",,(DATE(AN$6,12,31)-AD31)/365)</f>
        <v>0</v>
      </c>
      <c r="AO31" s="1201">
        <f t="shared" ref="AO31:AO46" si="46">AE31*E31</f>
        <v>0</v>
      </c>
      <c r="AP31" s="1201">
        <f t="shared" ref="AP31:AP46" si="47">AF31*F31</f>
        <v>0</v>
      </c>
      <c r="AQ31" s="1201">
        <f t="shared" ref="AQ31:AQ46" si="48">AG31*G31</f>
        <v>0</v>
      </c>
      <c r="AR31" s="1201">
        <f t="shared" ref="AR31:AR46" si="49">AH31*H31</f>
        <v>0</v>
      </c>
      <c r="AS31" s="1201">
        <f t="shared" ref="AS31:AS46" si="50">AI31*I31</f>
        <v>0</v>
      </c>
      <c r="AT31" s="1201">
        <f t="shared" ref="AT31:AT46" si="51">AJ31*J31</f>
        <v>0</v>
      </c>
      <c r="AU31" s="1201">
        <f t="shared" ref="AU31:AU46" si="52">AK31*K31</f>
        <v>0</v>
      </c>
      <c r="AV31" s="1201">
        <f t="shared" ref="AV31:AV46" si="53">AL31*L31</f>
        <v>0</v>
      </c>
      <c r="AW31" s="1201">
        <f t="shared" ref="AW31:AW46" si="54">AM31*M31</f>
        <v>0</v>
      </c>
      <c r="AX31" s="1201">
        <f t="shared" ref="AX31:AX46" si="55">AN31*N31</f>
        <v>0</v>
      </c>
      <c r="AY31" s="62"/>
    </row>
    <row r="32" spans="1:51" ht="15" outlineLevel="1" x14ac:dyDescent="0.25">
      <c r="A32" s="64">
        <v>19</v>
      </c>
      <c r="B32" s="686" t="str">
        <f>'[11]COSTOS DEL PLAN'!B22</f>
        <v>BANCO DE CAPACITORES S/E LLANO SANCHEZ 230 KV 60 MVAR</v>
      </c>
      <c r="C32" s="2"/>
      <c r="D32" s="2"/>
      <c r="E32" s="2"/>
      <c r="F32" s="2"/>
      <c r="G32" s="2"/>
      <c r="H32" s="1226">
        <f>IF(YEAR('[11]COSTOS DEL PLAN'!$P22)=H$7,'[11]COSTOS DEL PLAN'!$O22,)</f>
        <v>0</v>
      </c>
      <c r="I32" s="1226">
        <v>0</v>
      </c>
      <c r="J32" s="1226">
        <v>0</v>
      </c>
      <c r="K32" s="1226">
        <f>IF(YEAR('[11]COSTOS DEL PLAN'!$P22)=K$7,'[11]COSTOS DEL PLAN'!$O22,)</f>
        <v>0</v>
      </c>
      <c r="L32" s="1226">
        <f>IF(YEAR('[11]COSTOS DEL PLAN'!$P22)=L$7,'[11]COSTOS DEL PLAN'!$O22,)</f>
        <v>0</v>
      </c>
      <c r="M32" s="1226">
        <f>IF(YEAR('[11]COSTOS DEL PLAN'!$P22)=M$7,'[11]COSTOS DEL PLAN'!$O22,)</f>
        <v>0</v>
      </c>
      <c r="N32" s="1226">
        <f>IF(YEAR('[11]COSTOS DEL PLAN'!$P22)=N$7,'[11]COSTOS DEL PLAN'!$O22,)</f>
        <v>0</v>
      </c>
      <c r="O32" s="66">
        <f t="shared" si="35"/>
        <v>0</v>
      </c>
      <c r="P32" s="63"/>
      <c r="Q32" s="82">
        <f>'[11]COSTOS DEL PLAN'!P22</f>
        <v>46074</v>
      </c>
      <c r="R32" s="65"/>
      <c r="S32" s="82"/>
      <c r="T32" s="63"/>
      <c r="U32" s="155" t="str">
        <f t="shared" si="36"/>
        <v/>
      </c>
      <c r="V32" s="155" t="str">
        <f t="shared" si="36"/>
        <v/>
      </c>
      <c r="W32" s="155" t="str">
        <f t="shared" si="36"/>
        <v/>
      </c>
      <c r="X32" s="155" t="str">
        <f t="shared" si="36"/>
        <v/>
      </c>
      <c r="Y32" s="155" t="str">
        <f t="shared" si="36"/>
        <v/>
      </c>
      <c r="Z32" s="155">
        <f t="shared" si="36"/>
        <v>46074</v>
      </c>
      <c r="AA32" s="155" t="str">
        <f t="shared" si="36"/>
        <v/>
      </c>
      <c r="AB32" s="155" t="str">
        <f t="shared" si="36"/>
        <v/>
      </c>
      <c r="AC32" s="155" t="str">
        <f t="shared" si="36"/>
        <v/>
      </c>
      <c r="AD32" s="155" t="str">
        <f t="shared" si="36"/>
        <v/>
      </c>
      <c r="AE32" s="137">
        <f t="shared" si="37"/>
        <v>0</v>
      </c>
      <c r="AF32" s="137">
        <f t="shared" si="38"/>
        <v>0</v>
      </c>
      <c r="AG32" s="137">
        <f t="shared" si="39"/>
        <v>0</v>
      </c>
      <c r="AH32" s="137">
        <f t="shared" si="40"/>
        <v>0</v>
      </c>
      <c r="AI32" s="137">
        <f t="shared" si="41"/>
        <v>0</v>
      </c>
      <c r="AJ32" s="137">
        <f t="shared" ref="AJ32:AJ46" si="56">IF(Z32="",,(DATE(AJ$6,12,31)-Z32)/365)</f>
        <v>0.8575342465753425</v>
      </c>
      <c r="AK32" s="137">
        <f t="shared" si="42"/>
        <v>0</v>
      </c>
      <c r="AL32" s="137">
        <f t="shared" si="43"/>
        <v>0</v>
      </c>
      <c r="AM32" s="137">
        <f t="shared" si="44"/>
        <v>0</v>
      </c>
      <c r="AN32" s="137">
        <f t="shared" si="45"/>
        <v>0</v>
      </c>
      <c r="AO32" s="1201">
        <f t="shared" si="46"/>
        <v>0</v>
      </c>
      <c r="AP32" s="1201">
        <f t="shared" si="47"/>
        <v>0</v>
      </c>
      <c r="AQ32" s="1201">
        <f t="shared" si="48"/>
        <v>0</v>
      </c>
      <c r="AR32" s="1201">
        <f t="shared" si="49"/>
        <v>0</v>
      </c>
      <c r="AS32" s="1201">
        <f t="shared" si="50"/>
        <v>0</v>
      </c>
      <c r="AT32" s="1201">
        <f t="shared" si="51"/>
        <v>0</v>
      </c>
      <c r="AU32" s="1201">
        <f t="shared" si="52"/>
        <v>0</v>
      </c>
      <c r="AV32" s="1201">
        <f t="shared" si="53"/>
        <v>0</v>
      </c>
      <c r="AW32" s="1201">
        <f t="shared" si="54"/>
        <v>0</v>
      </c>
      <c r="AX32" s="1201">
        <f t="shared" si="55"/>
        <v>0</v>
      </c>
    </row>
    <row r="33" spans="1:50" ht="15" outlineLevel="1" x14ac:dyDescent="0.25">
      <c r="A33" s="64">
        <v>20</v>
      </c>
      <c r="B33" s="686" t="str">
        <f>'[11]COSTOS DEL PLAN'!B23</f>
        <v>STATCOM S/E PANAMA III +/- 240 MVAR</v>
      </c>
      <c r="C33" s="2"/>
      <c r="D33" s="2"/>
      <c r="E33" s="2"/>
      <c r="F33" s="2"/>
      <c r="G33" s="2"/>
      <c r="H33" s="1226">
        <f>IF(YEAR('[11]COSTOS DEL PLAN'!$P23)=H$7,'[11]COSTOS DEL PLAN'!$O23,)</f>
        <v>0</v>
      </c>
      <c r="I33" s="1226">
        <v>0</v>
      </c>
      <c r="J33" s="1226">
        <v>0</v>
      </c>
      <c r="K33" s="1226">
        <f>IF(YEAR('[11]COSTOS DEL PLAN'!$P23)=K$7,'[11]COSTOS DEL PLAN'!$O23,)</f>
        <v>0</v>
      </c>
      <c r="L33" s="1226">
        <f>IF(YEAR('[11]COSTOS DEL PLAN'!$P23)=L$7,'[11]COSTOS DEL PLAN'!$O23,)</f>
        <v>0</v>
      </c>
      <c r="M33" s="1226">
        <f>IF(YEAR('[11]COSTOS DEL PLAN'!$P23)=M$7,'[11]COSTOS DEL PLAN'!$O23,)</f>
        <v>0</v>
      </c>
      <c r="N33" s="1226">
        <f>IF(YEAR('[11]COSTOS DEL PLAN'!$P23)=N$7,'[11]COSTOS DEL PLAN'!$O23,)</f>
        <v>0</v>
      </c>
      <c r="O33" s="66">
        <f t="shared" si="35"/>
        <v>0</v>
      </c>
      <c r="P33" s="63"/>
      <c r="Q33" s="82">
        <f>'[11]COSTOS DEL PLAN'!P23</f>
        <v>46187</v>
      </c>
      <c r="R33" s="65"/>
      <c r="S33" s="82"/>
      <c r="T33" s="63"/>
      <c r="U33" s="155" t="str">
        <f t="shared" si="36"/>
        <v/>
      </c>
      <c r="V33" s="155" t="str">
        <f t="shared" si="36"/>
        <v/>
      </c>
      <c r="W33" s="155" t="str">
        <f t="shared" si="36"/>
        <v/>
      </c>
      <c r="X33" s="155" t="str">
        <f t="shared" si="36"/>
        <v/>
      </c>
      <c r="Y33" s="155" t="str">
        <f t="shared" si="36"/>
        <v/>
      </c>
      <c r="Z33" s="155">
        <f t="shared" si="36"/>
        <v>46187</v>
      </c>
      <c r="AA33" s="155" t="str">
        <f t="shared" si="36"/>
        <v/>
      </c>
      <c r="AB33" s="155" t="str">
        <f t="shared" si="36"/>
        <v/>
      </c>
      <c r="AC33" s="155" t="str">
        <f t="shared" si="36"/>
        <v/>
      </c>
      <c r="AD33" s="155" t="str">
        <f t="shared" si="36"/>
        <v/>
      </c>
      <c r="AE33" s="137">
        <f t="shared" si="37"/>
        <v>0</v>
      </c>
      <c r="AF33" s="137">
        <f t="shared" si="38"/>
        <v>0</v>
      </c>
      <c r="AG33" s="137">
        <f t="shared" si="39"/>
        <v>0</v>
      </c>
      <c r="AH33" s="137">
        <f t="shared" si="40"/>
        <v>0</v>
      </c>
      <c r="AI33" s="137">
        <f t="shared" si="41"/>
        <v>0</v>
      </c>
      <c r="AJ33" s="137">
        <f t="shared" si="56"/>
        <v>0.54794520547945202</v>
      </c>
      <c r="AK33" s="137">
        <f t="shared" si="42"/>
        <v>0</v>
      </c>
      <c r="AL33" s="137">
        <f t="shared" si="43"/>
        <v>0</v>
      </c>
      <c r="AM33" s="137">
        <f t="shared" si="44"/>
        <v>0</v>
      </c>
      <c r="AN33" s="137">
        <f t="shared" si="45"/>
        <v>0</v>
      </c>
      <c r="AO33" s="1201">
        <f t="shared" si="46"/>
        <v>0</v>
      </c>
      <c r="AP33" s="1201">
        <f t="shared" si="47"/>
        <v>0</v>
      </c>
      <c r="AQ33" s="1201">
        <f t="shared" si="48"/>
        <v>0</v>
      </c>
      <c r="AR33" s="1201">
        <f t="shared" si="49"/>
        <v>0</v>
      </c>
      <c r="AS33" s="1201">
        <f t="shared" si="50"/>
        <v>0</v>
      </c>
      <c r="AT33" s="1201">
        <f t="shared" si="51"/>
        <v>0</v>
      </c>
      <c r="AU33" s="1201">
        <f t="shared" si="52"/>
        <v>0</v>
      </c>
      <c r="AV33" s="1201">
        <f t="shared" si="53"/>
        <v>0</v>
      </c>
      <c r="AW33" s="1201">
        <f t="shared" si="54"/>
        <v>0</v>
      </c>
      <c r="AX33" s="1201">
        <f t="shared" si="55"/>
        <v>0</v>
      </c>
    </row>
    <row r="34" spans="1:50" ht="15" outlineLevel="1" x14ac:dyDescent="0.25">
      <c r="B34" s="686" t="str">
        <f>'[11]COSTOS DEL PLAN'!B24</f>
        <v>ADICION TRANSFORMADOR T2 S/E SAN BARTOLO 150 MVA</v>
      </c>
      <c r="C34" s="2"/>
      <c r="D34" s="2"/>
      <c r="E34" s="2"/>
      <c r="F34" s="2"/>
      <c r="G34" s="2"/>
      <c r="H34" s="1226">
        <f>IF(YEAR('[11]COSTOS DEL PLAN'!$P24)=H$7,'[11]COSTOS DEL PLAN'!$O24,)</f>
        <v>0</v>
      </c>
      <c r="I34" s="1226">
        <v>0</v>
      </c>
      <c r="J34" s="1226">
        <v>0</v>
      </c>
      <c r="K34" s="1226">
        <f>IF(YEAR('[11]COSTOS DEL PLAN'!$P24)=K$7,'[11]COSTOS DEL PLAN'!$O24,)</f>
        <v>0</v>
      </c>
      <c r="L34" s="1226">
        <f>IF(YEAR('[11]COSTOS DEL PLAN'!$P24)=L$7,'[11]COSTOS DEL PLAN'!$O24,)</f>
        <v>0</v>
      </c>
      <c r="M34" s="1226">
        <f>IF(YEAR('[11]COSTOS DEL PLAN'!$P24)=M$7,'[11]COSTOS DEL PLAN'!$O24,)</f>
        <v>0</v>
      </c>
      <c r="N34" s="1226">
        <f>IF(YEAR('[11]COSTOS DEL PLAN'!$P24)=N$7,'[11]COSTOS DEL PLAN'!$O24,)</f>
        <v>0</v>
      </c>
      <c r="O34" s="66">
        <f t="shared" si="35"/>
        <v>0</v>
      </c>
      <c r="P34" s="63"/>
      <c r="Q34" s="82">
        <f>'[11]COSTOS DEL PLAN'!P24</f>
        <v>45953</v>
      </c>
      <c r="R34" s="65"/>
      <c r="S34" s="82"/>
      <c r="T34" s="63"/>
      <c r="U34" s="155" t="str">
        <f t="shared" si="36"/>
        <v/>
      </c>
      <c r="V34" s="155" t="str">
        <f t="shared" si="36"/>
        <v/>
      </c>
      <c r="W34" s="155" t="str">
        <f t="shared" si="36"/>
        <v/>
      </c>
      <c r="X34" s="155" t="str">
        <f t="shared" si="36"/>
        <v/>
      </c>
      <c r="Y34" s="155">
        <f t="shared" si="36"/>
        <v>45953</v>
      </c>
      <c r="Z34" s="155" t="str">
        <f t="shared" si="36"/>
        <v/>
      </c>
      <c r="AA34" s="155" t="str">
        <f t="shared" si="36"/>
        <v/>
      </c>
      <c r="AB34" s="155" t="str">
        <f t="shared" si="36"/>
        <v/>
      </c>
      <c r="AC34" s="155" t="str">
        <f t="shared" si="36"/>
        <v/>
      </c>
      <c r="AD34" s="155" t="str">
        <f t="shared" si="36"/>
        <v/>
      </c>
      <c r="AE34" s="137">
        <f t="shared" si="37"/>
        <v>0</v>
      </c>
      <c r="AF34" s="137">
        <f t="shared" si="38"/>
        <v>0</v>
      </c>
      <c r="AG34" s="137">
        <f t="shared" si="39"/>
        <v>0</v>
      </c>
      <c r="AH34" s="137">
        <f t="shared" si="40"/>
        <v>0</v>
      </c>
      <c r="AI34" s="137">
        <f t="shared" si="41"/>
        <v>0.18904109589041096</v>
      </c>
      <c r="AJ34" s="137">
        <f t="shared" si="56"/>
        <v>0</v>
      </c>
      <c r="AK34" s="137">
        <f t="shared" si="42"/>
        <v>0</v>
      </c>
      <c r="AL34" s="137">
        <f t="shared" si="43"/>
        <v>0</v>
      </c>
      <c r="AM34" s="137">
        <f t="shared" si="44"/>
        <v>0</v>
      </c>
      <c r="AN34" s="137">
        <f t="shared" si="45"/>
        <v>0</v>
      </c>
      <c r="AO34" s="1201">
        <f t="shared" si="46"/>
        <v>0</v>
      </c>
      <c r="AP34" s="1201">
        <f t="shared" si="47"/>
        <v>0</v>
      </c>
      <c r="AQ34" s="1201">
        <f t="shared" si="48"/>
        <v>0</v>
      </c>
      <c r="AR34" s="1201">
        <f t="shared" si="49"/>
        <v>0</v>
      </c>
      <c r="AS34" s="1201">
        <f t="shared" si="50"/>
        <v>0</v>
      </c>
      <c r="AT34" s="1201">
        <f t="shared" si="51"/>
        <v>0</v>
      </c>
      <c r="AU34" s="1201">
        <f t="shared" si="52"/>
        <v>0</v>
      </c>
      <c r="AV34" s="1201">
        <f t="shared" si="53"/>
        <v>0</v>
      </c>
      <c r="AW34" s="1201">
        <f t="shared" si="54"/>
        <v>0</v>
      </c>
      <c r="AX34" s="1201">
        <f t="shared" si="55"/>
        <v>0</v>
      </c>
    </row>
    <row r="35" spans="1:50" ht="15" outlineLevel="1" x14ac:dyDescent="0.25">
      <c r="B35" s="686" t="str">
        <f>'[11]COSTOS DEL PLAN'!B25</f>
        <v>ADICION TRANSFORMADOR T3 S/E SAN BARTOLO 150 MVA</v>
      </c>
      <c r="C35" s="2"/>
      <c r="D35" s="2"/>
      <c r="E35" s="2"/>
      <c r="F35" s="2"/>
      <c r="G35" s="2"/>
      <c r="H35" s="1226">
        <f>IF(YEAR('[11]COSTOS DEL PLAN'!$P25)=H$7,'[11]COSTOS DEL PLAN'!$O25,)</f>
        <v>0</v>
      </c>
      <c r="I35" s="1226">
        <v>0</v>
      </c>
      <c r="J35" s="1226">
        <v>0</v>
      </c>
      <c r="K35" s="1226">
        <f>IF(YEAR('[11]COSTOS DEL PLAN'!$P25)=K$7,'[11]COSTOS DEL PLAN'!$O25,)</f>
        <v>0</v>
      </c>
      <c r="L35" s="1226">
        <f>IF(YEAR('[11]COSTOS DEL PLAN'!$P25)=L$7,'[11]COSTOS DEL PLAN'!$O25,)</f>
        <v>0</v>
      </c>
      <c r="M35" s="1226">
        <f>IF(YEAR('[11]COSTOS DEL PLAN'!$P25)=M$7,'[11]COSTOS DEL PLAN'!$O25,)</f>
        <v>0</v>
      </c>
      <c r="N35" s="1226">
        <f>IF(YEAR('[11]COSTOS DEL PLAN'!$P25)=N$7,'[11]COSTOS DEL PLAN'!$O25,)</f>
        <v>0</v>
      </c>
      <c r="O35" s="66">
        <f t="shared" si="35"/>
        <v>0</v>
      </c>
      <c r="P35" s="63"/>
      <c r="Q35" s="82">
        <f>'[11]COSTOS DEL PLAN'!P25</f>
        <v>46325</v>
      </c>
      <c r="R35" s="65"/>
      <c r="S35" s="82"/>
      <c r="T35" s="63"/>
      <c r="U35" s="155" t="str">
        <f t="shared" si="36"/>
        <v/>
      </c>
      <c r="V35" s="155" t="str">
        <f t="shared" si="36"/>
        <v/>
      </c>
      <c r="W35" s="155" t="str">
        <f t="shared" si="36"/>
        <v/>
      </c>
      <c r="X35" s="155" t="str">
        <f t="shared" si="36"/>
        <v/>
      </c>
      <c r="Y35" s="155" t="str">
        <f t="shared" si="36"/>
        <v/>
      </c>
      <c r="Z35" s="155">
        <f t="shared" si="36"/>
        <v>46325</v>
      </c>
      <c r="AA35" s="155" t="str">
        <f t="shared" si="36"/>
        <v/>
      </c>
      <c r="AB35" s="155" t="str">
        <f t="shared" si="36"/>
        <v/>
      </c>
      <c r="AC35" s="155" t="str">
        <f t="shared" si="36"/>
        <v/>
      </c>
      <c r="AD35" s="155" t="str">
        <f t="shared" si="36"/>
        <v/>
      </c>
      <c r="AE35" s="137">
        <f t="shared" si="37"/>
        <v>0</v>
      </c>
      <c r="AF35" s="137">
        <f t="shared" si="38"/>
        <v>0</v>
      </c>
      <c r="AG35" s="137">
        <f t="shared" si="39"/>
        <v>0</v>
      </c>
      <c r="AH35" s="137">
        <f t="shared" si="40"/>
        <v>0</v>
      </c>
      <c r="AI35" s="137">
        <f t="shared" si="41"/>
        <v>0</v>
      </c>
      <c r="AJ35" s="137">
        <f t="shared" si="56"/>
        <v>0.16986301369863013</v>
      </c>
      <c r="AK35" s="137">
        <f t="shared" si="42"/>
        <v>0</v>
      </c>
      <c r="AL35" s="137">
        <f t="shared" si="43"/>
        <v>0</v>
      </c>
      <c r="AM35" s="137">
        <f t="shared" si="44"/>
        <v>0</v>
      </c>
      <c r="AN35" s="137">
        <f t="shared" si="45"/>
        <v>0</v>
      </c>
      <c r="AO35" s="1201">
        <f t="shared" si="46"/>
        <v>0</v>
      </c>
      <c r="AP35" s="1201">
        <f t="shared" si="47"/>
        <v>0</v>
      </c>
      <c r="AQ35" s="1201">
        <f t="shared" si="48"/>
        <v>0</v>
      </c>
      <c r="AR35" s="1201">
        <f t="shared" si="49"/>
        <v>0</v>
      </c>
      <c r="AS35" s="1201">
        <f t="shared" si="50"/>
        <v>0</v>
      </c>
      <c r="AT35" s="1201">
        <f t="shared" si="51"/>
        <v>0</v>
      </c>
      <c r="AU35" s="1201">
        <f t="shared" si="52"/>
        <v>0</v>
      </c>
      <c r="AV35" s="1201">
        <f t="shared" si="53"/>
        <v>0</v>
      </c>
      <c r="AW35" s="1201">
        <f t="shared" si="54"/>
        <v>0</v>
      </c>
      <c r="AX35" s="1201">
        <f t="shared" si="55"/>
        <v>0</v>
      </c>
    </row>
    <row r="36" spans="1:50" ht="15" outlineLevel="1" x14ac:dyDescent="0.25">
      <c r="B36" s="686" t="str">
        <f>'[11]COSTOS DEL PLAN'!B26</f>
        <v>ADICION TRANSFORMADOR DE TIERRA S/E SAN BARTOLO 34.5 KV</v>
      </c>
      <c r="C36" s="2"/>
      <c r="D36" s="2"/>
      <c r="E36" s="2"/>
      <c r="F36" s="2"/>
      <c r="G36" s="2"/>
      <c r="H36" s="1226">
        <f>IF(YEAR('[11]COSTOS DEL PLAN'!$P26)=H$7,'[11]COSTOS DEL PLAN'!$O26,)</f>
        <v>0</v>
      </c>
      <c r="I36" s="1226">
        <v>0</v>
      </c>
      <c r="J36" s="1226">
        <v>0</v>
      </c>
      <c r="K36" s="1226">
        <f>IF(YEAR('[11]COSTOS DEL PLAN'!$P26)=K$7,'[11]COSTOS DEL PLAN'!$O26,)</f>
        <v>0</v>
      </c>
      <c r="L36" s="1226">
        <f>IF(YEAR('[11]COSTOS DEL PLAN'!$P26)=L$7,'[11]COSTOS DEL PLAN'!$O26,)</f>
        <v>0</v>
      </c>
      <c r="M36" s="1226">
        <f>IF(YEAR('[11]COSTOS DEL PLAN'!$P26)=M$7,'[11]COSTOS DEL PLAN'!$O26,)</f>
        <v>0</v>
      </c>
      <c r="N36" s="1226">
        <f>IF(YEAR('[11]COSTOS DEL PLAN'!$P26)=N$7,'[11]COSTOS DEL PLAN'!$O26,)</f>
        <v>0</v>
      </c>
      <c r="O36" s="66">
        <f t="shared" si="35"/>
        <v>0</v>
      </c>
      <c r="P36" s="63"/>
      <c r="Q36" s="82">
        <f>'[11]COSTOS DEL PLAN'!P26</f>
        <v>46022</v>
      </c>
      <c r="R36" s="65"/>
      <c r="S36" s="82"/>
      <c r="T36" s="63"/>
      <c r="U36" s="155" t="str">
        <f t="shared" si="36"/>
        <v/>
      </c>
      <c r="V36" s="155" t="str">
        <f t="shared" si="36"/>
        <v/>
      </c>
      <c r="W36" s="155" t="str">
        <f t="shared" si="36"/>
        <v/>
      </c>
      <c r="X36" s="155" t="str">
        <f t="shared" si="36"/>
        <v/>
      </c>
      <c r="Y36" s="155">
        <f t="shared" si="36"/>
        <v>46022</v>
      </c>
      <c r="Z36" s="155" t="str">
        <f t="shared" si="36"/>
        <v/>
      </c>
      <c r="AA36" s="155" t="str">
        <f t="shared" si="36"/>
        <v/>
      </c>
      <c r="AB36" s="155" t="str">
        <f t="shared" si="36"/>
        <v/>
      </c>
      <c r="AC36" s="155" t="str">
        <f t="shared" si="36"/>
        <v/>
      </c>
      <c r="AD36" s="155" t="str">
        <f t="shared" si="36"/>
        <v/>
      </c>
      <c r="AE36" s="137">
        <f t="shared" si="37"/>
        <v>0</v>
      </c>
      <c r="AF36" s="137">
        <f t="shared" si="38"/>
        <v>0</v>
      </c>
      <c r="AG36" s="137">
        <f t="shared" si="39"/>
        <v>0</v>
      </c>
      <c r="AH36" s="137">
        <f t="shared" si="40"/>
        <v>0</v>
      </c>
      <c r="AI36" s="137">
        <f t="shared" si="41"/>
        <v>0</v>
      </c>
      <c r="AJ36" s="137">
        <f t="shared" si="56"/>
        <v>0</v>
      </c>
      <c r="AK36" s="137">
        <f t="shared" si="42"/>
        <v>0</v>
      </c>
      <c r="AL36" s="137">
        <f t="shared" si="43"/>
        <v>0</v>
      </c>
      <c r="AM36" s="137">
        <f t="shared" si="44"/>
        <v>0</v>
      </c>
      <c r="AN36" s="137">
        <f t="shared" si="45"/>
        <v>0</v>
      </c>
      <c r="AO36" s="1201">
        <f t="shared" si="46"/>
        <v>0</v>
      </c>
      <c r="AP36" s="1201">
        <f t="shared" si="47"/>
        <v>0</v>
      </c>
      <c r="AQ36" s="1201">
        <f t="shared" si="48"/>
        <v>0</v>
      </c>
      <c r="AR36" s="1201">
        <f t="shared" si="49"/>
        <v>0</v>
      </c>
      <c r="AS36" s="1201">
        <f t="shared" si="50"/>
        <v>0</v>
      </c>
      <c r="AT36" s="1201">
        <f t="shared" si="51"/>
        <v>0</v>
      </c>
      <c r="AU36" s="1201">
        <f t="shared" si="52"/>
        <v>0</v>
      </c>
      <c r="AV36" s="1201">
        <f t="shared" si="53"/>
        <v>0</v>
      </c>
      <c r="AW36" s="1201">
        <f t="shared" si="54"/>
        <v>0</v>
      </c>
      <c r="AX36" s="1201">
        <f t="shared" si="55"/>
        <v>0</v>
      </c>
    </row>
    <row r="37" spans="1:50" ht="15" outlineLevel="1" x14ac:dyDescent="0.25">
      <c r="B37" s="686" t="str">
        <f>'[11]COSTOS DEL PLAN'!B27</f>
        <v>AUMENTO DE CAPACIDAD LINEA PANAMA III - PANAMA 230 KV</v>
      </c>
      <c r="C37" s="2"/>
      <c r="D37" s="2"/>
      <c r="E37" s="2"/>
      <c r="F37" s="2"/>
      <c r="G37" s="2"/>
      <c r="H37" s="1226">
        <f>IF(YEAR('[11]COSTOS DEL PLAN'!$P27)=H$7,'[11]COSTOS DEL PLAN'!$O27,)</f>
        <v>0</v>
      </c>
      <c r="I37" s="1226">
        <v>0</v>
      </c>
      <c r="J37" s="1226">
        <v>0</v>
      </c>
      <c r="K37" s="1226">
        <f>IF(YEAR('[11]COSTOS DEL PLAN'!$P27)=K$7,'[11]COSTOS DEL PLAN'!$O27,)</f>
        <v>0</v>
      </c>
      <c r="L37" s="1226">
        <f>IF(YEAR('[11]COSTOS DEL PLAN'!$P27)=L$7,'[11]COSTOS DEL PLAN'!$O27,)</f>
        <v>0</v>
      </c>
      <c r="M37" s="1226">
        <f>IF(YEAR('[11]COSTOS DEL PLAN'!$P27)=M$7,'[11]COSTOS DEL PLAN'!$O27,)</f>
        <v>0</v>
      </c>
      <c r="N37" s="1226">
        <f>IF(YEAR('[11]COSTOS DEL PLAN'!$P27)=N$7,'[11]COSTOS DEL PLAN'!$O27,)</f>
        <v>0</v>
      </c>
      <c r="O37" s="66">
        <f t="shared" si="35"/>
        <v>0</v>
      </c>
      <c r="P37" s="63"/>
      <c r="Q37" s="82">
        <f>'[11]COSTOS DEL PLAN'!P27</f>
        <v>45855</v>
      </c>
      <c r="R37" s="65"/>
      <c r="S37" s="82"/>
      <c r="T37" s="63"/>
      <c r="U37" s="155" t="str">
        <f t="shared" si="36"/>
        <v/>
      </c>
      <c r="V37" s="155" t="str">
        <f t="shared" si="36"/>
        <v/>
      </c>
      <c r="W37" s="155" t="str">
        <f t="shared" si="36"/>
        <v/>
      </c>
      <c r="X37" s="155" t="str">
        <f t="shared" si="36"/>
        <v/>
      </c>
      <c r="Y37" s="155">
        <f t="shared" si="36"/>
        <v>45855</v>
      </c>
      <c r="Z37" s="155" t="str">
        <f t="shared" si="36"/>
        <v/>
      </c>
      <c r="AA37" s="155" t="str">
        <f t="shared" si="36"/>
        <v/>
      </c>
      <c r="AB37" s="155" t="str">
        <f t="shared" si="36"/>
        <v/>
      </c>
      <c r="AC37" s="155" t="str">
        <f t="shared" si="36"/>
        <v/>
      </c>
      <c r="AD37" s="155" t="str">
        <f t="shared" si="36"/>
        <v/>
      </c>
      <c r="AE37" s="137">
        <f t="shared" si="37"/>
        <v>0</v>
      </c>
      <c r="AF37" s="137">
        <f t="shared" si="38"/>
        <v>0</v>
      </c>
      <c r="AG37" s="137">
        <f t="shared" si="39"/>
        <v>0</v>
      </c>
      <c r="AH37" s="137">
        <f t="shared" si="40"/>
        <v>0</v>
      </c>
      <c r="AI37" s="137">
        <f t="shared" si="41"/>
        <v>0.45753424657534247</v>
      </c>
      <c r="AJ37" s="137">
        <f t="shared" si="56"/>
        <v>0</v>
      </c>
      <c r="AK37" s="137">
        <f t="shared" si="42"/>
        <v>0</v>
      </c>
      <c r="AL37" s="137">
        <f t="shared" si="43"/>
        <v>0</v>
      </c>
      <c r="AM37" s="137">
        <f t="shared" si="44"/>
        <v>0</v>
      </c>
      <c r="AN37" s="137">
        <f t="shared" si="45"/>
        <v>0</v>
      </c>
      <c r="AO37" s="1201">
        <f t="shared" si="46"/>
        <v>0</v>
      </c>
      <c r="AP37" s="1201">
        <f t="shared" si="47"/>
        <v>0</v>
      </c>
      <c r="AQ37" s="1201">
        <f t="shared" si="48"/>
        <v>0</v>
      </c>
      <c r="AR37" s="1201">
        <f t="shared" si="49"/>
        <v>0</v>
      </c>
      <c r="AS37" s="1201">
        <f t="shared" si="50"/>
        <v>0</v>
      </c>
      <c r="AT37" s="1201">
        <f t="shared" si="51"/>
        <v>0</v>
      </c>
      <c r="AU37" s="1201">
        <f t="shared" si="52"/>
        <v>0</v>
      </c>
      <c r="AV37" s="1201">
        <f t="shared" si="53"/>
        <v>0</v>
      </c>
      <c r="AW37" s="1201">
        <f t="shared" si="54"/>
        <v>0</v>
      </c>
      <c r="AX37" s="1201">
        <f t="shared" si="55"/>
        <v>0</v>
      </c>
    </row>
    <row r="38" spans="1:50" ht="15" outlineLevel="1" x14ac:dyDescent="0.25">
      <c r="B38" s="686" t="str">
        <f>'[11]COSTOS DEL PLAN'!B28</f>
        <v>NUEVA S/E LA HUACA 230/115/34.5 KV</v>
      </c>
      <c r="C38" s="2"/>
      <c r="D38" s="2"/>
      <c r="E38" s="2"/>
      <c r="F38" s="2"/>
      <c r="G38" s="2"/>
      <c r="H38" s="1226">
        <f>IF(YEAR('[11]COSTOS DEL PLAN'!$P28)=H$7,'[11]COSTOS DEL PLAN'!$O28,)</f>
        <v>0</v>
      </c>
      <c r="I38" s="1226">
        <v>0</v>
      </c>
      <c r="J38" s="1226">
        <v>0</v>
      </c>
      <c r="K38" s="1226">
        <f>IF(YEAR('[11]COSTOS DEL PLAN'!$P28)=K$7,'[11]COSTOS DEL PLAN'!$O28,)</f>
        <v>0</v>
      </c>
      <c r="L38" s="1226">
        <f>IF(YEAR('[11]COSTOS DEL PLAN'!$P28)=L$7,'[11]COSTOS DEL PLAN'!$O28,)</f>
        <v>0</v>
      </c>
      <c r="M38" s="1226">
        <f>IF(YEAR('[11]COSTOS DEL PLAN'!$P28)=M$7,'[11]COSTOS DEL PLAN'!$O28,)</f>
        <v>0</v>
      </c>
      <c r="N38" s="1226">
        <f>IF(YEAR('[11]COSTOS DEL PLAN'!$P28)=N$7,'[11]COSTOS DEL PLAN'!$O28,)</f>
        <v>0</v>
      </c>
      <c r="O38" s="66">
        <f t="shared" si="35"/>
        <v>0</v>
      </c>
      <c r="P38" s="63"/>
      <c r="Q38" s="82">
        <f>'[11]COSTOS DEL PLAN'!P28</f>
        <v>46073</v>
      </c>
      <c r="R38" s="65"/>
      <c r="S38" s="82"/>
      <c r="T38" s="63"/>
      <c r="U38" s="155" t="str">
        <f t="shared" si="36"/>
        <v/>
      </c>
      <c r="V38" s="155" t="str">
        <f t="shared" si="36"/>
        <v/>
      </c>
      <c r="W38" s="155" t="str">
        <f t="shared" si="36"/>
        <v/>
      </c>
      <c r="X38" s="155" t="str">
        <f t="shared" si="36"/>
        <v/>
      </c>
      <c r="Y38" s="155" t="str">
        <f t="shared" si="36"/>
        <v/>
      </c>
      <c r="Z38" s="155">
        <f t="shared" si="36"/>
        <v>46073</v>
      </c>
      <c r="AA38" s="155" t="str">
        <f t="shared" si="36"/>
        <v/>
      </c>
      <c r="AB38" s="155" t="str">
        <f t="shared" si="36"/>
        <v/>
      </c>
      <c r="AC38" s="155" t="str">
        <f t="shared" si="36"/>
        <v/>
      </c>
      <c r="AD38" s="155" t="str">
        <f t="shared" si="36"/>
        <v/>
      </c>
      <c r="AE38" s="137">
        <f t="shared" si="37"/>
        <v>0</v>
      </c>
      <c r="AF38" s="137">
        <f t="shared" si="38"/>
        <v>0</v>
      </c>
      <c r="AG38" s="137">
        <f t="shared" si="39"/>
        <v>0</v>
      </c>
      <c r="AH38" s="137">
        <f t="shared" si="40"/>
        <v>0</v>
      </c>
      <c r="AI38" s="137">
        <f t="shared" si="41"/>
        <v>0</v>
      </c>
      <c r="AJ38" s="137">
        <f t="shared" si="56"/>
        <v>0.86027397260273974</v>
      </c>
      <c r="AK38" s="137">
        <f t="shared" si="42"/>
        <v>0</v>
      </c>
      <c r="AL38" s="137">
        <f t="shared" si="43"/>
        <v>0</v>
      </c>
      <c r="AM38" s="137">
        <f t="shared" si="44"/>
        <v>0</v>
      </c>
      <c r="AN38" s="137">
        <f t="shared" si="45"/>
        <v>0</v>
      </c>
      <c r="AO38" s="1201">
        <f t="shared" si="46"/>
        <v>0</v>
      </c>
      <c r="AP38" s="1201">
        <f t="shared" si="47"/>
        <v>0</v>
      </c>
      <c r="AQ38" s="1201">
        <f t="shared" si="48"/>
        <v>0</v>
      </c>
      <c r="AR38" s="1201">
        <f t="shared" si="49"/>
        <v>0</v>
      </c>
      <c r="AS38" s="1201">
        <f t="shared" si="50"/>
        <v>0</v>
      </c>
      <c r="AT38" s="1201">
        <f t="shared" si="51"/>
        <v>0</v>
      </c>
      <c r="AU38" s="1201">
        <f t="shared" si="52"/>
        <v>0</v>
      </c>
      <c r="AV38" s="1201">
        <f t="shared" si="53"/>
        <v>0</v>
      </c>
      <c r="AW38" s="1201">
        <f t="shared" si="54"/>
        <v>0</v>
      </c>
      <c r="AX38" s="1201">
        <f t="shared" si="55"/>
        <v>0</v>
      </c>
    </row>
    <row r="39" spans="1:50" ht="15" outlineLevel="1" x14ac:dyDescent="0.25">
      <c r="B39" s="686" t="str">
        <f>'[11]COSTOS DEL PLAN'!B29</f>
        <v>LINEA LA HUACA - LOS OLIVOS 230 KV</v>
      </c>
      <c r="C39" s="2"/>
      <c r="D39" s="2"/>
      <c r="E39" s="2"/>
      <c r="F39" s="2"/>
      <c r="G39" s="2"/>
      <c r="H39" s="1226">
        <f>IF(YEAR('[11]COSTOS DEL PLAN'!$P29)=H$7,'[11]COSTOS DEL PLAN'!$O29,)</f>
        <v>0</v>
      </c>
      <c r="I39" s="1226">
        <v>0</v>
      </c>
      <c r="J39" s="1226">
        <v>0</v>
      </c>
      <c r="K39" s="1226">
        <f>IF(YEAR('[11]COSTOS DEL PLAN'!$P29)=K$7,'[11]COSTOS DEL PLAN'!$O29,)</f>
        <v>0</v>
      </c>
      <c r="L39" s="1226">
        <f>IF(YEAR('[11]COSTOS DEL PLAN'!$P29)=L$7,'[11]COSTOS DEL PLAN'!$O29,)</f>
        <v>0</v>
      </c>
      <c r="M39" s="1226">
        <f>IF(YEAR('[11]COSTOS DEL PLAN'!$P29)=M$7,'[11]COSTOS DEL PLAN'!$O29,)</f>
        <v>0</v>
      </c>
      <c r="N39" s="1226">
        <f>IF(YEAR('[11]COSTOS DEL PLAN'!$P29)=N$7,'[11]COSTOS DEL PLAN'!$O29,)</f>
        <v>0</v>
      </c>
      <c r="O39" s="66">
        <f t="shared" si="35"/>
        <v>0</v>
      </c>
      <c r="P39" s="63"/>
      <c r="Q39" s="82">
        <f>'[11]COSTOS DEL PLAN'!P29</f>
        <v>46302</v>
      </c>
      <c r="R39" s="65"/>
      <c r="S39" s="82"/>
      <c r="T39" s="63"/>
      <c r="U39" s="155" t="str">
        <f t="shared" si="36"/>
        <v/>
      </c>
      <c r="V39" s="155" t="str">
        <f t="shared" si="36"/>
        <v/>
      </c>
      <c r="W39" s="155" t="str">
        <f t="shared" si="36"/>
        <v/>
      </c>
      <c r="X39" s="155" t="str">
        <f t="shared" si="36"/>
        <v/>
      </c>
      <c r="Y39" s="155" t="str">
        <f t="shared" si="36"/>
        <v/>
      </c>
      <c r="Z39" s="155">
        <f t="shared" si="36"/>
        <v>46302</v>
      </c>
      <c r="AA39" s="155" t="str">
        <f t="shared" si="36"/>
        <v/>
      </c>
      <c r="AB39" s="155" t="str">
        <f t="shared" si="36"/>
        <v/>
      </c>
      <c r="AC39" s="155" t="str">
        <f t="shared" si="36"/>
        <v/>
      </c>
      <c r="AD39" s="155" t="str">
        <f t="shared" si="36"/>
        <v/>
      </c>
      <c r="AE39" s="137">
        <f t="shared" si="37"/>
        <v>0</v>
      </c>
      <c r="AF39" s="137">
        <f t="shared" si="38"/>
        <v>0</v>
      </c>
      <c r="AG39" s="137">
        <f t="shared" si="39"/>
        <v>0</v>
      </c>
      <c r="AH39" s="137">
        <f t="shared" si="40"/>
        <v>0</v>
      </c>
      <c r="AI39" s="137">
        <f t="shared" si="41"/>
        <v>0</v>
      </c>
      <c r="AJ39" s="137">
        <f t="shared" si="56"/>
        <v>0.23287671232876711</v>
      </c>
      <c r="AK39" s="137">
        <f t="shared" si="42"/>
        <v>0</v>
      </c>
      <c r="AL39" s="137">
        <f t="shared" si="43"/>
        <v>0</v>
      </c>
      <c r="AM39" s="137">
        <f t="shared" si="44"/>
        <v>0</v>
      </c>
      <c r="AN39" s="137">
        <f t="shared" si="45"/>
        <v>0</v>
      </c>
      <c r="AO39" s="1201">
        <f t="shared" si="46"/>
        <v>0</v>
      </c>
      <c r="AP39" s="1201">
        <f t="shared" si="47"/>
        <v>0</v>
      </c>
      <c r="AQ39" s="1201">
        <f t="shared" si="48"/>
        <v>0</v>
      </c>
      <c r="AR39" s="1201">
        <f t="shared" si="49"/>
        <v>0</v>
      </c>
      <c r="AS39" s="1201">
        <f t="shared" si="50"/>
        <v>0</v>
      </c>
      <c r="AT39" s="1201">
        <f t="shared" si="51"/>
        <v>0</v>
      </c>
      <c r="AU39" s="1201">
        <f t="shared" si="52"/>
        <v>0</v>
      </c>
      <c r="AV39" s="1201">
        <f t="shared" si="53"/>
        <v>0</v>
      </c>
      <c r="AW39" s="1201">
        <f t="shared" si="54"/>
        <v>0</v>
      </c>
      <c r="AX39" s="1201">
        <f t="shared" si="55"/>
        <v>0</v>
      </c>
    </row>
    <row r="40" spans="1:50" ht="15" outlineLevel="1" x14ac:dyDescent="0.25">
      <c r="B40" s="686" t="str">
        <f>'[11]COSTOS DEL PLAN'!B30</f>
        <v>NUEVA S/E LOS OLIVOS 230/115/34.5 KV</v>
      </c>
      <c r="C40" s="2"/>
      <c r="D40" s="2"/>
      <c r="E40" s="2"/>
      <c r="F40" s="2"/>
      <c r="G40" s="2"/>
      <c r="H40" s="1226">
        <f>IF(YEAR('[11]COSTOS DEL PLAN'!$P30)=H$7,'[11]COSTOS DEL PLAN'!$O30,)</f>
        <v>0</v>
      </c>
      <c r="I40" s="1226">
        <v>0</v>
      </c>
      <c r="J40" s="1226">
        <v>0</v>
      </c>
      <c r="K40" s="1226">
        <f>IF(YEAR('[11]COSTOS DEL PLAN'!$P30)=K$7,'[11]COSTOS DEL PLAN'!$O30,)</f>
        <v>0</v>
      </c>
      <c r="L40" s="1226">
        <f>IF(YEAR('[11]COSTOS DEL PLAN'!$P30)=L$7,'[11]COSTOS DEL PLAN'!$O30,)</f>
        <v>0</v>
      </c>
      <c r="M40" s="1226">
        <f>IF(YEAR('[11]COSTOS DEL PLAN'!$P30)=M$7,'[11]COSTOS DEL PLAN'!$O30,)</f>
        <v>0</v>
      </c>
      <c r="N40" s="1226">
        <f>IF(YEAR('[11]COSTOS DEL PLAN'!$P30)=N$7,'[11]COSTOS DEL PLAN'!$O30,)</f>
        <v>0</v>
      </c>
      <c r="O40" s="66">
        <f t="shared" si="35"/>
        <v>0</v>
      </c>
      <c r="P40" s="63"/>
      <c r="Q40" s="82">
        <f>'[11]COSTOS DEL PLAN'!P30</f>
        <v>46302</v>
      </c>
      <c r="R40" s="65"/>
      <c r="S40" s="82"/>
      <c r="T40" s="63"/>
      <c r="U40" s="155" t="str">
        <f t="shared" si="36"/>
        <v/>
      </c>
      <c r="V40" s="155" t="str">
        <f t="shared" si="36"/>
        <v/>
      </c>
      <c r="W40" s="155" t="str">
        <f t="shared" si="36"/>
        <v/>
      </c>
      <c r="X40" s="155" t="str">
        <f t="shared" si="36"/>
        <v/>
      </c>
      <c r="Y40" s="155" t="str">
        <f t="shared" si="36"/>
        <v/>
      </c>
      <c r="Z40" s="155">
        <f t="shared" si="36"/>
        <v>46302</v>
      </c>
      <c r="AA40" s="155" t="str">
        <f t="shared" si="36"/>
        <v/>
      </c>
      <c r="AB40" s="155" t="str">
        <f t="shared" si="36"/>
        <v/>
      </c>
      <c r="AC40" s="155" t="str">
        <f t="shared" si="36"/>
        <v/>
      </c>
      <c r="AD40" s="155" t="str">
        <f t="shared" si="36"/>
        <v/>
      </c>
      <c r="AE40" s="137">
        <f t="shared" si="37"/>
        <v>0</v>
      </c>
      <c r="AF40" s="137">
        <f t="shared" si="38"/>
        <v>0</v>
      </c>
      <c r="AG40" s="137">
        <f t="shared" si="39"/>
        <v>0</v>
      </c>
      <c r="AH40" s="137">
        <f t="shared" si="40"/>
        <v>0</v>
      </c>
      <c r="AI40" s="137">
        <f t="shared" si="41"/>
        <v>0</v>
      </c>
      <c r="AJ40" s="137">
        <f t="shared" si="56"/>
        <v>0.23287671232876711</v>
      </c>
      <c r="AK40" s="137">
        <f t="shared" si="42"/>
        <v>0</v>
      </c>
      <c r="AL40" s="137">
        <f t="shared" si="43"/>
        <v>0</v>
      </c>
      <c r="AM40" s="137">
        <f t="shared" si="44"/>
        <v>0</v>
      </c>
      <c r="AN40" s="137">
        <f t="shared" si="45"/>
        <v>0</v>
      </c>
      <c r="AO40" s="1201">
        <f t="shared" si="46"/>
        <v>0</v>
      </c>
      <c r="AP40" s="1201">
        <f t="shared" si="47"/>
        <v>0</v>
      </c>
      <c r="AQ40" s="1201">
        <f t="shared" si="48"/>
        <v>0</v>
      </c>
      <c r="AR40" s="1201">
        <f t="shared" si="49"/>
        <v>0</v>
      </c>
      <c r="AS40" s="1201">
        <f t="shared" si="50"/>
        <v>0</v>
      </c>
      <c r="AT40" s="1201">
        <f t="shared" si="51"/>
        <v>0</v>
      </c>
      <c r="AU40" s="1201">
        <f t="shared" si="52"/>
        <v>0</v>
      </c>
      <c r="AV40" s="1201">
        <f t="shared" si="53"/>
        <v>0</v>
      </c>
      <c r="AW40" s="1201">
        <f t="shared" si="54"/>
        <v>0</v>
      </c>
      <c r="AX40" s="1201">
        <f t="shared" si="55"/>
        <v>0</v>
      </c>
    </row>
    <row r="41" spans="1:50" ht="15" outlineLevel="1" x14ac:dyDescent="0.25">
      <c r="B41" s="686" t="str">
        <f>'[11]COSTOS DEL PLAN'!B31</f>
        <v>NUEVA S/E PROGRESO II 230/115/34.5 KV</v>
      </c>
      <c r="C41" s="2"/>
      <c r="D41" s="2"/>
      <c r="E41" s="2"/>
      <c r="F41" s="2"/>
      <c r="G41" s="2"/>
      <c r="H41" s="1226">
        <f>IF(YEAR('[11]COSTOS DEL PLAN'!$P31)=H$7,'[11]COSTOS DEL PLAN'!$O31,)</f>
        <v>0</v>
      </c>
      <c r="I41" s="1226">
        <v>0</v>
      </c>
      <c r="J41" s="1226">
        <v>0</v>
      </c>
      <c r="K41" s="1226">
        <f>IF(YEAR('[11]COSTOS DEL PLAN'!$P31)=K$7,'[11]COSTOS DEL PLAN'!$O31,)</f>
        <v>0</v>
      </c>
      <c r="L41" s="1226">
        <f>IF(YEAR('[11]COSTOS DEL PLAN'!$P31)=L$7,'[11]COSTOS DEL PLAN'!$O31,)</f>
        <v>0</v>
      </c>
      <c r="M41" s="1226">
        <f>IF(YEAR('[11]COSTOS DEL PLAN'!$P31)=M$7,'[11]COSTOS DEL PLAN'!$O31,)</f>
        <v>0</v>
      </c>
      <c r="N41" s="1226">
        <f>IF(YEAR('[11]COSTOS DEL PLAN'!$P31)=N$7,'[11]COSTOS DEL PLAN'!$O31,)</f>
        <v>0</v>
      </c>
      <c r="O41" s="66">
        <f t="shared" si="35"/>
        <v>0</v>
      </c>
      <c r="P41" s="63"/>
      <c r="Q41" s="82">
        <f>'[11]COSTOS DEL PLAN'!P31</f>
        <v>46012</v>
      </c>
      <c r="R41" s="65"/>
      <c r="S41" s="82"/>
      <c r="T41" s="63"/>
      <c r="U41" s="155" t="str">
        <f t="shared" si="36"/>
        <v/>
      </c>
      <c r="V41" s="155" t="str">
        <f t="shared" si="36"/>
        <v/>
      </c>
      <c r="W41" s="155" t="str">
        <f t="shared" si="36"/>
        <v/>
      </c>
      <c r="X41" s="155" t="str">
        <f t="shared" si="36"/>
        <v/>
      </c>
      <c r="Y41" s="155">
        <f t="shared" si="36"/>
        <v>46012</v>
      </c>
      <c r="Z41" s="155" t="str">
        <f t="shared" si="36"/>
        <v/>
      </c>
      <c r="AA41" s="155" t="str">
        <f t="shared" si="36"/>
        <v/>
      </c>
      <c r="AB41" s="155" t="str">
        <f t="shared" si="36"/>
        <v/>
      </c>
      <c r="AC41" s="155" t="str">
        <f t="shared" si="36"/>
        <v/>
      </c>
      <c r="AD41" s="155" t="str">
        <f t="shared" si="36"/>
        <v/>
      </c>
      <c r="AE41" s="137">
        <f t="shared" si="37"/>
        <v>0</v>
      </c>
      <c r="AF41" s="137">
        <f t="shared" si="38"/>
        <v>0</v>
      </c>
      <c r="AG41" s="137">
        <f t="shared" si="39"/>
        <v>0</v>
      </c>
      <c r="AH41" s="137">
        <f t="shared" si="40"/>
        <v>0</v>
      </c>
      <c r="AI41" s="137">
        <f t="shared" si="41"/>
        <v>2.7397260273972601E-2</v>
      </c>
      <c r="AJ41" s="137">
        <f t="shared" si="56"/>
        <v>0</v>
      </c>
      <c r="AK41" s="137">
        <f t="shared" si="42"/>
        <v>0</v>
      </c>
      <c r="AL41" s="137">
        <f t="shared" si="43"/>
        <v>0</v>
      </c>
      <c r="AM41" s="137">
        <f t="shared" si="44"/>
        <v>0</v>
      </c>
      <c r="AN41" s="137">
        <f t="shared" si="45"/>
        <v>0</v>
      </c>
      <c r="AO41" s="1201">
        <f t="shared" si="46"/>
        <v>0</v>
      </c>
      <c r="AP41" s="1201">
        <f t="shared" si="47"/>
        <v>0</v>
      </c>
      <c r="AQ41" s="1201">
        <f t="shared" si="48"/>
        <v>0</v>
      </c>
      <c r="AR41" s="1201">
        <f t="shared" si="49"/>
        <v>0</v>
      </c>
      <c r="AS41" s="1201">
        <f t="shared" si="50"/>
        <v>0</v>
      </c>
      <c r="AT41" s="1201">
        <f t="shared" si="51"/>
        <v>0</v>
      </c>
      <c r="AU41" s="1201">
        <f t="shared" si="52"/>
        <v>0</v>
      </c>
      <c r="AV41" s="1201">
        <f t="shared" si="53"/>
        <v>0</v>
      </c>
      <c r="AW41" s="1201">
        <f t="shared" si="54"/>
        <v>0</v>
      </c>
      <c r="AX41" s="1201">
        <f t="shared" si="55"/>
        <v>0</v>
      </c>
    </row>
    <row r="42" spans="1:50" ht="15" outlineLevel="1" x14ac:dyDescent="0.25">
      <c r="B42" s="686" t="str">
        <f>'[11]COSTOS DEL PLAN'!B32</f>
        <v>NUEVA S/E PANAMA 3 115 KV</v>
      </c>
      <c r="C42" s="2"/>
      <c r="D42" s="2"/>
      <c r="E42" s="2"/>
      <c r="F42" s="2"/>
      <c r="G42" s="2"/>
      <c r="H42" s="1226">
        <f>IF(YEAR('[11]COSTOS DEL PLAN'!$P32)=H$7,'[11]COSTOS DEL PLAN'!$O32,)</f>
        <v>0</v>
      </c>
      <c r="I42" s="1226">
        <v>0</v>
      </c>
      <c r="J42" s="1226">
        <v>0</v>
      </c>
      <c r="K42" s="1226">
        <f>IF(YEAR('[11]COSTOS DEL PLAN'!$P32)=K$7,'[11]COSTOS DEL PLAN'!$O32,)</f>
        <v>0</v>
      </c>
      <c r="L42" s="1226">
        <f>IF(YEAR('[11]COSTOS DEL PLAN'!$P32)=L$7,'[11]COSTOS DEL PLAN'!$O32,)</f>
        <v>0</v>
      </c>
      <c r="M42" s="1226">
        <f>IF(YEAR('[11]COSTOS DEL PLAN'!$P32)=M$7,'[11]COSTOS DEL PLAN'!$O32,)</f>
        <v>0</v>
      </c>
      <c r="N42" s="1226">
        <f>IF(YEAR('[11]COSTOS DEL PLAN'!$P32)=N$7,'[11]COSTOS DEL PLAN'!$O32,)</f>
        <v>0</v>
      </c>
      <c r="O42" s="66">
        <f t="shared" si="35"/>
        <v>0</v>
      </c>
      <c r="P42" s="63"/>
      <c r="Q42" s="82">
        <f>'[11]COSTOS DEL PLAN'!P32</f>
        <v>45953</v>
      </c>
      <c r="R42" s="65"/>
      <c r="S42" s="82"/>
      <c r="T42" s="63"/>
      <c r="U42" s="155" t="str">
        <f t="shared" si="36"/>
        <v/>
      </c>
      <c r="V42" s="155" t="str">
        <f t="shared" si="36"/>
        <v/>
      </c>
      <c r="W42" s="155" t="str">
        <f t="shared" si="36"/>
        <v/>
      </c>
      <c r="X42" s="155" t="str">
        <f t="shared" si="36"/>
        <v/>
      </c>
      <c r="Y42" s="155">
        <f t="shared" si="36"/>
        <v>45953</v>
      </c>
      <c r="Z42" s="155" t="str">
        <f t="shared" si="36"/>
        <v/>
      </c>
      <c r="AA42" s="155" t="str">
        <f t="shared" si="36"/>
        <v/>
      </c>
      <c r="AB42" s="155" t="str">
        <f t="shared" si="36"/>
        <v/>
      </c>
      <c r="AC42" s="155" t="str">
        <f t="shared" si="36"/>
        <v/>
      </c>
      <c r="AD42" s="155" t="str">
        <f t="shared" si="36"/>
        <v/>
      </c>
      <c r="AE42" s="137">
        <f t="shared" si="37"/>
        <v>0</v>
      </c>
      <c r="AF42" s="137">
        <f t="shared" si="38"/>
        <v>0</v>
      </c>
      <c r="AG42" s="137">
        <f t="shared" si="39"/>
        <v>0</v>
      </c>
      <c r="AH42" s="137">
        <f t="shared" si="40"/>
        <v>0</v>
      </c>
      <c r="AI42" s="137">
        <f t="shared" si="41"/>
        <v>0.18904109589041096</v>
      </c>
      <c r="AJ42" s="137">
        <f t="shared" si="56"/>
        <v>0</v>
      </c>
      <c r="AK42" s="137">
        <f t="shared" si="42"/>
        <v>0</v>
      </c>
      <c r="AL42" s="137">
        <f t="shared" si="43"/>
        <v>0</v>
      </c>
      <c r="AM42" s="137">
        <f t="shared" si="44"/>
        <v>0</v>
      </c>
      <c r="AN42" s="137">
        <f t="shared" si="45"/>
        <v>0</v>
      </c>
      <c r="AO42" s="1201">
        <f t="shared" si="46"/>
        <v>0</v>
      </c>
      <c r="AP42" s="1201">
        <f t="shared" si="47"/>
        <v>0</v>
      </c>
      <c r="AQ42" s="1201">
        <f t="shared" si="48"/>
        <v>0</v>
      </c>
      <c r="AR42" s="1201">
        <f t="shared" si="49"/>
        <v>0</v>
      </c>
      <c r="AS42" s="1201">
        <f t="shared" si="50"/>
        <v>0</v>
      </c>
      <c r="AT42" s="1201">
        <f t="shared" si="51"/>
        <v>0</v>
      </c>
      <c r="AU42" s="1201">
        <f t="shared" si="52"/>
        <v>0</v>
      </c>
      <c r="AV42" s="1201">
        <f t="shared" si="53"/>
        <v>0</v>
      </c>
      <c r="AW42" s="1201">
        <f t="shared" si="54"/>
        <v>0</v>
      </c>
      <c r="AX42" s="1201">
        <f t="shared" si="55"/>
        <v>0</v>
      </c>
    </row>
    <row r="43" spans="1:50" ht="15" outlineLevel="1" x14ac:dyDescent="0.25">
      <c r="A43" s="64">
        <v>21</v>
      </c>
      <c r="B43" s="686" t="str">
        <f>'[11]COSTOS DEL PLAN'!B33</f>
        <v>NUEVA S/E CHEPO 115/34.5 KV</v>
      </c>
      <c r="C43" s="2"/>
      <c r="D43" s="2"/>
      <c r="E43" s="2"/>
      <c r="F43" s="2"/>
      <c r="G43" s="2"/>
      <c r="H43" s="1226">
        <f>IF(YEAR('[11]COSTOS DEL PLAN'!$P33)=H$7,'[11]COSTOS DEL PLAN'!$O33,)</f>
        <v>0</v>
      </c>
      <c r="I43" s="1226">
        <v>0</v>
      </c>
      <c r="J43" s="1226">
        <v>0</v>
      </c>
      <c r="K43" s="1226">
        <f>IF(YEAR('[11]COSTOS DEL PLAN'!$P33)=K$7,'[11]COSTOS DEL PLAN'!$O33,)</f>
        <v>0</v>
      </c>
      <c r="L43" s="1226">
        <f>IF(YEAR('[11]COSTOS DEL PLAN'!$P33)=L$7,'[11]COSTOS DEL PLAN'!$O33,)</f>
        <v>0</v>
      </c>
      <c r="M43" s="1226">
        <f>IF(YEAR('[11]COSTOS DEL PLAN'!$P33)=M$7,'[11]COSTOS DEL PLAN'!$O33,)</f>
        <v>0</v>
      </c>
      <c r="N43" s="1226">
        <f>IF(YEAR('[11]COSTOS DEL PLAN'!$P33)=N$7,'[11]COSTOS DEL PLAN'!$O33,)</f>
        <v>0</v>
      </c>
      <c r="O43" s="66">
        <f t="shared" si="35"/>
        <v>0</v>
      </c>
      <c r="P43" s="63"/>
      <c r="Q43" s="82">
        <f>'[11]COSTOS DEL PLAN'!P33</f>
        <v>46295</v>
      </c>
      <c r="R43" s="65"/>
      <c r="S43" s="82"/>
      <c r="T43" s="63"/>
      <c r="U43" s="155" t="str">
        <f t="shared" si="36"/>
        <v/>
      </c>
      <c r="V43" s="155" t="str">
        <f t="shared" si="36"/>
        <v/>
      </c>
      <c r="W43" s="155" t="str">
        <f t="shared" si="36"/>
        <v/>
      </c>
      <c r="X43" s="155" t="str">
        <f t="shared" si="36"/>
        <v/>
      </c>
      <c r="Y43" s="155" t="str">
        <f t="shared" si="36"/>
        <v/>
      </c>
      <c r="Z43" s="155">
        <f t="shared" si="36"/>
        <v>46295</v>
      </c>
      <c r="AA43" s="155" t="str">
        <f t="shared" si="36"/>
        <v/>
      </c>
      <c r="AB43" s="155" t="str">
        <f t="shared" si="36"/>
        <v/>
      </c>
      <c r="AC43" s="155" t="str">
        <f t="shared" si="36"/>
        <v/>
      </c>
      <c r="AD43" s="155" t="str">
        <f t="shared" si="36"/>
        <v/>
      </c>
      <c r="AE43" s="137">
        <f t="shared" si="37"/>
        <v>0</v>
      </c>
      <c r="AF43" s="137">
        <f t="shared" si="38"/>
        <v>0</v>
      </c>
      <c r="AG43" s="137">
        <f t="shared" si="39"/>
        <v>0</v>
      </c>
      <c r="AH43" s="137">
        <f t="shared" si="40"/>
        <v>0</v>
      </c>
      <c r="AI43" s="137">
        <f t="shared" si="41"/>
        <v>0</v>
      </c>
      <c r="AJ43" s="137">
        <f t="shared" si="56"/>
        <v>0.25205479452054796</v>
      </c>
      <c r="AK43" s="137">
        <f t="shared" si="42"/>
        <v>0</v>
      </c>
      <c r="AL43" s="137">
        <f t="shared" si="43"/>
        <v>0</v>
      </c>
      <c r="AM43" s="137">
        <f t="shared" si="44"/>
        <v>0</v>
      </c>
      <c r="AN43" s="137">
        <f t="shared" si="45"/>
        <v>0</v>
      </c>
      <c r="AO43" s="1201">
        <f t="shared" si="46"/>
        <v>0</v>
      </c>
      <c r="AP43" s="1201">
        <f t="shared" si="47"/>
        <v>0</v>
      </c>
      <c r="AQ43" s="1201">
        <f t="shared" si="48"/>
        <v>0</v>
      </c>
      <c r="AR43" s="1201">
        <f t="shared" si="49"/>
        <v>0</v>
      </c>
      <c r="AS43" s="1201">
        <f t="shared" si="50"/>
        <v>0</v>
      </c>
      <c r="AT43" s="1201">
        <f t="shared" si="51"/>
        <v>0</v>
      </c>
      <c r="AU43" s="1201">
        <f t="shared" si="52"/>
        <v>0</v>
      </c>
      <c r="AV43" s="1201">
        <f t="shared" si="53"/>
        <v>0</v>
      </c>
      <c r="AW43" s="1201">
        <f t="shared" si="54"/>
        <v>0</v>
      </c>
      <c r="AX43" s="1201">
        <f t="shared" si="55"/>
        <v>0</v>
      </c>
    </row>
    <row r="44" spans="1:50" ht="15" outlineLevel="1" x14ac:dyDescent="0.25">
      <c r="A44" s="64">
        <v>22</v>
      </c>
      <c r="B44" s="686" t="str">
        <f>'[11]COSTOS DEL PLAN'!B34</f>
        <v>NUEVA S/E CALDERA 230/115/34.5 KV</v>
      </c>
      <c r="C44" s="2"/>
      <c r="D44" s="2"/>
      <c r="E44" s="2"/>
      <c r="F44" s="2"/>
      <c r="G44" s="2"/>
      <c r="H44" s="1226">
        <f>IF(YEAR('[11]COSTOS DEL PLAN'!$P34)=H$7,'[11]COSTOS DEL PLAN'!$O34,)</f>
        <v>0</v>
      </c>
      <c r="I44" s="1226">
        <v>0</v>
      </c>
      <c r="J44" s="1226">
        <v>0</v>
      </c>
      <c r="K44" s="1226">
        <f>IF(YEAR('[11]COSTOS DEL PLAN'!$P34)=K$7,'[11]COSTOS DEL PLAN'!$O34,)</f>
        <v>0</v>
      </c>
      <c r="L44" s="1226">
        <f>IF(YEAR('[11]COSTOS DEL PLAN'!$P34)=L$7,'[11]COSTOS DEL PLAN'!$O34,)</f>
        <v>0</v>
      </c>
      <c r="M44" s="1226">
        <f>IF(YEAR('[11]COSTOS DEL PLAN'!$P34)=M$7,'[11]COSTOS DEL PLAN'!$O34,)</f>
        <v>0</v>
      </c>
      <c r="N44" s="1226">
        <f>IF(YEAR('[11]COSTOS DEL PLAN'!$P34)=N$7,'[11]COSTOS DEL PLAN'!$O34,)</f>
        <v>0</v>
      </c>
      <c r="O44" s="66">
        <f t="shared" si="35"/>
        <v>0</v>
      </c>
      <c r="P44" s="63"/>
      <c r="Q44" s="82">
        <f>'[11]COSTOS DEL PLAN'!P34</f>
        <v>46073</v>
      </c>
      <c r="R44" s="65"/>
      <c r="S44" s="82"/>
      <c r="T44" s="63"/>
      <c r="U44" s="155" t="str">
        <f t="shared" si="36"/>
        <v/>
      </c>
      <c r="V44" s="155" t="str">
        <f t="shared" si="36"/>
        <v/>
      </c>
      <c r="W44" s="155" t="str">
        <f t="shared" si="36"/>
        <v/>
      </c>
      <c r="X44" s="155" t="str">
        <f t="shared" si="36"/>
        <v/>
      </c>
      <c r="Y44" s="155" t="str">
        <f t="shared" si="36"/>
        <v/>
      </c>
      <c r="Z44" s="155">
        <f t="shared" si="36"/>
        <v>46073</v>
      </c>
      <c r="AA44" s="155" t="str">
        <f t="shared" si="36"/>
        <v/>
      </c>
      <c r="AB44" s="155" t="str">
        <f t="shared" si="36"/>
        <v/>
      </c>
      <c r="AC44" s="155" t="str">
        <f t="shared" si="36"/>
        <v/>
      </c>
      <c r="AD44" s="155" t="str">
        <f t="shared" si="36"/>
        <v/>
      </c>
      <c r="AE44" s="137">
        <f t="shared" si="37"/>
        <v>0</v>
      </c>
      <c r="AF44" s="137">
        <f t="shared" si="38"/>
        <v>0</v>
      </c>
      <c r="AG44" s="137">
        <f t="shared" si="39"/>
        <v>0</v>
      </c>
      <c r="AH44" s="137">
        <f t="shared" si="40"/>
        <v>0</v>
      </c>
      <c r="AI44" s="137">
        <f t="shared" si="41"/>
        <v>0</v>
      </c>
      <c r="AJ44" s="137">
        <f t="shared" si="56"/>
        <v>0.86027397260273974</v>
      </c>
      <c r="AK44" s="137">
        <f t="shared" si="42"/>
        <v>0</v>
      </c>
      <c r="AL44" s="137">
        <f t="shared" si="43"/>
        <v>0</v>
      </c>
      <c r="AM44" s="137">
        <f t="shared" si="44"/>
        <v>0</v>
      </c>
      <c r="AN44" s="137">
        <f t="shared" si="45"/>
        <v>0</v>
      </c>
      <c r="AO44" s="1201">
        <f t="shared" si="46"/>
        <v>0</v>
      </c>
      <c r="AP44" s="1201">
        <f t="shared" si="47"/>
        <v>0</v>
      </c>
      <c r="AQ44" s="1201">
        <f t="shared" si="48"/>
        <v>0</v>
      </c>
      <c r="AR44" s="1201">
        <f t="shared" si="49"/>
        <v>0</v>
      </c>
      <c r="AS44" s="1201">
        <f t="shared" si="50"/>
        <v>0</v>
      </c>
      <c r="AT44" s="1201">
        <f t="shared" si="51"/>
        <v>0</v>
      </c>
      <c r="AU44" s="1201">
        <f t="shared" si="52"/>
        <v>0</v>
      </c>
      <c r="AV44" s="1201">
        <f t="shared" si="53"/>
        <v>0</v>
      </c>
      <c r="AW44" s="1201">
        <f t="shared" si="54"/>
        <v>0</v>
      </c>
      <c r="AX44" s="1201">
        <f t="shared" si="55"/>
        <v>0</v>
      </c>
    </row>
    <row r="45" spans="1:50" ht="15" outlineLevel="1" x14ac:dyDescent="0.25">
      <c r="A45" s="64">
        <v>23</v>
      </c>
      <c r="B45" s="686" t="str">
        <f>'[11]COSTOS DEL PLAN'!B35</f>
        <v>SISTEMA BESS EN S/E PANAMA 3 EN 230KV</v>
      </c>
      <c r="C45" s="2"/>
      <c r="D45" s="2"/>
      <c r="E45" s="2"/>
      <c r="F45" s="2"/>
      <c r="G45" s="2"/>
      <c r="H45" s="1226">
        <f>IF(YEAR('[11]COSTOS DEL PLAN'!$P35)=H$7,'[11]COSTOS DEL PLAN'!$O35,)</f>
        <v>0</v>
      </c>
      <c r="I45" s="1226">
        <v>0</v>
      </c>
      <c r="J45" s="1226">
        <v>0</v>
      </c>
      <c r="K45" s="1226">
        <f>IF(YEAR('[11]COSTOS DEL PLAN'!$P35)=K$7,'[11]COSTOS DEL PLAN'!$O35,)</f>
        <v>0</v>
      </c>
      <c r="L45" s="1226">
        <f>IF(YEAR('[11]COSTOS DEL PLAN'!$P35)=L$7,'[11]COSTOS DEL PLAN'!$O35,)</f>
        <v>0</v>
      </c>
      <c r="M45" s="1226">
        <f>IF(YEAR('[11]COSTOS DEL PLAN'!$P35)=M$7,'[11]COSTOS DEL PLAN'!$O35,)</f>
        <v>0</v>
      </c>
      <c r="N45" s="1226">
        <f>IF(YEAR('[11]COSTOS DEL PLAN'!$P35)=N$7,'[11]COSTOS DEL PLAN'!$O35,)</f>
        <v>0</v>
      </c>
      <c r="O45" s="66">
        <f t="shared" si="35"/>
        <v>0</v>
      </c>
      <c r="P45" s="63"/>
      <c r="Q45" s="82">
        <f>'[11]COSTOS DEL PLAN'!P35</f>
        <v>45960</v>
      </c>
      <c r="R45" s="65"/>
      <c r="S45" s="82"/>
      <c r="T45" s="63"/>
      <c r="U45" s="155" t="str">
        <f t="shared" si="36"/>
        <v/>
      </c>
      <c r="V45" s="155" t="str">
        <f t="shared" si="36"/>
        <v/>
      </c>
      <c r="W45" s="155" t="str">
        <f t="shared" si="36"/>
        <v/>
      </c>
      <c r="X45" s="155" t="str">
        <f t="shared" si="36"/>
        <v/>
      </c>
      <c r="Y45" s="155">
        <f t="shared" si="36"/>
        <v>45960</v>
      </c>
      <c r="Z45" s="155" t="str">
        <f t="shared" si="36"/>
        <v/>
      </c>
      <c r="AA45" s="155" t="str">
        <f t="shared" si="36"/>
        <v/>
      </c>
      <c r="AB45" s="155" t="str">
        <f t="shared" si="36"/>
        <v/>
      </c>
      <c r="AC45" s="155" t="str">
        <f t="shared" si="36"/>
        <v/>
      </c>
      <c r="AD45" s="155" t="str">
        <f t="shared" si="36"/>
        <v/>
      </c>
      <c r="AE45" s="137">
        <f t="shared" si="37"/>
        <v>0</v>
      </c>
      <c r="AF45" s="137">
        <f t="shared" si="38"/>
        <v>0</v>
      </c>
      <c r="AG45" s="137">
        <f t="shared" si="39"/>
        <v>0</v>
      </c>
      <c r="AH45" s="137">
        <f t="shared" si="40"/>
        <v>0</v>
      </c>
      <c r="AI45" s="137">
        <f t="shared" si="41"/>
        <v>0.16986301369863013</v>
      </c>
      <c r="AJ45" s="137">
        <f t="shared" si="56"/>
        <v>0</v>
      </c>
      <c r="AK45" s="137">
        <f t="shared" si="42"/>
        <v>0</v>
      </c>
      <c r="AL45" s="137">
        <f t="shared" si="43"/>
        <v>0</v>
      </c>
      <c r="AM45" s="137">
        <f t="shared" si="44"/>
        <v>0</v>
      </c>
      <c r="AN45" s="137">
        <f t="shared" si="45"/>
        <v>0</v>
      </c>
      <c r="AO45" s="1201">
        <f t="shared" si="46"/>
        <v>0</v>
      </c>
      <c r="AP45" s="1201">
        <f t="shared" si="47"/>
        <v>0</v>
      </c>
      <c r="AQ45" s="1201">
        <f t="shared" si="48"/>
        <v>0</v>
      </c>
      <c r="AR45" s="1201">
        <f t="shared" si="49"/>
        <v>0</v>
      </c>
      <c r="AS45" s="1201">
        <f t="shared" si="50"/>
        <v>0</v>
      </c>
      <c r="AT45" s="1201">
        <f t="shared" si="51"/>
        <v>0</v>
      </c>
      <c r="AU45" s="1201">
        <f t="shared" si="52"/>
        <v>0</v>
      </c>
      <c r="AV45" s="1201">
        <f t="shared" si="53"/>
        <v>0</v>
      </c>
      <c r="AW45" s="1201">
        <f t="shared" si="54"/>
        <v>0</v>
      </c>
      <c r="AX45" s="1201">
        <f t="shared" si="55"/>
        <v>0</v>
      </c>
    </row>
    <row r="46" spans="1:50" ht="15" x14ac:dyDescent="0.25">
      <c r="A46" s="64">
        <v>24</v>
      </c>
      <c r="B46" s="686" t="str">
        <f>'[11]COSTOS DEL PLAN'!B36</f>
        <v>NUEVA S/E CHARCO AZUL 115/34.5 KV</v>
      </c>
      <c r="C46" s="2"/>
      <c r="D46" s="2"/>
      <c r="E46" s="2"/>
      <c r="F46" s="2"/>
      <c r="G46" s="2"/>
      <c r="H46" s="1226">
        <f>IF(YEAR('[11]COSTOS DEL PLAN'!$P36)=H$7,'[11]COSTOS DEL PLAN'!$O36,)</f>
        <v>0</v>
      </c>
      <c r="I46" s="1226">
        <v>0</v>
      </c>
      <c r="J46" s="1226">
        <v>0</v>
      </c>
      <c r="K46" s="1226">
        <f>IF(YEAR('[11]COSTOS DEL PLAN'!$P36)=K$7,'[11]COSTOS DEL PLAN'!$O36,)</f>
        <v>0</v>
      </c>
      <c r="L46" s="1226">
        <f>IF(YEAR('[11]COSTOS DEL PLAN'!$P36)=L$7,'[11]COSTOS DEL PLAN'!$O36,)</f>
        <v>0</v>
      </c>
      <c r="M46" s="1226">
        <f>IF(YEAR('[11]COSTOS DEL PLAN'!$P36)=M$7,'[11]COSTOS DEL PLAN'!$O36,)</f>
        <v>0</v>
      </c>
      <c r="N46" s="1226">
        <f>IF(YEAR('[11]COSTOS DEL PLAN'!$P36)=N$7,'[11]COSTOS DEL PLAN'!$O36,)</f>
        <v>0</v>
      </c>
      <c r="O46" s="66">
        <f t="shared" si="35"/>
        <v>0</v>
      </c>
      <c r="P46" s="63"/>
      <c r="Q46" s="82">
        <f>'[11]COSTOS DEL PLAN'!P36</f>
        <v>46295</v>
      </c>
      <c r="R46" s="65"/>
      <c r="S46" s="82"/>
      <c r="T46" s="63"/>
      <c r="U46" s="155" t="str">
        <f t="shared" si="36"/>
        <v/>
      </c>
      <c r="V46" s="155" t="str">
        <f t="shared" si="36"/>
        <v/>
      </c>
      <c r="W46" s="155" t="str">
        <f t="shared" si="36"/>
        <v/>
      </c>
      <c r="X46" s="155" t="str">
        <f t="shared" si="36"/>
        <v/>
      </c>
      <c r="Y46" s="155" t="str">
        <f t="shared" si="36"/>
        <v/>
      </c>
      <c r="Z46" s="155">
        <f t="shared" si="36"/>
        <v>46295</v>
      </c>
      <c r="AA46" s="155" t="str">
        <f t="shared" si="36"/>
        <v/>
      </c>
      <c r="AB46" s="155" t="str">
        <f t="shared" si="36"/>
        <v/>
      </c>
      <c r="AC46" s="155" t="str">
        <f t="shared" si="36"/>
        <v/>
      </c>
      <c r="AD46" s="155" t="str">
        <f t="shared" si="36"/>
        <v/>
      </c>
      <c r="AE46" s="137">
        <f t="shared" si="37"/>
        <v>0</v>
      </c>
      <c r="AF46" s="137">
        <f t="shared" si="38"/>
        <v>0</v>
      </c>
      <c r="AG46" s="137">
        <f t="shared" si="39"/>
        <v>0</v>
      </c>
      <c r="AH46" s="137">
        <f t="shared" si="40"/>
        <v>0</v>
      </c>
      <c r="AI46" s="137">
        <f t="shared" si="41"/>
        <v>0</v>
      </c>
      <c r="AJ46" s="137">
        <f t="shared" si="56"/>
        <v>0.25205479452054796</v>
      </c>
      <c r="AK46" s="137">
        <f t="shared" si="42"/>
        <v>0</v>
      </c>
      <c r="AL46" s="137">
        <f t="shared" si="43"/>
        <v>0</v>
      </c>
      <c r="AM46" s="137">
        <f t="shared" si="44"/>
        <v>0</v>
      </c>
      <c r="AN46" s="137">
        <f t="shared" si="45"/>
        <v>0</v>
      </c>
      <c r="AO46" s="1201">
        <f t="shared" si="46"/>
        <v>0</v>
      </c>
      <c r="AP46" s="1201">
        <f t="shared" si="47"/>
        <v>0</v>
      </c>
      <c r="AQ46" s="1201">
        <f t="shared" si="48"/>
        <v>0</v>
      </c>
      <c r="AR46" s="1201">
        <f t="shared" si="49"/>
        <v>0</v>
      </c>
      <c r="AS46" s="1201">
        <f t="shared" si="50"/>
        <v>0</v>
      </c>
      <c r="AT46" s="1201">
        <f t="shared" si="51"/>
        <v>0</v>
      </c>
      <c r="AU46" s="1201">
        <f t="shared" si="52"/>
        <v>0</v>
      </c>
      <c r="AV46" s="1201">
        <f t="shared" si="53"/>
        <v>0</v>
      </c>
      <c r="AW46" s="1201">
        <f t="shared" si="54"/>
        <v>0</v>
      </c>
      <c r="AX46" s="1201">
        <f t="shared" si="55"/>
        <v>0</v>
      </c>
    </row>
    <row r="47" spans="1:50" ht="15" x14ac:dyDescent="0.25">
      <c r="B47" s="686" t="str">
        <f>'[11]COSTOS DEL PLAN'!B37</f>
        <v>LINEA LT4 CHIRIQUI GRANDE - PANAMA III 500 KV OPERANDO EN 230 KV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66"/>
      <c r="P47" s="63"/>
      <c r="Q47" s="82">
        <f>'[11]COSTOS DEL PLAN'!P37</f>
        <v>46203</v>
      </c>
      <c r="R47" s="65"/>
      <c r="S47" s="82"/>
      <c r="T47" s="63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201"/>
      <c r="AP47" s="1201"/>
      <c r="AQ47" s="1201"/>
      <c r="AR47" s="1201"/>
      <c r="AS47" s="1201"/>
      <c r="AT47" s="1201"/>
      <c r="AU47" s="1201"/>
      <c r="AV47" s="1201"/>
      <c r="AW47" s="1201"/>
      <c r="AX47" s="1201"/>
    </row>
    <row r="48" spans="1:50" ht="15" x14ac:dyDescent="0.25">
      <c r="B48" s="68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66"/>
      <c r="P48" s="63"/>
      <c r="Q48" s="82"/>
      <c r="R48" s="65"/>
      <c r="S48" s="82"/>
      <c r="T48" s="63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201"/>
      <c r="AP48" s="1201"/>
      <c r="AQ48" s="1201"/>
      <c r="AR48" s="1201"/>
      <c r="AS48" s="1201"/>
      <c r="AT48" s="1201"/>
      <c r="AU48" s="1201"/>
      <c r="AV48" s="1201"/>
      <c r="AW48" s="1201"/>
      <c r="AX48" s="1201"/>
    </row>
    <row r="49" spans="1:50" s="493" customFormat="1" ht="15" collapsed="1" x14ac:dyDescent="0.25">
      <c r="A49" s="494"/>
      <c r="B49" s="490" t="s">
        <v>163</v>
      </c>
      <c r="C49" s="496"/>
      <c r="D49" s="496"/>
      <c r="E49" s="496"/>
      <c r="F49" s="496"/>
      <c r="G49" s="496"/>
      <c r="H49" s="496">
        <f t="shared" ref="H49:N49" si="57">SUBTOTAL(9,H50:H63)</f>
        <v>0</v>
      </c>
      <c r="I49" s="496">
        <f t="shared" si="57"/>
        <v>0</v>
      </c>
      <c r="J49" s="496">
        <f t="shared" si="57"/>
        <v>0</v>
      </c>
      <c r="K49" s="496">
        <f>SUBTOTAL(9,K50:K63)</f>
        <v>0</v>
      </c>
      <c r="L49" s="496">
        <f t="shared" si="57"/>
        <v>0</v>
      </c>
      <c r="M49" s="496">
        <f t="shared" si="57"/>
        <v>0</v>
      </c>
      <c r="N49" s="496">
        <f t="shared" si="57"/>
        <v>0</v>
      </c>
      <c r="O49" s="497">
        <f t="shared" ref="O49" si="58">SUM(D49:N49)</f>
        <v>0</v>
      </c>
      <c r="P49" s="498"/>
      <c r="Q49" s="499"/>
      <c r="S49" s="499"/>
      <c r="T49" s="498"/>
      <c r="AE49" s="137">
        <f t="shared" ref="AE49:AE112" si="59">IF(U49="",,(DATE(AE$6,12,31)-U49)/365)</f>
        <v>0</v>
      </c>
      <c r="AF49" s="137">
        <f t="shared" ref="AF49:AF112" si="60">IF(V49="",,(DATE(AF$6,12,31)-V49)/365)</f>
        <v>0</v>
      </c>
      <c r="AG49" s="137">
        <f t="shared" ref="AG49:AG112" si="61">IF(W49="",,(DATE(AG$6,12,31)-W49)/365)</f>
        <v>0</v>
      </c>
      <c r="AH49" s="137">
        <f t="shared" ref="AH49:AH112" si="62">IF(X49="",,(DATE(AH$6,12,31)-X49)/365)</f>
        <v>0</v>
      </c>
      <c r="AI49" s="137">
        <f t="shared" ref="AI49:AI112" si="63">IF(Y49="",,(DATE(AI$6,12,31)-Y49)/365)</f>
        <v>0</v>
      </c>
      <c r="AJ49" s="137">
        <f t="shared" ref="AJ49:AJ112" si="64">IF(Z49="",,(DATE(AJ$6,12,31)-Z49)/365)</f>
        <v>0</v>
      </c>
      <c r="AK49" s="137">
        <f t="shared" ref="AK49:AK112" si="65">IF(AA49="",,(DATE(AK$6,12,31)-AA49)/365)</f>
        <v>0</v>
      </c>
      <c r="AL49" s="137">
        <f t="shared" ref="AL49:AL112" si="66">IF(AB49="",,(DATE(AL$6,12,31)-AB49)/365)</f>
        <v>0</v>
      </c>
      <c r="AM49" s="137">
        <f t="shared" ref="AM49:AM112" si="67">IF(AC49="",,(DATE(AM$6,12,31)-AC49)/365)</f>
        <v>0</v>
      </c>
      <c r="AN49" s="137">
        <f t="shared" ref="AN49:AN112" si="68">IF(AD49="",,(DATE(AN$6,12,31)-AD49)/365)</f>
        <v>0</v>
      </c>
    </row>
    <row r="50" spans="1:50" ht="15" outlineLevel="1" x14ac:dyDescent="0.25">
      <c r="A50" s="64">
        <v>25</v>
      </c>
      <c r="B50" s="686" t="str">
        <f>'[11]COSTOS DEL PLAN'!B39</f>
        <v>ADICION DE TRANSFORMADOR T3 S/E PROGRESO 2 230/115/34.5 KV</v>
      </c>
      <c r="C50" s="2"/>
      <c r="D50" s="2"/>
      <c r="E50" s="2"/>
      <c r="F50" s="2"/>
      <c r="G50" s="2"/>
      <c r="H50" s="1226">
        <v>0</v>
      </c>
      <c r="I50" s="1226">
        <v>0</v>
      </c>
      <c r="J50" s="1226">
        <v>0</v>
      </c>
      <c r="K50" s="1226">
        <v>0</v>
      </c>
      <c r="L50" s="1226">
        <v>0</v>
      </c>
      <c r="M50" s="1226">
        <v>0</v>
      </c>
      <c r="N50" s="1226">
        <f>IF(YEAR('[11]COSTOS DEL PLAN'!$P39)=N$7,'[11]COSTOS DEL PLAN'!$O39,)</f>
        <v>0</v>
      </c>
      <c r="O50" s="66">
        <f t="shared" ref="O50:O62" si="69">SUM(C50:N50)</f>
        <v>0</v>
      </c>
      <c r="P50" s="63"/>
      <c r="Q50" s="82">
        <f>'[11]COSTOS DEL PLAN'!P39</f>
        <v>46568</v>
      </c>
      <c r="R50" s="64"/>
      <c r="S50" s="82"/>
      <c r="T50" s="63"/>
      <c r="U50" s="155" t="str">
        <f t="shared" ref="U50:AD57" si="70">IF(U$6=YEAR($Q50),$Q50,"")</f>
        <v/>
      </c>
      <c r="V50" s="155" t="str">
        <f t="shared" si="70"/>
        <v/>
      </c>
      <c r="W50" s="155" t="str">
        <f t="shared" si="70"/>
        <v/>
      </c>
      <c r="X50" s="155" t="str">
        <f t="shared" si="70"/>
        <v/>
      </c>
      <c r="Y50" s="155" t="str">
        <f t="shared" si="70"/>
        <v/>
      </c>
      <c r="Z50" s="155" t="str">
        <f t="shared" si="70"/>
        <v/>
      </c>
      <c r="AA50" s="155">
        <f t="shared" si="70"/>
        <v>46568</v>
      </c>
      <c r="AB50" s="155" t="str">
        <f t="shared" si="70"/>
        <v/>
      </c>
      <c r="AC50" s="155" t="str">
        <f t="shared" si="70"/>
        <v/>
      </c>
      <c r="AD50" s="155" t="str">
        <f t="shared" si="70"/>
        <v/>
      </c>
      <c r="AE50" s="137">
        <f t="shared" si="59"/>
        <v>0</v>
      </c>
      <c r="AF50" s="137">
        <f t="shared" si="60"/>
        <v>0</v>
      </c>
      <c r="AG50" s="137">
        <f t="shared" si="61"/>
        <v>0</v>
      </c>
      <c r="AH50" s="137">
        <f t="shared" si="62"/>
        <v>0</v>
      </c>
      <c r="AI50" s="137">
        <f t="shared" si="63"/>
        <v>0</v>
      </c>
      <c r="AJ50" s="137">
        <f t="shared" si="64"/>
        <v>0</v>
      </c>
      <c r="AK50" s="137">
        <f t="shared" si="65"/>
        <v>0.50410958904109593</v>
      </c>
      <c r="AL50" s="137">
        <f t="shared" si="66"/>
        <v>0</v>
      </c>
      <c r="AM50" s="137">
        <f t="shared" si="67"/>
        <v>0</v>
      </c>
      <c r="AN50" s="137">
        <f t="shared" si="68"/>
        <v>0</v>
      </c>
      <c r="AO50" s="1201">
        <f t="shared" ref="AO50:AO56" si="71">AE50*E50</f>
        <v>0</v>
      </c>
      <c r="AP50" s="1201">
        <f t="shared" ref="AP50:AP56" si="72">AF50*F50</f>
        <v>0</v>
      </c>
      <c r="AQ50" s="1201">
        <f t="shared" ref="AQ50:AQ56" si="73">AG50*G50</f>
        <v>0</v>
      </c>
      <c r="AR50" s="1201">
        <f t="shared" ref="AR50:AR56" si="74">AH50*H50</f>
        <v>0</v>
      </c>
      <c r="AS50" s="1201">
        <f t="shared" ref="AS50:AS56" si="75">AI50*I50</f>
        <v>0</v>
      </c>
      <c r="AT50" s="1201">
        <f t="shared" ref="AT50:AT56" si="76">AJ50*J50</f>
        <v>0</v>
      </c>
      <c r="AU50" s="1201">
        <f t="shared" ref="AU50:AU56" si="77">AK50*K50</f>
        <v>0</v>
      </c>
      <c r="AV50" s="1201">
        <f t="shared" ref="AV50:AV56" si="78">AL50*L50</f>
        <v>0</v>
      </c>
      <c r="AW50" s="1201">
        <f t="shared" ref="AW50:AW56" si="79">AM50*M50</f>
        <v>0</v>
      </c>
      <c r="AX50" s="1201">
        <f t="shared" ref="AX50:AX56" si="80">AN50*N50</f>
        <v>0</v>
      </c>
    </row>
    <row r="51" spans="1:50" ht="15" outlineLevel="1" x14ac:dyDescent="0.25">
      <c r="A51" s="64">
        <v>26</v>
      </c>
      <c r="B51" s="686" t="str">
        <f>'[11]COSTOS DEL PLAN'!B40</f>
        <v>ADICION DE TRANSFORMADOR  T4 S/E BOQUERON III 230/34.5 KV</v>
      </c>
      <c r="C51" s="2"/>
      <c r="D51" s="2"/>
      <c r="E51" s="2"/>
      <c r="F51" s="2"/>
      <c r="G51" s="2"/>
      <c r="H51" s="1226">
        <v>0</v>
      </c>
      <c r="I51" s="1226">
        <v>0</v>
      </c>
      <c r="J51" s="1226">
        <v>0</v>
      </c>
      <c r="K51" s="1226">
        <v>0</v>
      </c>
      <c r="L51" s="1226">
        <v>0</v>
      </c>
      <c r="M51" s="1226">
        <v>0</v>
      </c>
      <c r="N51" s="1226">
        <f>IF(YEAR('[11]COSTOS DEL PLAN'!$P40)=N$7,'[11]COSTOS DEL PLAN'!$O40,)</f>
        <v>0</v>
      </c>
      <c r="O51" s="66">
        <f t="shared" si="69"/>
        <v>0</v>
      </c>
      <c r="P51" s="63"/>
      <c r="Q51" s="82">
        <f>'[11]COSTOS DEL PLAN'!P40</f>
        <v>46568</v>
      </c>
      <c r="R51" s="64"/>
      <c r="S51" s="82"/>
      <c r="T51" s="63"/>
      <c r="U51" s="155" t="str">
        <f t="shared" si="70"/>
        <v/>
      </c>
      <c r="V51" s="155" t="str">
        <f t="shared" si="70"/>
        <v/>
      </c>
      <c r="W51" s="155" t="str">
        <f t="shared" si="70"/>
        <v/>
      </c>
      <c r="X51" s="155" t="str">
        <f t="shared" si="70"/>
        <v/>
      </c>
      <c r="Y51" s="155" t="str">
        <f t="shared" si="70"/>
        <v/>
      </c>
      <c r="Z51" s="155" t="str">
        <f t="shared" si="70"/>
        <v/>
      </c>
      <c r="AA51" s="155">
        <f t="shared" si="70"/>
        <v>46568</v>
      </c>
      <c r="AB51" s="155" t="str">
        <f t="shared" si="70"/>
        <v/>
      </c>
      <c r="AC51" s="155" t="str">
        <f t="shared" si="70"/>
        <v/>
      </c>
      <c r="AD51" s="155" t="str">
        <f t="shared" si="70"/>
        <v/>
      </c>
      <c r="AE51" s="137">
        <f t="shared" si="59"/>
        <v>0</v>
      </c>
      <c r="AF51" s="137">
        <f t="shared" si="60"/>
        <v>0</v>
      </c>
      <c r="AG51" s="137">
        <f t="shared" si="61"/>
        <v>0</v>
      </c>
      <c r="AH51" s="137">
        <f t="shared" si="62"/>
        <v>0</v>
      </c>
      <c r="AI51" s="137">
        <f t="shared" si="63"/>
        <v>0</v>
      </c>
      <c r="AJ51" s="137">
        <f t="shared" si="64"/>
        <v>0</v>
      </c>
      <c r="AK51" s="137">
        <f t="shared" si="65"/>
        <v>0.50410958904109593</v>
      </c>
      <c r="AL51" s="137">
        <f t="shared" si="66"/>
        <v>0</v>
      </c>
      <c r="AM51" s="137">
        <f t="shared" si="67"/>
        <v>0</v>
      </c>
      <c r="AN51" s="137">
        <f t="shared" si="68"/>
        <v>0</v>
      </c>
      <c r="AO51" s="1201">
        <f t="shared" si="71"/>
        <v>0</v>
      </c>
      <c r="AP51" s="1201">
        <f t="shared" si="72"/>
        <v>0</v>
      </c>
      <c r="AQ51" s="1201">
        <f t="shared" si="73"/>
        <v>0</v>
      </c>
      <c r="AR51" s="1201">
        <f t="shared" si="74"/>
        <v>0</v>
      </c>
      <c r="AS51" s="1201">
        <f t="shared" si="75"/>
        <v>0</v>
      </c>
      <c r="AT51" s="1201">
        <f t="shared" si="76"/>
        <v>0</v>
      </c>
      <c r="AU51" s="1201">
        <f t="shared" si="77"/>
        <v>0</v>
      </c>
      <c r="AV51" s="1201">
        <f t="shared" si="78"/>
        <v>0</v>
      </c>
      <c r="AW51" s="1201">
        <f t="shared" si="79"/>
        <v>0</v>
      </c>
      <c r="AX51" s="1201">
        <f t="shared" si="80"/>
        <v>0</v>
      </c>
    </row>
    <row r="52" spans="1:50" ht="15" outlineLevel="1" x14ac:dyDescent="0.25">
      <c r="A52" s="64">
        <v>27</v>
      </c>
      <c r="B52" s="686" t="str">
        <f>'[11]COSTOS DEL PLAN'!B41</f>
        <v>ADICION DE TRANSFORMADOR  T4 S/E LLANOS SANCHEZ 230/115/34.5 KV</v>
      </c>
      <c r="C52" s="2"/>
      <c r="D52" s="2"/>
      <c r="E52" s="2"/>
      <c r="F52" s="2"/>
      <c r="G52" s="2"/>
      <c r="H52" s="1226">
        <v>0</v>
      </c>
      <c r="I52" s="1226">
        <v>0</v>
      </c>
      <c r="J52" s="1226">
        <v>0</v>
      </c>
      <c r="K52" s="1226">
        <v>0</v>
      </c>
      <c r="L52" s="1226">
        <v>0</v>
      </c>
      <c r="M52" s="1226">
        <v>0</v>
      </c>
      <c r="N52" s="1226">
        <f>IF(YEAR('[11]COSTOS DEL PLAN'!$P41)=N$7,'[11]COSTOS DEL PLAN'!$O41,)</f>
        <v>0</v>
      </c>
      <c r="O52" s="66">
        <f t="shared" si="69"/>
        <v>0</v>
      </c>
      <c r="P52" s="63"/>
      <c r="Q52" s="82">
        <f>'[11]COSTOS DEL PLAN'!P41</f>
        <v>46568</v>
      </c>
      <c r="R52" s="64"/>
      <c r="S52" s="82"/>
      <c r="T52" s="63"/>
      <c r="U52" s="155" t="str">
        <f t="shared" si="70"/>
        <v/>
      </c>
      <c r="V52" s="155" t="str">
        <f t="shared" si="70"/>
        <v/>
      </c>
      <c r="W52" s="155" t="str">
        <f t="shared" si="70"/>
        <v/>
      </c>
      <c r="X52" s="155" t="str">
        <f t="shared" si="70"/>
        <v/>
      </c>
      <c r="Y52" s="155" t="str">
        <f t="shared" si="70"/>
        <v/>
      </c>
      <c r="Z52" s="155" t="str">
        <f t="shared" si="70"/>
        <v/>
      </c>
      <c r="AA52" s="155">
        <f t="shared" si="70"/>
        <v>46568</v>
      </c>
      <c r="AB52" s="155" t="str">
        <f t="shared" si="70"/>
        <v/>
      </c>
      <c r="AC52" s="155" t="str">
        <f t="shared" si="70"/>
        <v/>
      </c>
      <c r="AD52" s="155" t="str">
        <f t="shared" si="70"/>
        <v/>
      </c>
      <c r="AE52" s="137">
        <f t="shared" si="59"/>
        <v>0</v>
      </c>
      <c r="AF52" s="137">
        <f t="shared" si="60"/>
        <v>0</v>
      </c>
      <c r="AG52" s="137">
        <f t="shared" si="61"/>
        <v>0</v>
      </c>
      <c r="AH52" s="137">
        <f t="shared" si="62"/>
        <v>0</v>
      </c>
      <c r="AI52" s="137">
        <f t="shared" si="63"/>
        <v>0</v>
      </c>
      <c r="AJ52" s="137">
        <f t="shared" si="64"/>
        <v>0</v>
      </c>
      <c r="AK52" s="137">
        <f t="shared" si="65"/>
        <v>0.50410958904109593</v>
      </c>
      <c r="AL52" s="137">
        <f t="shared" si="66"/>
        <v>0</v>
      </c>
      <c r="AM52" s="137">
        <f t="shared" si="67"/>
        <v>0</v>
      </c>
      <c r="AN52" s="137">
        <f t="shared" si="68"/>
        <v>0</v>
      </c>
      <c r="AO52" s="1201">
        <f t="shared" si="71"/>
        <v>0</v>
      </c>
      <c r="AP52" s="1201">
        <f t="shared" si="72"/>
        <v>0</v>
      </c>
      <c r="AQ52" s="1201">
        <f t="shared" si="73"/>
        <v>0</v>
      </c>
      <c r="AR52" s="1201">
        <f t="shared" si="74"/>
        <v>0</v>
      </c>
      <c r="AS52" s="1201">
        <f t="shared" si="75"/>
        <v>0</v>
      </c>
      <c r="AT52" s="1201">
        <f t="shared" si="76"/>
        <v>0</v>
      </c>
      <c r="AU52" s="1201">
        <f t="shared" si="77"/>
        <v>0</v>
      </c>
      <c r="AV52" s="1201">
        <f t="shared" si="78"/>
        <v>0</v>
      </c>
      <c r="AW52" s="1201">
        <f t="shared" si="79"/>
        <v>0</v>
      </c>
      <c r="AX52" s="1201">
        <f t="shared" si="80"/>
        <v>0</v>
      </c>
    </row>
    <row r="53" spans="1:50" ht="15" outlineLevel="1" x14ac:dyDescent="0.25">
      <c r="B53" s="686" t="str">
        <f>'[11]COSTOS DEL PLAN'!B42</f>
        <v>AUMENTO DE CAPACIDAD LT GUASQ-FORT-CH. GRANDE 230 KV</v>
      </c>
      <c r="C53" s="2"/>
      <c r="D53" s="2"/>
      <c r="E53" s="2"/>
      <c r="F53" s="2"/>
      <c r="G53" s="2"/>
      <c r="H53" s="1226">
        <v>0</v>
      </c>
      <c r="I53" s="1226">
        <v>0</v>
      </c>
      <c r="J53" s="1226">
        <v>0</v>
      </c>
      <c r="K53" s="1226">
        <v>0</v>
      </c>
      <c r="L53" s="1226">
        <v>0</v>
      </c>
      <c r="M53" s="1226">
        <v>0</v>
      </c>
      <c r="N53" s="1226">
        <f>IF(YEAR('[11]COSTOS DEL PLAN'!$P42)=N$7,'[11]COSTOS DEL PLAN'!$O42,)</f>
        <v>0</v>
      </c>
      <c r="O53" s="66">
        <f t="shared" si="69"/>
        <v>0</v>
      </c>
      <c r="P53" s="63"/>
      <c r="Q53" s="82">
        <f>'[11]COSTOS DEL PLAN'!P42</f>
        <v>46783</v>
      </c>
      <c r="R53" s="64"/>
      <c r="S53" s="82"/>
      <c r="T53" s="63"/>
      <c r="U53" s="155" t="str">
        <f t="shared" si="70"/>
        <v/>
      </c>
      <c r="V53" s="155" t="str">
        <f t="shared" si="70"/>
        <v/>
      </c>
      <c r="W53" s="155" t="str">
        <f t="shared" si="70"/>
        <v/>
      </c>
      <c r="X53" s="155" t="str">
        <f t="shared" si="70"/>
        <v/>
      </c>
      <c r="Y53" s="155" t="str">
        <f t="shared" si="70"/>
        <v/>
      </c>
      <c r="Z53" s="155" t="str">
        <f t="shared" si="70"/>
        <v/>
      </c>
      <c r="AA53" s="155" t="str">
        <f t="shared" si="70"/>
        <v/>
      </c>
      <c r="AB53" s="155">
        <f t="shared" si="70"/>
        <v>46783</v>
      </c>
      <c r="AC53" s="155" t="str">
        <f t="shared" si="70"/>
        <v/>
      </c>
      <c r="AD53" s="155" t="str">
        <f t="shared" si="70"/>
        <v/>
      </c>
      <c r="AE53" s="137">
        <f t="shared" si="59"/>
        <v>0</v>
      </c>
      <c r="AF53" s="137">
        <f t="shared" si="60"/>
        <v>0</v>
      </c>
      <c r="AG53" s="137">
        <f t="shared" si="61"/>
        <v>0</v>
      </c>
      <c r="AH53" s="137">
        <f t="shared" si="62"/>
        <v>0</v>
      </c>
      <c r="AI53" s="137">
        <f t="shared" si="63"/>
        <v>0</v>
      </c>
      <c r="AJ53" s="137">
        <f t="shared" si="64"/>
        <v>0</v>
      </c>
      <c r="AK53" s="137">
        <f t="shared" si="65"/>
        <v>0</v>
      </c>
      <c r="AL53" s="137">
        <f t="shared" si="66"/>
        <v>0.9178082191780822</v>
      </c>
      <c r="AM53" s="137">
        <f t="shared" si="67"/>
        <v>0</v>
      </c>
      <c r="AN53" s="137">
        <f t="shared" si="68"/>
        <v>0</v>
      </c>
      <c r="AO53" s="1201">
        <f t="shared" si="71"/>
        <v>0</v>
      </c>
      <c r="AP53" s="1201">
        <f t="shared" si="72"/>
        <v>0</v>
      </c>
      <c r="AQ53" s="1201">
        <f t="shared" si="73"/>
        <v>0</v>
      </c>
      <c r="AR53" s="1201">
        <f t="shared" si="74"/>
        <v>0</v>
      </c>
      <c r="AS53" s="1201">
        <f t="shared" si="75"/>
        <v>0</v>
      </c>
      <c r="AT53" s="1201">
        <f t="shared" si="76"/>
        <v>0</v>
      </c>
      <c r="AU53" s="1201">
        <f t="shared" si="77"/>
        <v>0</v>
      </c>
      <c r="AV53" s="1201">
        <f t="shared" si="78"/>
        <v>0</v>
      </c>
      <c r="AW53" s="1201">
        <f t="shared" si="79"/>
        <v>0</v>
      </c>
      <c r="AX53" s="1201">
        <f t="shared" si="80"/>
        <v>0</v>
      </c>
    </row>
    <row r="54" spans="1:50" ht="15" outlineLevel="1" x14ac:dyDescent="0.25">
      <c r="B54" s="686" t="str">
        <f>'[11]COSTOS DEL PLAN'!B43</f>
        <v>LINEA LT4 CHIRIQUI GRANDE - PANAMA3 ELEVADA A 500 KV</v>
      </c>
      <c r="C54" s="2"/>
      <c r="D54" s="2"/>
      <c r="E54" s="2"/>
      <c r="F54" s="2"/>
      <c r="G54" s="2"/>
      <c r="H54" s="1226">
        <v>0</v>
      </c>
      <c r="I54" s="1226">
        <v>0</v>
      </c>
      <c r="J54" s="1226">
        <v>0</v>
      </c>
      <c r="K54" s="1226">
        <v>0</v>
      </c>
      <c r="L54" s="1226">
        <v>0</v>
      </c>
      <c r="M54" s="1226">
        <v>0</v>
      </c>
      <c r="N54" s="1226">
        <f>IF(YEAR('[11]COSTOS DEL PLAN'!$P43)=N$7,'[11]COSTOS DEL PLAN'!$O43,)</f>
        <v>0</v>
      </c>
      <c r="O54" s="66">
        <f t="shared" si="69"/>
        <v>0</v>
      </c>
      <c r="P54" s="63"/>
      <c r="Q54" s="82">
        <f>'[11]COSTOS DEL PLAN'!P43</f>
        <v>47483</v>
      </c>
      <c r="R54" s="64"/>
      <c r="S54" s="82"/>
      <c r="T54" s="63"/>
      <c r="U54" s="155" t="str">
        <f t="shared" si="70"/>
        <v/>
      </c>
      <c r="V54" s="155" t="str">
        <f t="shared" si="70"/>
        <v/>
      </c>
      <c r="W54" s="155" t="str">
        <f t="shared" si="70"/>
        <v/>
      </c>
      <c r="X54" s="155" t="str">
        <f t="shared" si="70"/>
        <v/>
      </c>
      <c r="Y54" s="155" t="str">
        <f t="shared" si="70"/>
        <v/>
      </c>
      <c r="Z54" s="155" t="str">
        <f t="shared" si="70"/>
        <v/>
      </c>
      <c r="AA54" s="155" t="str">
        <f t="shared" si="70"/>
        <v/>
      </c>
      <c r="AB54" s="155" t="str">
        <f t="shared" si="70"/>
        <v/>
      </c>
      <c r="AC54" s="155">
        <f t="shared" si="70"/>
        <v>47483</v>
      </c>
      <c r="AD54" s="155" t="str">
        <f t="shared" si="70"/>
        <v/>
      </c>
      <c r="AE54" s="137">
        <f t="shared" si="59"/>
        <v>0</v>
      </c>
      <c r="AF54" s="137">
        <f t="shared" si="60"/>
        <v>0</v>
      </c>
      <c r="AG54" s="137">
        <f t="shared" si="61"/>
        <v>0</v>
      </c>
      <c r="AH54" s="137">
        <f t="shared" si="62"/>
        <v>0</v>
      </c>
      <c r="AI54" s="137">
        <f t="shared" si="63"/>
        <v>0</v>
      </c>
      <c r="AJ54" s="137">
        <f t="shared" si="64"/>
        <v>0</v>
      </c>
      <c r="AK54" s="137">
        <f t="shared" si="65"/>
        <v>0</v>
      </c>
      <c r="AL54" s="137">
        <f t="shared" si="66"/>
        <v>0</v>
      </c>
      <c r="AM54" s="137">
        <f t="shared" si="67"/>
        <v>0</v>
      </c>
      <c r="AN54" s="137">
        <f t="shared" si="68"/>
        <v>0</v>
      </c>
      <c r="AO54" s="1201">
        <f t="shared" si="71"/>
        <v>0</v>
      </c>
      <c r="AP54" s="1201">
        <f t="shared" si="72"/>
        <v>0</v>
      </c>
      <c r="AQ54" s="1201">
        <f t="shared" si="73"/>
        <v>0</v>
      </c>
      <c r="AR54" s="1201">
        <f t="shared" si="74"/>
        <v>0</v>
      </c>
      <c r="AS54" s="1201">
        <f t="shared" si="75"/>
        <v>0</v>
      </c>
      <c r="AT54" s="1201">
        <f t="shared" si="76"/>
        <v>0</v>
      </c>
      <c r="AU54" s="1201">
        <f t="shared" si="77"/>
        <v>0</v>
      </c>
      <c r="AV54" s="1201">
        <f t="shared" si="78"/>
        <v>0</v>
      </c>
      <c r="AW54" s="1201">
        <f t="shared" si="79"/>
        <v>0</v>
      </c>
      <c r="AX54" s="1201">
        <f t="shared" si="80"/>
        <v>0</v>
      </c>
    </row>
    <row r="55" spans="1:50" ht="15" outlineLevel="1" x14ac:dyDescent="0.25">
      <c r="B55" s="686" t="str">
        <f>'[11]COSTOS DEL PLAN'!B44</f>
        <v>STATCOM EN S/E SABANITAS  +/- 120 MVAR</v>
      </c>
      <c r="C55" s="2"/>
      <c r="D55" s="2"/>
      <c r="E55" s="2"/>
      <c r="F55" s="2"/>
      <c r="G55" s="2"/>
      <c r="H55" s="1226">
        <v>0</v>
      </c>
      <c r="I55" s="1226">
        <v>0</v>
      </c>
      <c r="J55" s="1226">
        <v>0</v>
      </c>
      <c r="K55" s="1226">
        <v>0</v>
      </c>
      <c r="L55" s="1226">
        <v>0</v>
      </c>
      <c r="M55" s="1226">
        <v>0</v>
      </c>
      <c r="N55" s="1226">
        <f>IF(YEAR('[11]COSTOS DEL PLAN'!$P44)=N$7,'[11]COSTOS DEL PLAN'!$O44,)</f>
        <v>0</v>
      </c>
      <c r="O55" s="66">
        <f t="shared" si="69"/>
        <v>0</v>
      </c>
      <c r="P55" s="63"/>
      <c r="Q55" s="82">
        <f>'[11]COSTOS DEL PLAN'!P44</f>
        <v>48731</v>
      </c>
      <c r="R55" s="64"/>
      <c r="S55" s="82"/>
      <c r="T55" s="63"/>
      <c r="U55" s="155" t="str">
        <f t="shared" si="70"/>
        <v/>
      </c>
      <c r="V55" s="155" t="str">
        <f t="shared" si="70"/>
        <v/>
      </c>
      <c r="W55" s="155" t="str">
        <f t="shared" si="70"/>
        <v/>
      </c>
      <c r="X55" s="155" t="str">
        <f t="shared" si="70"/>
        <v/>
      </c>
      <c r="Y55" s="155" t="str">
        <f t="shared" si="70"/>
        <v/>
      </c>
      <c r="Z55" s="155" t="str">
        <f t="shared" si="70"/>
        <v/>
      </c>
      <c r="AA55" s="155" t="str">
        <f t="shared" si="70"/>
        <v/>
      </c>
      <c r="AB55" s="155" t="str">
        <f t="shared" si="70"/>
        <v/>
      </c>
      <c r="AC55" s="155" t="str">
        <f t="shared" si="70"/>
        <v/>
      </c>
      <c r="AD55" s="155" t="str">
        <f t="shared" si="70"/>
        <v/>
      </c>
      <c r="AE55" s="137">
        <f t="shared" si="59"/>
        <v>0</v>
      </c>
      <c r="AF55" s="137">
        <f t="shared" si="60"/>
        <v>0</v>
      </c>
      <c r="AG55" s="137">
        <f t="shared" si="61"/>
        <v>0</v>
      </c>
      <c r="AH55" s="137">
        <f t="shared" si="62"/>
        <v>0</v>
      </c>
      <c r="AI55" s="137">
        <f t="shared" si="63"/>
        <v>0</v>
      </c>
      <c r="AJ55" s="137">
        <f t="shared" si="64"/>
        <v>0</v>
      </c>
      <c r="AK55" s="137">
        <f t="shared" si="65"/>
        <v>0</v>
      </c>
      <c r="AL55" s="137">
        <f t="shared" si="66"/>
        <v>0</v>
      </c>
      <c r="AM55" s="137">
        <f t="shared" si="67"/>
        <v>0</v>
      </c>
      <c r="AN55" s="137">
        <f t="shared" si="68"/>
        <v>0</v>
      </c>
      <c r="AO55" s="1201">
        <f t="shared" si="71"/>
        <v>0</v>
      </c>
      <c r="AP55" s="1201">
        <f t="shared" si="72"/>
        <v>0</v>
      </c>
      <c r="AQ55" s="1201">
        <f t="shared" si="73"/>
        <v>0</v>
      </c>
      <c r="AR55" s="1201">
        <f t="shared" si="74"/>
        <v>0</v>
      </c>
      <c r="AS55" s="1201">
        <f t="shared" si="75"/>
        <v>0</v>
      </c>
      <c r="AT55" s="1201">
        <f t="shared" si="76"/>
        <v>0</v>
      </c>
      <c r="AU55" s="1201">
        <f t="shared" si="77"/>
        <v>0</v>
      </c>
      <c r="AV55" s="1201">
        <f t="shared" si="78"/>
        <v>0</v>
      </c>
      <c r="AW55" s="1201">
        <f t="shared" si="79"/>
        <v>0</v>
      </c>
      <c r="AX55" s="1201">
        <f t="shared" si="80"/>
        <v>0</v>
      </c>
    </row>
    <row r="56" spans="1:50" ht="15" outlineLevel="1" x14ac:dyDescent="0.25">
      <c r="B56" s="686" t="str">
        <f>'[11]COSTOS DEL PLAN'!B45</f>
        <v>ADICION DE TRANSFORMADOR  T4 S/E CHORRERA 230/115/34.5 KV</v>
      </c>
      <c r="C56" s="2"/>
      <c r="D56" s="2"/>
      <c r="E56" s="2"/>
      <c r="F56" s="2"/>
      <c r="G56" s="2"/>
      <c r="H56" s="1226">
        <v>0</v>
      </c>
      <c r="I56" s="1226">
        <v>0</v>
      </c>
      <c r="J56" s="1226">
        <v>0</v>
      </c>
      <c r="K56" s="1226">
        <v>0</v>
      </c>
      <c r="L56" s="1226">
        <v>0</v>
      </c>
      <c r="M56" s="1226">
        <v>0</v>
      </c>
      <c r="N56" s="1226">
        <f>IF(YEAR('[11]COSTOS DEL PLAN'!$P45)=N$7,'[11]COSTOS DEL PLAN'!$O45,)</f>
        <v>0</v>
      </c>
      <c r="O56" s="66">
        <f t="shared" si="69"/>
        <v>0</v>
      </c>
      <c r="P56" s="63"/>
      <c r="Q56" s="82">
        <f>'[11]COSTOS DEL PLAN'!P45</f>
        <v>49125</v>
      </c>
      <c r="R56" s="64"/>
      <c r="S56" s="82"/>
      <c r="T56" s="63"/>
      <c r="U56" s="155" t="str">
        <f t="shared" si="70"/>
        <v/>
      </c>
      <c r="V56" s="155" t="str">
        <f t="shared" si="70"/>
        <v/>
      </c>
      <c r="W56" s="155" t="str">
        <f t="shared" si="70"/>
        <v/>
      </c>
      <c r="X56" s="155" t="str">
        <f t="shared" si="70"/>
        <v/>
      </c>
      <c r="Y56" s="155" t="str">
        <f t="shared" si="70"/>
        <v/>
      </c>
      <c r="Z56" s="155" t="str">
        <f t="shared" si="70"/>
        <v/>
      </c>
      <c r="AA56" s="155" t="str">
        <f t="shared" si="70"/>
        <v/>
      </c>
      <c r="AB56" s="155" t="str">
        <f t="shared" si="70"/>
        <v/>
      </c>
      <c r="AC56" s="155" t="str">
        <f t="shared" si="70"/>
        <v/>
      </c>
      <c r="AD56" s="155" t="str">
        <f t="shared" si="70"/>
        <v/>
      </c>
      <c r="AE56" s="137">
        <f t="shared" si="59"/>
        <v>0</v>
      </c>
      <c r="AF56" s="137">
        <f t="shared" si="60"/>
        <v>0</v>
      </c>
      <c r="AG56" s="137">
        <f t="shared" si="61"/>
        <v>0</v>
      </c>
      <c r="AH56" s="137">
        <f t="shared" si="62"/>
        <v>0</v>
      </c>
      <c r="AI56" s="137">
        <f t="shared" si="63"/>
        <v>0</v>
      </c>
      <c r="AJ56" s="137">
        <f t="shared" si="64"/>
        <v>0</v>
      </c>
      <c r="AK56" s="137">
        <f t="shared" si="65"/>
        <v>0</v>
      </c>
      <c r="AL56" s="137">
        <f t="shared" si="66"/>
        <v>0</v>
      </c>
      <c r="AM56" s="137">
        <f t="shared" si="67"/>
        <v>0</v>
      </c>
      <c r="AN56" s="137">
        <f t="shared" si="68"/>
        <v>0</v>
      </c>
      <c r="AO56" s="1201">
        <f t="shared" si="71"/>
        <v>0</v>
      </c>
      <c r="AP56" s="1201">
        <f t="shared" si="72"/>
        <v>0</v>
      </c>
      <c r="AQ56" s="1201">
        <f t="shared" si="73"/>
        <v>0</v>
      </c>
      <c r="AR56" s="1201">
        <f t="shared" si="74"/>
        <v>0</v>
      </c>
      <c r="AS56" s="1201">
        <f t="shared" si="75"/>
        <v>0</v>
      </c>
      <c r="AT56" s="1201">
        <f t="shared" si="76"/>
        <v>0</v>
      </c>
      <c r="AU56" s="1201">
        <f t="shared" si="77"/>
        <v>0</v>
      </c>
      <c r="AV56" s="1201">
        <f t="shared" si="78"/>
        <v>0</v>
      </c>
      <c r="AW56" s="1201">
        <f t="shared" si="79"/>
        <v>0</v>
      </c>
      <c r="AX56" s="1201">
        <f t="shared" si="80"/>
        <v>0</v>
      </c>
    </row>
    <row r="57" spans="1:50" ht="15" outlineLevel="1" x14ac:dyDescent="0.25">
      <c r="B57" s="686"/>
      <c r="C57" s="288"/>
      <c r="D57" s="288"/>
      <c r="E57" s="288"/>
      <c r="F57" s="288"/>
      <c r="G57" s="288"/>
      <c r="H57" s="288"/>
      <c r="I57"/>
      <c r="J57"/>
      <c r="K57" s="322"/>
      <c r="L57" s="322"/>
      <c r="M57" s="322"/>
      <c r="N57" s="322"/>
      <c r="O57" s="66">
        <f t="shared" si="69"/>
        <v>0</v>
      </c>
      <c r="P57" s="63"/>
      <c r="Q57" s="82"/>
      <c r="R57" s="65"/>
      <c r="S57" s="82"/>
      <c r="T57" s="63"/>
      <c r="U57" s="155" t="str">
        <f t="shared" si="70"/>
        <v/>
      </c>
      <c r="V57" s="155" t="str">
        <f t="shared" si="70"/>
        <v/>
      </c>
      <c r="W57" s="155" t="str">
        <f t="shared" si="70"/>
        <v/>
      </c>
      <c r="X57" s="155" t="str">
        <f t="shared" si="70"/>
        <v/>
      </c>
      <c r="Y57" s="155" t="str">
        <f t="shared" si="70"/>
        <v/>
      </c>
      <c r="Z57" s="155" t="str">
        <f t="shared" si="70"/>
        <v/>
      </c>
      <c r="AA57" s="155" t="str">
        <f t="shared" si="70"/>
        <v/>
      </c>
      <c r="AB57" s="155" t="str">
        <f t="shared" si="70"/>
        <v/>
      </c>
      <c r="AC57" s="155" t="str">
        <f t="shared" si="70"/>
        <v/>
      </c>
      <c r="AD57" s="155" t="str">
        <f t="shared" si="70"/>
        <v/>
      </c>
      <c r="AE57" s="137">
        <f t="shared" si="59"/>
        <v>0</v>
      </c>
      <c r="AF57" s="137">
        <f t="shared" si="60"/>
        <v>0</v>
      </c>
      <c r="AG57" s="137">
        <f t="shared" si="61"/>
        <v>0</v>
      </c>
      <c r="AH57" s="137">
        <f t="shared" si="62"/>
        <v>0</v>
      </c>
      <c r="AI57" s="137">
        <f t="shared" si="63"/>
        <v>0</v>
      </c>
      <c r="AJ57" s="137">
        <f t="shared" si="64"/>
        <v>0</v>
      </c>
      <c r="AK57" s="137">
        <f t="shared" si="65"/>
        <v>0</v>
      </c>
      <c r="AL57" s="137">
        <f t="shared" si="66"/>
        <v>0</v>
      </c>
      <c r="AM57" s="137">
        <f t="shared" si="67"/>
        <v>0</v>
      </c>
      <c r="AN57" s="137">
        <f t="shared" si="68"/>
        <v>0</v>
      </c>
    </row>
    <row r="58" spans="1:50" ht="15" outlineLevel="1" x14ac:dyDescent="0.25">
      <c r="B58" s="288"/>
      <c r="C58" s="288"/>
      <c r="D58" s="288"/>
      <c r="E58" s="288"/>
      <c r="F58" s="288"/>
      <c r="G58" s="288"/>
      <c r="H58" s="288"/>
      <c r="I58"/>
      <c r="J58"/>
      <c r="K58"/>
      <c r="L58"/>
      <c r="M58" s="324"/>
      <c r="N58" s="324"/>
      <c r="O58" s="66">
        <f t="shared" si="69"/>
        <v>0</v>
      </c>
      <c r="P58" s="63"/>
      <c r="Q58" s="82"/>
      <c r="R58" s="65"/>
      <c r="S58" s="82"/>
      <c r="T58" s="63"/>
      <c r="U58" s="158"/>
      <c r="V58" s="155"/>
      <c r="W58" s="155"/>
      <c r="X58" s="155"/>
      <c r="Y58" s="155"/>
      <c r="Z58" s="155"/>
      <c r="AA58" s="155"/>
      <c r="AB58" s="158"/>
      <c r="AC58" s="158"/>
      <c r="AD58" s="158"/>
      <c r="AE58" s="137">
        <f t="shared" si="59"/>
        <v>0</v>
      </c>
      <c r="AF58" s="137">
        <f t="shared" si="60"/>
        <v>0</v>
      </c>
      <c r="AG58" s="137">
        <f t="shared" si="61"/>
        <v>0</v>
      </c>
      <c r="AH58" s="137">
        <f t="shared" si="62"/>
        <v>0</v>
      </c>
      <c r="AI58" s="137">
        <f t="shared" si="63"/>
        <v>0</v>
      </c>
      <c r="AJ58" s="137">
        <f t="shared" si="64"/>
        <v>0</v>
      </c>
      <c r="AK58" s="137">
        <f t="shared" si="65"/>
        <v>0</v>
      </c>
      <c r="AL58" s="137">
        <f t="shared" si="66"/>
        <v>0</v>
      </c>
      <c r="AM58" s="137">
        <f t="shared" si="67"/>
        <v>0</v>
      </c>
      <c r="AN58" s="137">
        <f t="shared" si="68"/>
        <v>0</v>
      </c>
    </row>
    <row r="59" spans="1:50" ht="15" outlineLevel="2" x14ac:dyDescent="0.25">
      <c r="B59" s="288"/>
      <c r="C59" s="288"/>
      <c r="D59" s="288"/>
      <c r="E59" s="288"/>
      <c r="F59" s="288"/>
      <c r="G59" s="288"/>
      <c r="H59" s="288"/>
      <c r="I59"/>
      <c r="J59"/>
      <c r="K59"/>
      <c r="L59"/>
      <c r="M59" s="322"/>
      <c r="N59" s="322"/>
      <c r="O59" s="66">
        <f t="shared" si="69"/>
        <v>0</v>
      </c>
      <c r="P59" s="63"/>
      <c r="Q59" s="82"/>
      <c r="R59" s="65"/>
      <c r="S59" s="82"/>
      <c r="T59" s="63"/>
      <c r="U59" s="158"/>
      <c r="V59" s="155"/>
      <c r="W59" s="155"/>
      <c r="X59" s="155"/>
      <c r="Y59" s="155"/>
      <c r="Z59" s="155"/>
      <c r="AA59" s="155"/>
      <c r="AB59" s="158"/>
      <c r="AC59" s="158"/>
      <c r="AD59" s="158"/>
      <c r="AE59" s="137">
        <f t="shared" si="59"/>
        <v>0</v>
      </c>
      <c r="AF59" s="137">
        <f t="shared" si="60"/>
        <v>0</v>
      </c>
      <c r="AG59" s="137">
        <f t="shared" si="61"/>
        <v>0</v>
      </c>
      <c r="AH59" s="137">
        <f t="shared" si="62"/>
        <v>0</v>
      </c>
      <c r="AI59" s="137">
        <f t="shared" si="63"/>
        <v>0</v>
      </c>
      <c r="AJ59" s="137">
        <f t="shared" si="64"/>
        <v>0</v>
      </c>
      <c r="AK59" s="137">
        <f t="shared" si="65"/>
        <v>0</v>
      </c>
      <c r="AL59" s="137">
        <f t="shared" si="66"/>
        <v>0</v>
      </c>
      <c r="AM59" s="137">
        <f t="shared" si="67"/>
        <v>0</v>
      </c>
      <c r="AN59" s="137">
        <f t="shared" si="68"/>
        <v>0</v>
      </c>
    </row>
    <row r="60" spans="1:50" ht="15" outlineLevel="2" x14ac:dyDescent="0.25">
      <c r="B60" s="288"/>
      <c r="C60" s="288"/>
      <c r="D60" s="288"/>
      <c r="E60" s="288"/>
      <c r="F60" s="288"/>
      <c r="G60" s="325"/>
      <c r="H60" s="325"/>
      <c r="I60"/>
      <c r="J60"/>
      <c r="K60"/>
      <c r="L60"/>
      <c r="M60" s="325"/>
      <c r="N60" s="325"/>
      <c r="O60" s="66">
        <f t="shared" si="69"/>
        <v>0</v>
      </c>
      <c r="P60" s="63"/>
      <c r="Q60" s="82"/>
      <c r="R60" s="65"/>
      <c r="S60" s="82"/>
      <c r="T60" s="63"/>
      <c r="U60" s="158"/>
      <c r="V60" s="158"/>
      <c r="W60" s="154"/>
      <c r="X60" s="158"/>
      <c r="Y60" s="158"/>
      <c r="Z60" s="158"/>
      <c r="AA60" s="158"/>
      <c r="AB60" s="158"/>
      <c r="AC60" s="158"/>
      <c r="AD60" s="158"/>
      <c r="AE60" s="137">
        <f t="shared" si="59"/>
        <v>0</v>
      </c>
      <c r="AF60" s="137">
        <f t="shared" si="60"/>
        <v>0</v>
      </c>
      <c r="AG60" s="137">
        <f t="shared" si="61"/>
        <v>0</v>
      </c>
      <c r="AH60" s="137">
        <f t="shared" si="62"/>
        <v>0</v>
      </c>
      <c r="AI60" s="137">
        <f t="shared" si="63"/>
        <v>0</v>
      </c>
      <c r="AJ60" s="137">
        <f t="shared" si="64"/>
        <v>0</v>
      </c>
      <c r="AK60" s="137">
        <f t="shared" si="65"/>
        <v>0</v>
      </c>
      <c r="AL60" s="137">
        <f t="shared" si="66"/>
        <v>0</v>
      </c>
      <c r="AM60" s="137">
        <f t="shared" si="67"/>
        <v>0</v>
      </c>
      <c r="AN60" s="137">
        <f t="shared" si="68"/>
        <v>0</v>
      </c>
    </row>
    <row r="61" spans="1:50" ht="15" outlineLevel="2" x14ac:dyDescent="0.25">
      <c r="B61" s="288"/>
      <c r="C61" s="288"/>
      <c r="D61" s="288"/>
      <c r="E61" s="288"/>
      <c r="F61" s="288"/>
      <c r="G61" s="322"/>
      <c r="H61" s="322"/>
      <c r="I61" s="322"/>
      <c r="J61" s="322"/>
      <c r="K61"/>
      <c r="L61"/>
      <c r="M61"/>
      <c r="N61"/>
      <c r="O61" s="66">
        <f t="shared" si="69"/>
        <v>0</v>
      </c>
      <c r="P61" s="63"/>
      <c r="Q61" s="82"/>
      <c r="R61" s="65"/>
      <c r="S61" s="82"/>
      <c r="T61" s="63"/>
      <c r="U61" s="158"/>
      <c r="V61" s="158"/>
      <c r="W61" s="154"/>
      <c r="X61" s="158"/>
      <c r="Y61" s="155"/>
      <c r="Z61" s="155"/>
      <c r="AA61" s="155"/>
      <c r="AB61" s="155"/>
      <c r="AC61" s="155"/>
      <c r="AD61" s="155"/>
      <c r="AE61" s="137">
        <f t="shared" si="59"/>
        <v>0</v>
      </c>
      <c r="AF61" s="137">
        <f t="shared" si="60"/>
        <v>0</v>
      </c>
      <c r="AG61" s="137">
        <f t="shared" si="61"/>
        <v>0</v>
      </c>
      <c r="AH61" s="137">
        <f t="shared" si="62"/>
        <v>0</v>
      </c>
      <c r="AI61" s="137">
        <f t="shared" si="63"/>
        <v>0</v>
      </c>
      <c r="AJ61" s="137">
        <f t="shared" si="64"/>
        <v>0</v>
      </c>
      <c r="AK61" s="137">
        <f t="shared" si="65"/>
        <v>0</v>
      </c>
      <c r="AL61" s="137">
        <f t="shared" si="66"/>
        <v>0</v>
      </c>
      <c r="AM61" s="137">
        <f t="shared" si="67"/>
        <v>0</v>
      </c>
      <c r="AN61" s="137">
        <f t="shared" si="68"/>
        <v>0</v>
      </c>
    </row>
    <row r="62" spans="1:50" ht="15" outlineLevel="1" x14ac:dyDescent="0.25">
      <c r="B62" s="288"/>
      <c r="C62" s="288"/>
      <c r="D62" s="288"/>
      <c r="E62" s="288"/>
      <c r="F62" s="288"/>
      <c r="G62" s="288"/>
      <c r="H62" s="325"/>
      <c r="I62" s="325"/>
      <c r="J62" s="325"/>
      <c r="K62" s="325"/>
      <c r="L62" s="325"/>
      <c r="M62" s="325"/>
      <c r="N62" s="325"/>
      <c r="O62" s="66">
        <f t="shared" si="69"/>
        <v>0</v>
      </c>
      <c r="P62" s="63"/>
      <c r="Q62" s="82"/>
      <c r="R62" s="65"/>
      <c r="S62" s="82"/>
      <c r="T62" s="63"/>
      <c r="U62" s="158"/>
      <c r="V62" s="158"/>
      <c r="W62" s="154"/>
      <c r="X62" s="158"/>
      <c r="Y62" s="158"/>
      <c r="Z62" s="158"/>
      <c r="AA62" s="158"/>
      <c r="AB62" s="158"/>
      <c r="AC62" s="158"/>
      <c r="AD62" s="158"/>
      <c r="AE62" s="137">
        <f t="shared" si="59"/>
        <v>0</v>
      </c>
      <c r="AF62" s="137">
        <f t="shared" si="60"/>
        <v>0</v>
      </c>
      <c r="AG62" s="137">
        <f t="shared" si="61"/>
        <v>0</v>
      </c>
      <c r="AH62" s="137">
        <f t="shared" si="62"/>
        <v>0</v>
      </c>
      <c r="AI62" s="137">
        <f t="shared" si="63"/>
        <v>0</v>
      </c>
      <c r="AJ62" s="137">
        <f t="shared" si="64"/>
        <v>0</v>
      </c>
      <c r="AK62" s="137">
        <f t="shared" si="65"/>
        <v>0</v>
      </c>
      <c r="AL62" s="137">
        <f t="shared" si="66"/>
        <v>0</v>
      </c>
      <c r="AM62" s="137">
        <f t="shared" si="67"/>
        <v>0</v>
      </c>
      <c r="AN62" s="137">
        <f t="shared" si="68"/>
        <v>0</v>
      </c>
    </row>
    <row r="63" spans="1:50" ht="15" outlineLevel="1" x14ac:dyDescent="0.25">
      <c r="B63" s="81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3"/>
      <c r="Q63" s="82"/>
      <c r="R63" s="65"/>
      <c r="S63" s="82"/>
      <c r="T63" s="63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37">
        <f t="shared" si="59"/>
        <v>0</v>
      </c>
      <c r="AF63" s="137">
        <f t="shared" si="60"/>
        <v>0</v>
      </c>
      <c r="AG63" s="137">
        <f t="shared" si="61"/>
        <v>0</v>
      </c>
      <c r="AH63" s="137">
        <f t="shared" si="62"/>
        <v>0</v>
      </c>
      <c r="AI63" s="137">
        <f t="shared" si="63"/>
        <v>0</v>
      </c>
      <c r="AJ63" s="137">
        <f t="shared" si="64"/>
        <v>0</v>
      </c>
      <c r="AK63" s="137">
        <f t="shared" si="65"/>
        <v>0</v>
      </c>
      <c r="AL63" s="137">
        <f t="shared" si="66"/>
        <v>0</v>
      </c>
      <c r="AM63" s="137">
        <f t="shared" si="67"/>
        <v>0</v>
      </c>
      <c r="AN63" s="137">
        <f t="shared" si="68"/>
        <v>0</v>
      </c>
    </row>
    <row r="64" spans="1:50" s="493" customFormat="1" ht="15" x14ac:dyDescent="0.25">
      <c r="A64" s="494">
        <f>+A63+1</f>
        <v>1</v>
      </c>
      <c r="B64" s="490" t="s">
        <v>482</v>
      </c>
      <c r="C64" s="496"/>
      <c r="D64" s="496"/>
      <c r="E64" s="496"/>
      <c r="F64" s="496"/>
      <c r="G64" s="496"/>
      <c r="H64" s="496">
        <f t="shared" ref="H64:N64" si="81">SUM(H65:H80)</f>
        <v>0</v>
      </c>
      <c r="I64" s="496">
        <f t="shared" si="81"/>
        <v>0</v>
      </c>
      <c r="J64" s="496">
        <f t="shared" si="81"/>
        <v>0</v>
      </c>
      <c r="K64" s="496">
        <f t="shared" si="81"/>
        <v>0</v>
      </c>
      <c r="L64" s="496">
        <f t="shared" si="81"/>
        <v>0</v>
      </c>
      <c r="M64" s="496">
        <f t="shared" si="81"/>
        <v>0</v>
      </c>
      <c r="N64" s="496">
        <f t="shared" si="81"/>
        <v>0</v>
      </c>
      <c r="O64" s="497">
        <f t="shared" ref="O64:O136" si="82">SUM(D64:N64)</f>
        <v>0</v>
      </c>
      <c r="P64" s="498"/>
      <c r="Q64" s="499"/>
      <c r="S64" s="499"/>
      <c r="T64" s="498"/>
      <c r="AE64" s="137">
        <f t="shared" si="59"/>
        <v>0</v>
      </c>
      <c r="AF64" s="137">
        <f t="shared" si="60"/>
        <v>0</v>
      </c>
      <c r="AG64" s="137">
        <f t="shared" si="61"/>
        <v>0</v>
      </c>
      <c r="AH64" s="137">
        <f t="shared" si="62"/>
        <v>0</v>
      </c>
      <c r="AI64" s="137">
        <f t="shared" si="63"/>
        <v>0</v>
      </c>
      <c r="AJ64" s="137">
        <f t="shared" si="64"/>
        <v>0</v>
      </c>
      <c r="AK64" s="137">
        <f t="shared" si="65"/>
        <v>0</v>
      </c>
      <c r="AL64" s="137">
        <f t="shared" si="66"/>
        <v>0</v>
      </c>
      <c r="AM64" s="137">
        <f t="shared" si="67"/>
        <v>0</v>
      </c>
      <c r="AN64" s="137">
        <f t="shared" si="68"/>
        <v>0</v>
      </c>
    </row>
    <row r="65" spans="1:50" ht="15" outlineLevel="1" x14ac:dyDescent="0.25">
      <c r="A65" s="64">
        <v>1</v>
      </c>
      <c r="B65" s="959" t="str">
        <f>'[11]COSTOS DEL PLAN'!B47</f>
        <v>REPOSICION DE ENLACES MICROONDAS</v>
      </c>
      <c r="C65" s="2"/>
      <c r="D65" s="2"/>
      <c r="E65" s="2"/>
      <c r="F65" s="2"/>
      <c r="G65" s="1128"/>
      <c r="H65" s="1128">
        <v>0</v>
      </c>
      <c r="I65" s="1128">
        <v>0</v>
      </c>
      <c r="J65" s="1128">
        <v>0</v>
      </c>
      <c r="K65" s="1128">
        <f>'[11]COSTOS DEL PLAN'!G47</f>
        <v>0</v>
      </c>
      <c r="L65" s="1128">
        <f>'[11]COSTOS DEL PLAN'!H47</f>
        <v>0</v>
      </c>
      <c r="M65" s="1128">
        <f>'[11]COSTOS DEL PLAN'!I47</f>
        <v>0</v>
      </c>
      <c r="N65" s="1128">
        <f>'[11]COSTOS DEL PLAN'!J47</f>
        <v>0</v>
      </c>
      <c r="O65" s="66">
        <f t="shared" ref="O65:O79" si="83">SUM(C65:N65)</f>
        <v>0</v>
      </c>
      <c r="P65" s="63"/>
      <c r="Q65" s="82"/>
      <c r="R65" s="64" t="str">
        <f>'[11]COSTOS DEL PLAN'!P47</f>
        <v>2023-2024</v>
      </c>
      <c r="S65" s="82"/>
      <c r="T65" s="63"/>
      <c r="U65" s="155" t="str">
        <f t="shared" ref="U65:AD72" si="84">IF(U$6=YEAR($Q65),$Q65,"")</f>
        <v/>
      </c>
      <c r="V65" s="155" t="str">
        <f t="shared" si="84"/>
        <v/>
      </c>
      <c r="W65" s="651"/>
      <c r="X65" s="651">
        <v>45657</v>
      </c>
      <c r="Y65" s="155" t="str">
        <f t="shared" si="84"/>
        <v/>
      </c>
      <c r="Z65" s="155" t="str">
        <f t="shared" si="84"/>
        <v/>
      </c>
      <c r="AA65" s="155" t="str">
        <f t="shared" si="84"/>
        <v/>
      </c>
      <c r="AB65" s="155" t="str">
        <f t="shared" si="84"/>
        <v/>
      </c>
      <c r="AC65" s="155" t="str">
        <f t="shared" si="84"/>
        <v/>
      </c>
      <c r="AD65" s="155" t="str">
        <f t="shared" si="84"/>
        <v/>
      </c>
      <c r="AE65" s="137">
        <f>IF(U65="",,(DATE(AE$6,12,31)-U65)/365)</f>
        <v>0</v>
      </c>
      <c r="AF65" s="137">
        <f t="shared" si="60"/>
        <v>0</v>
      </c>
      <c r="AG65" s="137">
        <f t="shared" si="61"/>
        <v>0</v>
      </c>
      <c r="AH65" s="137">
        <f>IF(X65="",,(DATE(AH$6,12,31)-X65)/365)</f>
        <v>0</v>
      </c>
      <c r="AI65" s="137">
        <f>IF(Y65="",,(DATE(AI$6,12,31)-Y65)/365)</f>
        <v>0</v>
      </c>
      <c r="AJ65" s="137">
        <f t="shared" si="64"/>
        <v>0</v>
      </c>
      <c r="AK65" s="137">
        <f t="shared" si="65"/>
        <v>0</v>
      </c>
      <c r="AL65" s="137">
        <f t="shared" si="66"/>
        <v>0</v>
      </c>
      <c r="AM65" s="137">
        <f t="shared" si="67"/>
        <v>0</v>
      </c>
      <c r="AN65" s="137">
        <f t="shared" si="68"/>
        <v>0</v>
      </c>
      <c r="AO65" s="1201">
        <f t="shared" ref="AO65:AO72" si="85">AE65*E65</f>
        <v>0</v>
      </c>
      <c r="AP65" s="1201">
        <f t="shared" ref="AP65:AP72" si="86">AF65*F65</f>
        <v>0</v>
      </c>
      <c r="AQ65" s="1201">
        <f t="shared" ref="AQ65:AQ72" si="87">AG65*G65</f>
        <v>0</v>
      </c>
      <c r="AR65" s="1201">
        <f t="shared" ref="AR65:AR72" si="88">AH65*H65</f>
        <v>0</v>
      </c>
      <c r="AS65" s="1201">
        <f t="shared" ref="AS65:AS72" si="89">AI65*I65</f>
        <v>0</v>
      </c>
      <c r="AT65" s="1201">
        <f t="shared" ref="AT65:AT72" si="90">AJ65*J65</f>
        <v>0</v>
      </c>
      <c r="AU65" s="1201">
        <f t="shared" ref="AU65:AU72" si="91">AK65*K65</f>
        <v>0</v>
      </c>
      <c r="AV65" s="1201">
        <f t="shared" ref="AV65:AV72" si="92">AL65*L65</f>
        <v>0</v>
      </c>
      <c r="AW65" s="1201">
        <f t="shared" ref="AW65:AW72" si="93">AM65*M65</f>
        <v>0</v>
      </c>
      <c r="AX65" s="1201">
        <f t="shared" ref="AX65:AX72" si="94">AN65*N65</f>
        <v>0</v>
      </c>
    </row>
    <row r="66" spans="1:50" ht="15" outlineLevel="1" x14ac:dyDescent="0.25">
      <c r="B66" s="959" t="str">
        <f>'[11]COSTOS DEL PLAN'!B48</f>
        <v>REPOSICION DE TORRES DE COMUNICACIONES</v>
      </c>
      <c r="C66" s="2"/>
      <c r="D66" s="2"/>
      <c r="E66" s="2"/>
      <c r="F66" s="2"/>
      <c r="G66" s="1128"/>
      <c r="H66" s="1128">
        <v>0</v>
      </c>
      <c r="I66" s="1128">
        <v>0</v>
      </c>
      <c r="J66" s="1128">
        <v>0</v>
      </c>
      <c r="K66" s="1128">
        <f>'[11]COSTOS DEL PLAN'!G48</f>
        <v>0</v>
      </c>
      <c r="L66" s="1128">
        <f>'[11]COSTOS DEL PLAN'!H48</f>
        <v>0</v>
      </c>
      <c r="M66" s="1128">
        <f>'[11]COSTOS DEL PLAN'!I48</f>
        <v>0</v>
      </c>
      <c r="N66" s="1128">
        <f>'[11]COSTOS DEL PLAN'!J48</f>
        <v>0</v>
      </c>
      <c r="O66" s="66">
        <f t="shared" si="83"/>
        <v>0</v>
      </c>
      <c r="P66" s="63"/>
      <c r="Q66" s="82"/>
      <c r="R66" s="64" t="str">
        <f>'[11]COSTOS DEL PLAN'!P48</f>
        <v>2023-2025</v>
      </c>
      <c r="S66" s="82"/>
      <c r="T66" s="63"/>
      <c r="U66" s="155" t="str">
        <f t="shared" si="84"/>
        <v/>
      </c>
      <c r="V66" s="155" t="str">
        <f t="shared" si="84"/>
        <v/>
      </c>
      <c r="W66" s="651"/>
      <c r="X66" s="651">
        <v>45657</v>
      </c>
      <c r="Y66" s="651">
        <v>46022</v>
      </c>
      <c r="Z66" s="155" t="str">
        <f t="shared" si="84"/>
        <v/>
      </c>
      <c r="AA66" s="155" t="str">
        <f t="shared" si="84"/>
        <v/>
      </c>
      <c r="AB66" s="155" t="str">
        <f t="shared" si="84"/>
        <v/>
      </c>
      <c r="AC66" s="155" t="str">
        <f t="shared" si="84"/>
        <v/>
      </c>
      <c r="AD66" s="155" t="str">
        <f t="shared" si="84"/>
        <v/>
      </c>
      <c r="AE66" s="137">
        <f t="shared" si="59"/>
        <v>0</v>
      </c>
      <c r="AF66" s="137">
        <f t="shared" si="60"/>
        <v>0</v>
      </c>
      <c r="AG66" s="137">
        <f t="shared" si="61"/>
        <v>0</v>
      </c>
      <c r="AH66" s="137">
        <f t="shared" si="62"/>
        <v>0</v>
      </c>
      <c r="AI66" s="137">
        <f t="shared" si="63"/>
        <v>0</v>
      </c>
      <c r="AJ66" s="137">
        <f t="shared" si="64"/>
        <v>0</v>
      </c>
      <c r="AK66" s="137">
        <f t="shared" si="65"/>
        <v>0</v>
      </c>
      <c r="AL66" s="137">
        <f t="shared" si="66"/>
        <v>0</v>
      </c>
      <c r="AM66" s="137">
        <f t="shared" si="67"/>
        <v>0</v>
      </c>
      <c r="AN66" s="137">
        <f t="shared" si="68"/>
        <v>0</v>
      </c>
      <c r="AO66" s="1201">
        <f t="shared" si="85"/>
        <v>0</v>
      </c>
      <c r="AP66" s="1201">
        <f t="shared" si="86"/>
        <v>0</v>
      </c>
      <c r="AQ66" s="1201">
        <f t="shared" si="87"/>
        <v>0</v>
      </c>
      <c r="AR66" s="1201">
        <f t="shared" si="88"/>
        <v>0</v>
      </c>
      <c r="AS66" s="1201">
        <f t="shared" si="89"/>
        <v>0</v>
      </c>
      <c r="AT66" s="1201">
        <f t="shared" si="90"/>
        <v>0</v>
      </c>
      <c r="AU66" s="1201">
        <f t="shared" si="91"/>
        <v>0</v>
      </c>
      <c r="AV66" s="1201">
        <f t="shared" si="92"/>
        <v>0</v>
      </c>
      <c r="AW66" s="1201">
        <f t="shared" si="93"/>
        <v>0</v>
      </c>
      <c r="AX66" s="1201">
        <f t="shared" si="94"/>
        <v>0</v>
      </c>
    </row>
    <row r="67" spans="1:50" ht="15" outlineLevel="1" x14ac:dyDescent="0.25">
      <c r="B67" s="959" t="str">
        <f>'[11]COSTOS DEL PLAN'!B49</f>
        <v>REPOSICION DE RECTIFICADORES</v>
      </c>
      <c r="C67" s="2"/>
      <c r="D67" s="2"/>
      <c r="E67" s="2"/>
      <c r="F67" s="2"/>
      <c r="G67" s="1128"/>
      <c r="H67" s="1128">
        <v>0</v>
      </c>
      <c r="I67" s="1128">
        <v>0</v>
      </c>
      <c r="J67" s="1128">
        <v>0</v>
      </c>
      <c r="K67" s="1128">
        <f>'[11]COSTOS DEL PLAN'!G49</f>
        <v>0</v>
      </c>
      <c r="L67" s="1128">
        <f>'[11]COSTOS DEL PLAN'!H49</f>
        <v>0</v>
      </c>
      <c r="M67" s="1128">
        <f>'[11]COSTOS DEL PLAN'!I49</f>
        <v>0</v>
      </c>
      <c r="N67" s="1128">
        <f>'[11]COSTOS DEL PLAN'!J49</f>
        <v>0</v>
      </c>
      <c r="O67" s="66">
        <f t="shared" si="83"/>
        <v>0</v>
      </c>
      <c r="P67" s="63"/>
      <c r="Q67" s="82"/>
      <c r="R67" s="64" t="str">
        <f>'[11]COSTOS DEL PLAN'!P49</f>
        <v>2021-2024</v>
      </c>
      <c r="S67" s="82"/>
      <c r="T67" s="63"/>
      <c r="U67" s="155" t="str">
        <f t="shared" si="84"/>
        <v/>
      </c>
      <c r="V67" s="155" t="str">
        <f t="shared" si="84"/>
        <v/>
      </c>
      <c r="W67" s="155" t="str">
        <f t="shared" si="84"/>
        <v/>
      </c>
      <c r="X67" s="651">
        <v>45657</v>
      </c>
      <c r="Y67" s="651"/>
      <c r="Z67" s="155" t="str">
        <f t="shared" si="84"/>
        <v/>
      </c>
      <c r="AA67" s="155" t="str">
        <f t="shared" si="84"/>
        <v/>
      </c>
      <c r="AB67" s="155" t="str">
        <f t="shared" si="84"/>
        <v/>
      </c>
      <c r="AC67" s="155" t="str">
        <f t="shared" si="84"/>
        <v/>
      </c>
      <c r="AD67" s="155" t="str">
        <f t="shared" si="84"/>
        <v/>
      </c>
      <c r="AE67" s="137">
        <f t="shared" si="59"/>
        <v>0</v>
      </c>
      <c r="AF67" s="137">
        <f t="shared" si="60"/>
        <v>0</v>
      </c>
      <c r="AG67" s="137">
        <f t="shared" si="61"/>
        <v>0</v>
      </c>
      <c r="AH67" s="137">
        <f t="shared" si="62"/>
        <v>0</v>
      </c>
      <c r="AI67" s="137">
        <f t="shared" si="63"/>
        <v>0</v>
      </c>
      <c r="AJ67" s="137">
        <f t="shared" si="64"/>
        <v>0</v>
      </c>
      <c r="AK67" s="137">
        <f t="shared" si="65"/>
        <v>0</v>
      </c>
      <c r="AL67" s="137">
        <f t="shared" si="66"/>
        <v>0</v>
      </c>
      <c r="AM67" s="137">
        <f t="shared" si="67"/>
        <v>0</v>
      </c>
      <c r="AN67" s="137">
        <f t="shared" si="68"/>
        <v>0</v>
      </c>
      <c r="AO67" s="1201">
        <f t="shared" si="85"/>
        <v>0</v>
      </c>
      <c r="AP67" s="1201">
        <f t="shared" si="86"/>
        <v>0</v>
      </c>
      <c r="AQ67" s="1201">
        <f t="shared" si="87"/>
        <v>0</v>
      </c>
      <c r="AR67" s="1201">
        <f t="shared" si="88"/>
        <v>0</v>
      </c>
      <c r="AS67" s="1201">
        <f t="shared" si="89"/>
        <v>0</v>
      </c>
      <c r="AT67" s="1201">
        <f t="shared" si="90"/>
        <v>0</v>
      </c>
      <c r="AU67" s="1201">
        <f t="shared" si="91"/>
        <v>0</v>
      </c>
      <c r="AV67" s="1201">
        <f t="shared" si="92"/>
        <v>0</v>
      </c>
      <c r="AW67" s="1201">
        <f t="shared" si="93"/>
        <v>0</v>
      </c>
      <c r="AX67" s="1201">
        <f t="shared" si="94"/>
        <v>0</v>
      </c>
    </row>
    <row r="68" spans="1:50" ht="15" outlineLevel="1" x14ac:dyDescent="0.25">
      <c r="B68" s="959" t="str">
        <f>'[11]COSTOS DEL PLAN'!B50</f>
        <v>REPOSICION BANCOS DE BATERIAS DE COMUNICACIONES</v>
      </c>
      <c r="C68" s="2"/>
      <c r="D68" s="2"/>
      <c r="E68" s="2"/>
      <c r="F68" s="2"/>
      <c r="G68" s="1128"/>
      <c r="H68" s="1128">
        <v>0</v>
      </c>
      <c r="I68" s="1128">
        <v>0</v>
      </c>
      <c r="J68" s="1128">
        <v>0</v>
      </c>
      <c r="K68" s="1128">
        <f>'[11]COSTOS DEL PLAN'!G50</f>
        <v>0</v>
      </c>
      <c r="L68" s="1128">
        <f>'[11]COSTOS DEL PLAN'!H50</f>
        <v>0</v>
      </c>
      <c r="M68" s="1128">
        <f>'[11]COSTOS DEL PLAN'!I50</f>
        <v>0</v>
      </c>
      <c r="N68" s="1128">
        <f>'[11]COSTOS DEL PLAN'!J50</f>
        <v>0</v>
      </c>
      <c r="O68" s="66">
        <f t="shared" si="83"/>
        <v>0</v>
      </c>
      <c r="P68" s="63"/>
      <c r="Q68" s="82"/>
      <c r="R68" s="64" t="str">
        <f>'[11]COSTOS DEL PLAN'!P50</f>
        <v>2022-2025</v>
      </c>
      <c r="S68" s="82"/>
      <c r="T68" s="63"/>
      <c r="U68" s="155" t="str">
        <f t="shared" si="84"/>
        <v/>
      </c>
      <c r="V68" s="155" t="str">
        <f t="shared" si="84"/>
        <v/>
      </c>
      <c r="W68" s="155" t="str">
        <f t="shared" si="84"/>
        <v/>
      </c>
      <c r="X68" s="651">
        <v>45657</v>
      </c>
      <c r="Y68" s="651">
        <v>46022</v>
      </c>
      <c r="Z68" s="155" t="str">
        <f t="shared" si="84"/>
        <v/>
      </c>
      <c r="AA68" s="155" t="str">
        <f t="shared" si="84"/>
        <v/>
      </c>
      <c r="AB68" s="155" t="str">
        <f t="shared" si="84"/>
        <v/>
      </c>
      <c r="AC68" s="155" t="str">
        <f t="shared" si="84"/>
        <v/>
      </c>
      <c r="AD68" s="155" t="str">
        <f t="shared" si="84"/>
        <v/>
      </c>
      <c r="AE68" s="137">
        <f t="shared" si="59"/>
        <v>0</v>
      </c>
      <c r="AF68" s="137">
        <f t="shared" si="60"/>
        <v>0</v>
      </c>
      <c r="AG68" s="137">
        <f t="shared" si="61"/>
        <v>0</v>
      </c>
      <c r="AH68" s="137">
        <f t="shared" si="62"/>
        <v>0</v>
      </c>
      <c r="AI68" s="137">
        <f t="shared" si="63"/>
        <v>0</v>
      </c>
      <c r="AJ68" s="137">
        <f t="shared" si="64"/>
        <v>0</v>
      </c>
      <c r="AK68" s="137">
        <f t="shared" si="65"/>
        <v>0</v>
      </c>
      <c r="AL68" s="137">
        <f t="shared" si="66"/>
        <v>0</v>
      </c>
      <c r="AM68" s="137">
        <f t="shared" si="67"/>
        <v>0</v>
      </c>
      <c r="AN68" s="137">
        <f t="shared" si="68"/>
        <v>0</v>
      </c>
      <c r="AO68" s="1201">
        <f t="shared" si="85"/>
        <v>0</v>
      </c>
      <c r="AP68" s="1201">
        <f t="shared" si="86"/>
        <v>0</v>
      </c>
      <c r="AQ68" s="1201">
        <f t="shared" si="87"/>
        <v>0</v>
      </c>
      <c r="AR68" s="1201">
        <f t="shared" si="88"/>
        <v>0</v>
      </c>
      <c r="AS68" s="1201">
        <f t="shared" si="89"/>
        <v>0</v>
      </c>
      <c r="AT68" s="1201">
        <f t="shared" si="90"/>
        <v>0</v>
      </c>
      <c r="AU68" s="1201">
        <f t="shared" si="91"/>
        <v>0</v>
      </c>
      <c r="AV68" s="1201">
        <f t="shared" si="92"/>
        <v>0</v>
      </c>
      <c r="AW68" s="1201">
        <f t="shared" si="93"/>
        <v>0</v>
      </c>
      <c r="AX68" s="1201">
        <f t="shared" si="94"/>
        <v>0</v>
      </c>
    </row>
    <row r="69" spans="1:50" ht="15" outlineLevel="1" x14ac:dyDescent="0.25">
      <c r="B69" s="959" t="str">
        <f>'[11]COSTOS DEL PLAN'!B51</f>
        <v>REPOSICION SISTEMA DE RADIO COMUNICACION DIGITAL ASTRO-25</v>
      </c>
      <c r="C69" s="2"/>
      <c r="D69" s="2"/>
      <c r="E69" s="2"/>
      <c r="F69" s="2"/>
      <c r="G69" s="1128"/>
      <c r="H69" s="1128">
        <v>0</v>
      </c>
      <c r="I69" s="1128">
        <v>0</v>
      </c>
      <c r="J69" s="1128">
        <v>0</v>
      </c>
      <c r="K69" s="1128">
        <f>'[11]COSTOS DEL PLAN'!G51</f>
        <v>0</v>
      </c>
      <c r="L69" s="1128">
        <f>'[11]COSTOS DEL PLAN'!H51</f>
        <v>0</v>
      </c>
      <c r="M69" s="1128">
        <f>'[11]COSTOS DEL PLAN'!I51</f>
        <v>0</v>
      </c>
      <c r="N69" s="1128">
        <f>'[11]COSTOS DEL PLAN'!J51</f>
        <v>0</v>
      </c>
      <c r="O69" s="66">
        <f t="shared" si="83"/>
        <v>0</v>
      </c>
      <c r="P69" s="63"/>
      <c r="Q69" s="82"/>
      <c r="R69" s="64" t="str">
        <f>'[11]COSTOS DEL PLAN'!P51</f>
        <v>2023-2026</v>
      </c>
      <c r="S69" s="82"/>
      <c r="T69" s="63"/>
      <c r="U69" s="155" t="str">
        <f t="shared" si="84"/>
        <v/>
      </c>
      <c r="V69" s="155" t="str">
        <f t="shared" si="84"/>
        <v/>
      </c>
      <c r="W69" s="155" t="str">
        <f t="shared" si="84"/>
        <v/>
      </c>
      <c r="X69" s="651">
        <v>45657</v>
      </c>
      <c r="Y69" s="651">
        <v>46022</v>
      </c>
      <c r="Z69" s="651">
        <v>46387</v>
      </c>
      <c r="AA69" s="155" t="str">
        <f t="shared" si="84"/>
        <v/>
      </c>
      <c r="AB69" s="155" t="str">
        <f t="shared" si="84"/>
        <v/>
      </c>
      <c r="AC69" s="155" t="str">
        <f t="shared" si="84"/>
        <v/>
      </c>
      <c r="AD69" s="155" t="str">
        <f t="shared" si="84"/>
        <v/>
      </c>
      <c r="AE69" s="137">
        <f t="shared" si="59"/>
        <v>0</v>
      </c>
      <c r="AF69" s="137">
        <f t="shared" si="60"/>
        <v>0</v>
      </c>
      <c r="AG69" s="137">
        <f t="shared" si="61"/>
        <v>0</v>
      </c>
      <c r="AH69" s="137">
        <f t="shared" si="62"/>
        <v>0</v>
      </c>
      <c r="AI69" s="137">
        <f t="shared" si="63"/>
        <v>0</v>
      </c>
      <c r="AJ69" s="137">
        <f t="shared" si="64"/>
        <v>0</v>
      </c>
      <c r="AK69" s="137">
        <f t="shared" si="65"/>
        <v>0</v>
      </c>
      <c r="AL69" s="137">
        <f t="shared" si="66"/>
        <v>0</v>
      </c>
      <c r="AM69" s="137">
        <f t="shared" si="67"/>
        <v>0</v>
      </c>
      <c r="AN69" s="137">
        <f t="shared" si="68"/>
        <v>0</v>
      </c>
      <c r="AO69" s="1201">
        <f t="shared" si="85"/>
        <v>0</v>
      </c>
      <c r="AP69" s="1201">
        <f t="shared" si="86"/>
        <v>0</v>
      </c>
      <c r="AQ69" s="1201">
        <f t="shared" si="87"/>
        <v>0</v>
      </c>
      <c r="AR69" s="1201">
        <f t="shared" si="88"/>
        <v>0</v>
      </c>
      <c r="AS69" s="1201">
        <f t="shared" si="89"/>
        <v>0</v>
      </c>
      <c r="AT69" s="1201">
        <f t="shared" si="90"/>
        <v>0</v>
      </c>
      <c r="AU69" s="1201">
        <f t="shared" si="91"/>
        <v>0</v>
      </c>
      <c r="AV69" s="1201">
        <f t="shared" si="92"/>
        <v>0</v>
      </c>
      <c r="AW69" s="1201">
        <f t="shared" si="93"/>
        <v>0</v>
      </c>
      <c r="AX69" s="1201">
        <f t="shared" si="94"/>
        <v>0</v>
      </c>
    </row>
    <row r="70" spans="1:50" ht="15" outlineLevel="1" x14ac:dyDescent="0.25">
      <c r="B70" s="959" t="str">
        <f>'[11]COSTOS DEL PLAN'!B52</f>
        <v>REPOSICION EQUIPOS DE PRUEBA Y NED. RED DE TELECOMUNICACIONES</v>
      </c>
      <c r="C70" s="2"/>
      <c r="D70" s="2"/>
      <c r="E70" s="2"/>
      <c r="F70" s="2"/>
      <c r="G70" s="1128"/>
      <c r="H70" s="1128">
        <v>0</v>
      </c>
      <c r="I70" s="1128">
        <v>0</v>
      </c>
      <c r="J70" s="1128">
        <v>0</v>
      </c>
      <c r="K70" s="1128">
        <f>'[11]COSTOS DEL PLAN'!G52</f>
        <v>0</v>
      </c>
      <c r="L70" s="1128">
        <f>'[11]COSTOS DEL PLAN'!H52</f>
        <v>0</v>
      </c>
      <c r="M70" s="1128">
        <f>'[11]COSTOS DEL PLAN'!I52</f>
        <v>0</v>
      </c>
      <c r="N70" s="1128">
        <f>'[11]COSTOS DEL PLAN'!J52</f>
        <v>0</v>
      </c>
      <c r="O70" s="66">
        <f t="shared" si="83"/>
        <v>0</v>
      </c>
      <c r="P70" s="63"/>
      <c r="Q70" s="82"/>
      <c r="R70" s="64" t="str">
        <f>'[11]COSTOS DEL PLAN'!P52</f>
        <v>2023-2025</v>
      </c>
      <c r="S70" s="82"/>
      <c r="T70" s="63"/>
      <c r="U70" s="155" t="str">
        <f t="shared" si="84"/>
        <v/>
      </c>
      <c r="V70" s="155" t="str">
        <f t="shared" si="84"/>
        <v/>
      </c>
      <c r="W70" s="155" t="str">
        <f t="shared" si="84"/>
        <v/>
      </c>
      <c r="X70" s="651">
        <v>45657</v>
      </c>
      <c r="Y70" s="651">
        <v>46022</v>
      </c>
      <c r="Z70" s="155" t="str">
        <f t="shared" si="84"/>
        <v/>
      </c>
      <c r="AA70" s="155" t="str">
        <f t="shared" si="84"/>
        <v/>
      </c>
      <c r="AB70" s="155" t="str">
        <f t="shared" si="84"/>
        <v/>
      </c>
      <c r="AC70" s="155" t="str">
        <f t="shared" si="84"/>
        <v/>
      </c>
      <c r="AD70" s="155" t="str">
        <f t="shared" si="84"/>
        <v/>
      </c>
      <c r="AE70" s="137">
        <f t="shared" si="59"/>
        <v>0</v>
      </c>
      <c r="AF70" s="137">
        <f t="shared" si="60"/>
        <v>0</v>
      </c>
      <c r="AG70" s="137">
        <f t="shared" si="61"/>
        <v>0</v>
      </c>
      <c r="AH70" s="137">
        <f t="shared" si="62"/>
        <v>0</v>
      </c>
      <c r="AI70" s="137">
        <f t="shared" si="63"/>
        <v>0</v>
      </c>
      <c r="AJ70" s="137">
        <f t="shared" si="64"/>
        <v>0</v>
      </c>
      <c r="AK70" s="137">
        <f t="shared" si="65"/>
        <v>0</v>
      </c>
      <c r="AL70" s="137">
        <f t="shared" si="66"/>
        <v>0</v>
      </c>
      <c r="AM70" s="137">
        <f t="shared" si="67"/>
        <v>0</v>
      </c>
      <c r="AN70" s="137">
        <f t="shared" si="68"/>
        <v>0</v>
      </c>
      <c r="AO70" s="1201">
        <f t="shared" si="85"/>
        <v>0</v>
      </c>
      <c r="AP70" s="1201">
        <f t="shared" si="86"/>
        <v>0</v>
      </c>
      <c r="AQ70" s="1201">
        <f t="shared" si="87"/>
        <v>0</v>
      </c>
      <c r="AR70" s="1201">
        <f t="shared" si="88"/>
        <v>0</v>
      </c>
      <c r="AS70" s="1201">
        <f t="shared" si="89"/>
        <v>0</v>
      </c>
      <c r="AT70" s="1201">
        <f t="shared" si="90"/>
        <v>0</v>
      </c>
      <c r="AU70" s="1201">
        <f t="shared" si="91"/>
        <v>0</v>
      </c>
      <c r="AV70" s="1201">
        <f t="shared" si="92"/>
        <v>0</v>
      </c>
      <c r="AW70" s="1201">
        <f t="shared" si="93"/>
        <v>0</v>
      </c>
      <c r="AX70" s="1201">
        <f t="shared" si="94"/>
        <v>0</v>
      </c>
    </row>
    <row r="71" spans="1:50" ht="15" outlineLevel="1" x14ac:dyDescent="0.25">
      <c r="B71" s="729" t="str">
        <f>'[11]COSTOS DEL PLAN'!B53</f>
        <v>ADQUISICIÓN DE NUEVOS SITIOS TRONCALES PARA MEJORAR COBERTURA EN LÍNEA 230-20/30</v>
      </c>
      <c r="C71" s="2"/>
      <c r="D71" s="2"/>
      <c r="E71" s="2"/>
      <c r="F71" s="2"/>
      <c r="G71" s="2"/>
      <c r="H71" s="1226">
        <v>0</v>
      </c>
      <c r="I71" s="1226">
        <v>0</v>
      </c>
      <c r="J71" s="1226">
        <v>0</v>
      </c>
      <c r="K71" s="1226">
        <f>IF(YEAR('[11]COSTOS DEL PLAN'!$P53)=K$7,'[11]COSTOS DEL PLAN'!$O53,)</f>
        <v>0</v>
      </c>
      <c r="L71" s="1226">
        <f>IF(YEAR('[11]COSTOS DEL PLAN'!$P53)=L$7,'[11]COSTOS DEL PLAN'!$O53,)</f>
        <v>0</v>
      </c>
      <c r="M71" s="1226">
        <f>IF(YEAR('[11]COSTOS DEL PLAN'!$P53)=M$7,'[11]COSTOS DEL PLAN'!$O53,)</f>
        <v>0</v>
      </c>
      <c r="N71" s="1226">
        <f>IF(YEAR('[11]COSTOS DEL PLAN'!$P53)=N$7,'[11]COSTOS DEL PLAN'!$O53,)</f>
        <v>0</v>
      </c>
      <c r="O71" s="66">
        <f t="shared" si="83"/>
        <v>0</v>
      </c>
      <c r="P71" s="63"/>
      <c r="Q71" s="82">
        <f>'[11]COSTOS DEL PLAN'!P53</f>
        <v>45657</v>
      </c>
      <c r="S71" s="82"/>
      <c r="T71" s="63"/>
      <c r="U71" s="155" t="str">
        <f t="shared" si="84"/>
        <v/>
      </c>
      <c r="V71" s="155" t="str">
        <f t="shared" si="84"/>
        <v/>
      </c>
      <c r="W71" s="155" t="str">
        <f t="shared" si="84"/>
        <v/>
      </c>
      <c r="X71" s="155">
        <f t="shared" si="84"/>
        <v>45657</v>
      </c>
      <c r="Y71" s="155" t="str">
        <f t="shared" si="84"/>
        <v/>
      </c>
      <c r="Z71" s="155" t="str">
        <f t="shared" si="84"/>
        <v/>
      </c>
      <c r="AA71" s="155" t="str">
        <f t="shared" si="84"/>
        <v/>
      </c>
      <c r="AB71" s="155" t="str">
        <f t="shared" si="84"/>
        <v/>
      </c>
      <c r="AC71" s="155" t="str">
        <f t="shared" si="84"/>
        <v/>
      </c>
      <c r="AD71" s="155" t="str">
        <f t="shared" si="84"/>
        <v/>
      </c>
      <c r="AE71" s="137">
        <f t="shared" si="59"/>
        <v>0</v>
      </c>
      <c r="AF71" s="137">
        <f t="shared" si="60"/>
        <v>0</v>
      </c>
      <c r="AG71" s="137">
        <f t="shared" si="61"/>
        <v>0</v>
      </c>
      <c r="AH71" s="137">
        <f t="shared" si="62"/>
        <v>0</v>
      </c>
      <c r="AI71" s="137">
        <f t="shared" si="63"/>
        <v>0</v>
      </c>
      <c r="AJ71" s="137">
        <f t="shared" si="64"/>
        <v>0</v>
      </c>
      <c r="AK71" s="137">
        <f t="shared" si="65"/>
        <v>0</v>
      </c>
      <c r="AL71" s="137">
        <f t="shared" si="66"/>
        <v>0</v>
      </c>
      <c r="AM71" s="137">
        <f t="shared" si="67"/>
        <v>0</v>
      </c>
      <c r="AN71" s="137">
        <f t="shared" si="68"/>
        <v>0</v>
      </c>
      <c r="AO71" s="1201">
        <f t="shared" si="85"/>
        <v>0</v>
      </c>
      <c r="AP71" s="1201">
        <f t="shared" si="86"/>
        <v>0</v>
      </c>
      <c r="AQ71" s="1201">
        <f t="shared" si="87"/>
        <v>0</v>
      </c>
      <c r="AR71" s="1201">
        <f t="shared" si="88"/>
        <v>0</v>
      </c>
      <c r="AS71" s="1201">
        <f t="shared" si="89"/>
        <v>0</v>
      </c>
      <c r="AT71" s="1201">
        <f t="shared" si="90"/>
        <v>0</v>
      </c>
      <c r="AU71" s="1201">
        <f t="shared" si="91"/>
        <v>0</v>
      </c>
      <c r="AV71" s="1201">
        <f t="shared" si="92"/>
        <v>0</v>
      </c>
      <c r="AW71" s="1201">
        <f t="shared" si="93"/>
        <v>0</v>
      </c>
      <c r="AX71" s="1201">
        <f t="shared" si="94"/>
        <v>0</v>
      </c>
    </row>
    <row r="72" spans="1:50" ht="15" outlineLevel="1" x14ac:dyDescent="0.25">
      <c r="B72" s="729" t="str">
        <f>'[11]COSTOS DEL PLAN'!B54</f>
        <v>ENLACE ÓPTICO SE MATA DEL NANCE-VALBUENA</v>
      </c>
      <c r="C72" s="2"/>
      <c r="D72" s="2"/>
      <c r="E72" s="2"/>
      <c r="F72" s="2"/>
      <c r="G72" s="2"/>
      <c r="H72" s="1226">
        <v>0</v>
      </c>
      <c r="I72" s="1226">
        <v>0</v>
      </c>
      <c r="J72" s="1226">
        <v>0</v>
      </c>
      <c r="K72" s="1226">
        <f>IF(YEAR('[11]COSTOS DEL PLAN'!$P54)=K$7,'[11]COSTOS DEL PLAN'!$O54,)</f>
        <v>0</v>
      </c>
      <c r="L72" s="1226">
        <f>IF(YEAR('[11]COSTOS DEL PLAN'!$P54)=L$7,'[11]COSTOS DEL PLAN'!$O54,)</f>
        <v>0</v>
      </c>
      <c r="M72" s="1226">
        <f>IF(YEAR('[11]COSTOS DEL PLAN'!$P54)=M$7,'[11]COSTOS DEL PLAN'!$O54,)</f>
        <v>0</v>
      </c>
      <c r="N72" s="1226">
        <f>IF(YEAR('[11]COSTOS DEL PLAN'!$P54)=N$7,'[11]COSTOS DEL PLAN'!$O54,)</f>
        <v>0</v>
      </c>
      <c r="O72" s="66">
        <f t="shared" si="83"/>
        <v>0</v>
      </c>
      <c r="P72" s="63"/>
      <c r="Q72" s="82">
        <f>'[11]COSTOS DEL PLAN'!P54</f>
        <v>45657</v>
      </c>
      <c r="S72" s="82"/>
      <c r="T72" s="63"/>
      <c r="U72" s="155" t="str">
        <f t="shared" si="84"/>
        <v/>
      </c>
      <c r="V72" s="155" t="str">
        <f t="shared" si="84"/>
        <v/>
      </c>
      <c r="W72" s="155" t="str">
        <f t="shared" si="84"/>
        <v/>
      </c>
      <c r="X72" s="155">
        <f t="shared" si="84"/>
        <v>45657</v>
      </c>
      <c r="Y72" s="155" t="str">
        <f t="shared" si="84"/>
        <v/>
      </c>
      <c r="Z72" s="155" t="str">
        <f t="shared" si="84"/>
        <v/>
      </c>
      <c r="AA72" s="155" t="str">
        <f t="shared" si="84"/>
        <v/>
      </c>
      <c r="AB72" s="155" t="str">
        <f t="shared" si="84"/>
        <v/>
      </c>
      <c r="AC72" s="155" t="str">
        <f t="shared" si="84"/>
        <v/>
      </c>
      <c r="AD72" s="155" t="str">
        <f t="shared" si="84"/>
        <v/>
      </c>
      <c r="AE72" s="137">
        <f t="shared" si="59"/>
        <v>0</v>
      </c>
      <c r="AF72" s="137">
        <f t="shared" si="60"/>
        <v>0</v>
      </c>
      <c r="AG72" s="137">
        <f t="shared" si="61"/>
        <v>0</v>
      </c>
      <c r="AH72" s="137">
        <f>IF(X72="",,(DATE(AH$6,12,31)-X72)/365)</f>
        <v>0</v>
      </c>
      <c r="AI72" s="137">
        <f t="shared" si="63"/>
        <v>0</v>
      </c>
      <c r="AJ72" s="137">
        <f t="shared" si="64"/>
        <v>0</v>
      </c>
      <c r="AK72" s="137">
        <f t="shared" si="65"/>
        <v>0</v>
      </c>
      <c r="AL72" s="137">
        <f t="shared" si="66"/>
        <v>0</v>
      </c>
      <c r="AM72" s="137">
        <f t="shared" si="67"/>
        <v>0</v>
      </c>
      <c r="AN72" s="137">
        <f t="shared" si="68"/>
        <v>0</v>
      </c>
      <c r="AO72" s="1201">
        <f t="shared" si="85"/>
        <v>0</v>
      </c>
      <c r="AP72" s="1201">
        <f t="shared" si="86"/>
        <v>0</v>
      </c>
      <c r="AQ72" s="1201">
        <f t="shared" si="87"/>
        <v>0</v>
      </c>
      <c r="AR72" s="1201">
        <f t="shared" si="88"/>
        <v>0</v>
      </c>
      <c r="AS72" s="1201">
        <f t="shared" si="89"/>
        <v>0</v>
      </c>
      <c r="AT72" s="1201">
        <f t="shared" si="90"/>
        <v>0</v>
      </c>
      <c r="AU72" s="1201">
        <f t="shared" si="91"/>
        <v>0</v>
      </c>
      <c r="AV72" s="1201">
        <f t="shared" si="92"/>
        <v>0</v>
      </c>
      <c r="AW72" s="1201">
        <f t="shared" si="93"/>
        <v>0</v>
      </c>
      <c r="AX72" s="1201">
        <f t="shared" si="94"/>
        <v>0</v>
      </c>
    </row>
    <row r="73" spans="1:50" ht="15" outlineLevel="1" x14ac:dyDescent="0.25">
      <c r="B73" s="729"/>
      <c r="C73" s="156"/>
      <c r="D73" s="157"/>
      <c r="E73" s="326"/>
      <c r="F73" s="326"/>
      <c r="G73" s="326"/>
      <c r="H73" s="326"/>
      <c r="I73" s="326"/>
      <c r="J73" s="326"/>
      <c r="K73" s="326"/>
      <c r="L73" s="326"/>
      <c r="M73" s="157"/>
      <c r="N73" s="157"/>
      <c r="O73" s="66">
        <f t="shared" si="83"/>
        <v>0</v>
      </c>
      <c r="P73" s="63"/>
      <c r="Q73" s="82"/>
      <c r="R73" s="64"/>
      <c r="S73" s="82"/>
      <c r="T73" s="63"/>
      <c r="U73" s="158"/>
      <c r="V73" s="155"/>
      <c r="W73" s="155"/>
      <c r="X73" s="155"/>
      <c r="Y73" s="82"/>
      <c r="Z73" s="158"/>
      <c r="AA73" s="158"/>
      <c r="AB73" s="158"/>
      <c r="AC73" s="158"/>
      <c r="AD73" s="158"/>
      <c r="AE73" s="137">
        <f t="shared" si="59"/>
        <v>0</v>
      </c>
      <c r="AF73" s="137">
        <f t="shared" si="60"/>
        <v>0</v>
      </c>
      <c r="AG73" s="137">
        <f t="shared" si="61"/>
        <v>0</v>
      </c>
      <c r="AH73" s="137">
        <f t="shared" si="62"/>
        <v>0</v>
      </c>
      <c r="AI73" s="137">
        <f t="shared" si="63"/>
        <v>0</v>
      </c>
      <c r="AJ73" s="137">
        <f t="shared" si="64"/>
        <v>0</v>
      </c>
      <c r="AK73" s="137">
        <f t="shared" si="65"/>
        <v>0</v>
      </c>
      <c r="AL73" s="137">
        <f t="shared" si="66"/>
        <v>0</v>
      </c>
      <c r="AM73" s="137">
        <f t="shared" si="67"/>
        <v>0</v>
      </c>
      <c r="AN73" s="137">
        <f t="shared" si="68"/>
        <v>0</v>
      </c>
    </row>
    <row r="74" spans="1:50" ht="15" outlineLevel="1" x14ac:dyDescent="0.25">
      <c r="B74" s="729"/>
      <c r="C74" s="156"/>
      <c r="D74" s="157"/>
      <c r="E74" s="326"/>
      <c r="F74" s="326"/>
      <c r="G74" s="326"/>
      <c r="H74" s="326"/>
      <c r="I74" s="326"/>
      <c r="J74" s="326"/>
      <c r="K74" s="326"/>
      <c r="L74" s="326"/>
      <c r="M74" s="157"/>
      <c r="N74" s="157"/>
      <c r="O74" s="66">
        <f t="shared" si="83"/>
        <v>0</v>
      </c>
      <c r="P74" s="63"/>
      <c r="Q74" s="82"/>
      <c r="R74" s="64"/>
      <c r="S74" s="82"/>
      <c r="T74" s="63"/>
      <c r="U74" s="158"/>
      <c r="V74" s="155"/>
      <c r="W74" s="155"/>
      <c r="X74" s="158"/>
      <c r="Y74" s="158"/>
      <c r="Z74" s="158"/>
      <c r="AA74" s="82"/>
      <c r="AB74" s="158"/>
      <c r="AC74" s="158"/>
      <c r="AD74" s="158"/>
      <c r="AE74" s="137">
        <f t="shared" si="59"/>
        <v>0</v>
      </c>
      <c r="AF74" s="137">
        <f t="shared" si="60"/>
        <v>0</v>
      </c>
      <c r="AG74" s="137">
        <f t="shared" si="61"/>
        <v>0</v>
      </c>
      <c r="AH74" s="137">
        <f t="shared" si="62"/>
        <v>0</v>
      </c>
      <c r="AI74" s="137">
        <f t="shared" si="63"/>
        <v>0</v>
      </c>
      <c r="AJ74" s="137">
        <f t="shared" si="64"/>
        <v>0</v>
      </c>
      <c r="AK74" s="137">
        <f t="shared" si="65"/>
        <v>0</v>
      </c>
      <c r="AL74" s="137">
        <f t="shared" si="66"/>
        <v>0</v>
      </c>
      <c r="AM74" s="137">
        <f t="shared" si="67"/>
        <v>0</v>
      </c>
      <c r="AN74" s="137">
        <f t="shared" si="68"/>
        <v>0</v>
      </c>
    </row>
    <row r="75" spans="1:50" ht="15" outlineLevel="1" x14ac:dyDescent="0.25">
      <c r="B75" s="729"/>
      <c r="C75" s="156"/>
      <c r="D75" s="157"/>
      <c r="E75" s="326"/>
      <c r="F75" s="326"/>
      <c r="G75" s="326"/>
      <c r="H75" s="326"/>
      <c r="I75" s="326"/>
      <c r="J75" s="326"/>
      <c r="K75" s="326"/>
      <c r="L75" s="326"/>
      <c r="M75" s="157"/>
      <c r="N75" s="157"/>
      <c r="O75" s="66">
        <f t="shared" si="83"/>
        <v>0</v>
      </c>
      <c r="P75" s="63"/>
      <c r="Q75" s="82"/>
      <c r="R75" s="64"/>
      <c r="S75" s="82"/>
      <c r="T75" s="63"/>
      <c r="U75" s="158"/>
      <c r="V75" s="155"/>
      <c r="W75" s="155"/>
      <c r="X75" s="158"/>
      <c r="Y75" s="158"/>
      <c r="Z75" s="158"/>
      <c r="AA75" s="158"/>
      <c r="AB75" s="158"/>
      <c r="AC75" s="158"/>
      <c r="AD75" s="158"/>
      <c r="AE75" s="137">
        <f t="shared" si="59"/>
        <v>0</v>
      </c>
      <c r="AF75" s="137">
        <f t="shared" si="60"/>
        <v>0</v>
      </c>
      <c r="AG75" s="137">
        <f t="shared" si="61"/>
        <v>0</v>
      </c>
      <c r="AH75" s="137">
        <f t="shared" si="62"/>
        <v>0</v>
      </c>
      <c r="AI75" s="137">
        <f t="shared" si="63"/>
        <v>0</v>
      </c>
      <c r="AJ75" s="137">
        <f t="shared" si="64"/>
        <v>0</v>
      </c>
      <c r="AK75" s="137">
        <f t="shared" si="65"/>
        <v>0</v>
      </c>
      <c r="AL75" s="137">
        <f t="shared" si="66"/>
        <v>0</v>
      </c>
      <c r="AM75" s="137">
        <f t="shared" si="67"/>
        <v>0</v>
      </c>
      <c r="AN75" s="137">
        <f t="shared" si="68"/>
        <v>0</v>
      </c>
    </row>
    <row r="76" spans="1:50" ht="15" outlineLevel="1" x14ac:dyDescent="0.25">
      <c r="B76" s="729"/>
      <c r="C76" s="156"/>
      <c r="D76" s="157"/>
      <c r="E76" s="326"/>
      <c r="F76" s="326"/>
      <c r="G76" s="326"/>
      <c r="H76" s="326"/>
      <c r="I76" s="326"/>
      <c r="J76" s="326"/>
      <c r="K76" s="326"/>
      <c r="L76" s="326"/>
      <c r="M76" s="157"/>
      <c r="N76" s="157"/>
      <c r="O76" s="66">
        <f t="shared" si="83"/>
        <v>0</v>
      </c>
      <c r="P76" s="63"/>
      <c r="Q76" s="82"/>
      <c r="R76" s="64"/>
      <c r="S76" s="82"/>
      <c r="T76" s="63"/>
      <c r="U76" s="158"/>
      <c r="V76" s="155"/>
      <c r="W76" s="155"/>
      <c r="X76" s="158"/>
      <c r="Y76" s="158"/>
      <c r="Z76" s="82"/>
      <c r="AA76" s="158"/>
      <c r="AB76" s="158"/>
      <c r="AC76" s="158"/>
      <c r="AD76" s="158"/>
      <c r="AE76" s="137">
        <f t="shared" si="59"/>
        <v>0</v>
      </c>
      <c r="AF76" s="137">
        <f t="shared" si="60"/>
        <v>0</v>
      </c>
      <c r="AG76" s="137">
        <f t="shared" si="61"/>
        <v>0</v>
      </c>
      <c r="AH76" s="137">
        <f t="shared" si="62"/>
        <v>0</v>
      </c>
      <c r="AI76" s="137">
        <f t="shared" si="63"/>
        <v>0</v>
      </c>
      <c r="AJ76" s="137">
        <f t="shared" si="64"/>
        <v>0</v>
      </c>
      <c r="AK76" s="137">
        <f t="shared" si="65"/>
        <v>0</v>
      </c>
      <c r="AL76" s="137">
        <f t="shared" si="66"/>
        <v>0</v>
      </c>
      <c r="AM76" s="137">
        <f t="shared" si="67"/>
        <v>0</v>
      </c>
      <c r="AN76" s="137">
        <f t="shared" si="68"/>
        <v>0</v>
      </c>
    </row>
    <row r="77" spans="1:50" ht="15" outlineLevel="1" x14ac:dyDescent="0.25">
      <c r="B77" s="81"/>
      <c r="C77" s="156"/>
      <c r="D77" s="157"/>
      <c r="E77" s="326"/>
      <c r="F77" s="326"/>
      <c r="G77" s="326"/>
      <c r="H77" s="326"/>
      <c r="I77" s="326"/>
      <c r="J77" s="326"/>
      <c r="K77" s="326"/>
      <c r="L77" s="326"/>
      <c r="M77" s="157"/>
      <c r="N77" s="157"/>
      <c r="O77" s="66">
        <f t="shared" si="83"/>
        <v>0</v>
      </c>
      <c r="P77" s="63"/>
      <c r="Q77" s="82"/>
      <c r="R77" s="64"/>
      <c r="S77" s="82"/>
      <c r="T77" s="63"/>
      <c r="U77" s="158"/>
      <c r="V77" s="155"/>
      <c r="W77" s="155"/>
      <c r="X77" s="158"/>
      <c r="Y77" s="158"/>
      <c r="Z77" s="82"/>
      <c r="AA77" s="158"/>
      <c r="AB77" s="158"/>
      <c r="AC77" s="158"/>
      <c r="AD77" s="158"/>
      <c r="AE77" s="137">
        <f t="shared" si="59"/>
        <v>0</v>
      </c>
      <c r="AF77" s="137">
        <f t="shared" si="60"/>
        <v>0</v>
      </c>
      <c r="AG77" s="137">
        <f t="shared" si="61"/>
        <v>0</v>
      </c>
      <c r="AH77" s="137">
        <f t="shared" si="62"/>
        <v>0</v>
      </c>
      <c r="AI77" s="137">
        <f t="shared" si="63"/>
        <v>0</v>
      </c>
      <c r="AJ77" s="137">
        <f t="shared" si="64"/>
        <v>0</v>
      </c>
      <c r="AK77" s="137">
        <f t="shared" si="65"/>
        <v>0</v>
      </c>
      <c r="AL77" s="137">
        <f t="shared" si="66"/>
        <v>0</v>
      </c>
      <c r="AM77" s="137">
        <f t="shared" si="67"/>
        <v>0</v>
      </c>
      <c r="AN77" s="137">
        <f t="shared" si="68"/>
        <v>0</v>
      </c>
    </row>
    <row r="78" spans="1:50" ht="15" outlineLevel="1" x14ac:dyDescent="0.25">
      <c r="B78" s="81"/>
      <c r="C78" s="156"/>
      <c r="D78" s="157"/>
      <c r="E78" s="326"/>
      <c r="F78" s="326"/>
      <c r="G78" s="326"/>
      <c r="H78" s="326"/>
      <c r="I78" s="326"/>
      <c r="J78" s="326"/>
      <c r="K78" s="326"/>
      <c r="L78" s="326"/>
      <c r="M78" s="157"/>
      <c r="N78" s="157"/>
      <c r="O78" s="66">
        <f t="shared" si="83"/>
        <v>0</v>
      </c>
      <c r="P78" s="63"/>
      <c r="Q78" s="82"/>
      <c r="R78" s="64"/>
      <c r="S78" s="82"/>
      <c r="T78" s="63"/>
      <c r="U78" s="158"/>
      <c r="V78" s="155"/>
      <c r="W78" s="155"/>
      <c r="X78" s="158"/>
      <c r="Y78" s="82"/>
      <c r="Z78" s="158"/>
      <c r="AA78" s="158"/>
      <c r="AB78" s="158"/>
      <c r="AC78" s="158"/>
      <c r="AD78" s="158"/>
      <c r="AE78" s="137">
        <f t="shared" si="59"/>
        <v>0</v>
      </c>
      <c r="AF78" s="137">
        <f t="shared" si="60"/>
        <v>0</v>
      </c>
      <c r="AG78" s="137">
        <f t="shared" si="61"/>
        <v>0</v>
      </c>
      <c r="AH78" s="137">
        <f t="shared" si="62"/>
        <v>0</v>
      </c>
      <c r="AI78" s="137">
        <f t="shared" si="63"/>
        <v>0</v>
      </c>
      <c r="AJ78" s="137">
        <f t="shared" si="64"/>
        <v>0</v>
      </c>
      <c r="AK78" s="137">
        <f t="shared" si="65"/>
        <v>0</v>
      </c>
      <c r="AL78" s="137">
        <f t="shared" si="66"/>
        <v>0</v>
      </c>
      <c r="AM78" s="137">
        <f t="shared" si="67"/>
        <v>0</v>
      </c>
      <c r="AN78" s="137">
        <f t="shared" si="68"/>
        <v>0</v>
      </c>
    </row>
    <row r="79" spans="1:50" ht="15" outlineLevel="1" x14ac:dyDescent="0.25">
      <c r="B79" s="81"/>
      <c r="C79" s="156"/>
      <c r="D79" s="157"/>
      <c r="E79" s="326"/>
      <c r="F79" s="326"/>
      <c r="G79" s="326"/>
      <c r="H79" s="326"/>
      <c r="I79" s="326"/>
      <c r="J79" s="326"/>
      <c r="K79" s="326"/>
      <c r="L79" s="326"/>
      <c r="M79" s="157"/>
      <c r="N79" s="157"/>
      <c r="O79" s="66">
        <f t="shared" si="83"/>
        <v>0</v>
      </c>
      <c r="P79" s="63"/>
      <c r="Q79" s="82"/>
      <c r="R79" s="64"/>
      <c r="S79" s="82"/>
      <c r="T79" s="63"/>
      <c r="U79" s="158"/>
      <c r="V79" s="155"/>
      <c r="W79" s="155"/>
      <c r="X79" s="158"/>
      <c r="Y79" s="158"/>
      <c r="Z79" s="158"/>
      <c r="AA79" s="82"/>
      <c r="AB79" s="158"/>
      <c r="AC79" s="158"/>
      <c r="AD79" s="158"/>
      <c r="AE79" s="137">
        <f t="shared" si="59"/>
        <v>0</v>
      </c>
      <c r="AF79" s="137">
        <f t="shared" si="60"/>
        <v>0</v>
      </c>
      <c r="AG79" s="137">
        <f t="shared" si="61"/>
        <v>0</v>
      </c>
      <c r="AH79" s="137">
        <f t="shared" si="62"/>
        <v>0</v>
      </c>
      <c r="AI79" s="137">
        <f t="shared" si="63"/>
        <v>0</v>
      </c>
      <c r="AJ79" s="137">
        <f t="shared" si="64"/>
        <v>0</v>
      </c>
      <c r="AK79" s="137">
        <f t="shared" si="65"/>
        <v>0</v>
      </c>
      <c r="AL79" s="137">
        <f t="shared" si="66"/>
        <v>0</v>
      </c>
      <c r="AM79" s="137">
        <f t="shared" si="67"/>
        <v>0</v>
      </c>
      <c r="AN79" s="137">
        <f t="shared" si="68"/>
        <v>0</v>
      </c>
    </row>
    <row r="80" spans="1:50" ht="15" outlineLevel="1" x14ac:dyDescent="0.25">
      <c r="A80" s="64">
        <f>+A74+1</f>
        <v>1</v>
      </c>
      <c r="B80" s="80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63">
        <f t="shared" si="82"/>
        <v>0</v>
      </c>
      <c r="P80" s="63"/>
      <c r="Q80" s="82"/>
      <c r="R80" s="64"/>
      <c r="S80" s="82"/>
      <c r="T80" s="63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37">
        <f t="shared" si="59"/>
        <v>0</v>
      </c>
      <c r="AF80" s="137">
        <f t="shared" si="60"/>
        <v>0</v>
      </c>
      <c r="AG80" s="137">
        <f t="shared" si="61"/>
        <v>0</v>
      </c>
      <c r="AH80" s="137">
        <f t="shared" si="62"/>
        <v>0</v>
      </c>
      <c r="AI80" s="137">
        <f t="shared" si="63"/>
        <v>0</v>
      </c>
      <c r="AJ80" s="137">
        <f t="shared" si="64"/>
        <v>0</v>
      </c>
      <c r="AK80" s="137">
        <f t="shared" si="65"/>
        <v>0</v>
      </c>
      <c r="AL80" s="137">
        <f t="shared" si="66"/>
        <v>0</v>
      </c>
      <c r="AM80" s="137">
        <f t="shared" si="67"/>
        <v>0</v>
      </c>
      <c r="AN80" s="137">
        <f t="shared" si="68"/>
        <v>0</v>
      </c>
    </row>
    <row r="81" spans="1:50" s="493" customFormat="1" ht="15" x14ac:dyDescent="0.25">
      <c r="A81" s="494">
        <f>+A80+1</f>
        <v>2</v>
      </c>
      <c r="B81" s="490" t="s">
        <v>164</v>
      </c>
      <c r="C81" s="497"/>
      <c r="D81" s="497"/>
      <c r="E81" s="497"/>
      <c r="F81" s="497"/>
      <c r="G81" s="497"/>
      <c r="H81" s="497">
        <f t="shared" ref="H81:N81" si="95">H82+H130</f>
        <v>0</v>
      </c>
      <c r="I81" s="497">
        <f t="shared" si="95"/>
        <v>0</v>
      </c>
      <c r="J81" s="497">
        <f t="shared" si="95"/>
        <v>0</v>
      </c>
      <c r="K81" s="497">
        <f t="shared" si="95"/>
        <v>0</v>
      </c>
      <c r="L81" s="497">
        <f t="shared" si="95"/>
        <v>0</v>
      </c>
      <c r="M81" s="497">
        <f t="shared" si="95"/>
        <v>0</v>
      </c>
      <c r="N81" s="497">
        <f t="shared" si="95"/>
        <v>0</v>
      </c>
      <c r="O81" s="497">
        <f t="shared" si="82"/>
        <v>0</v>
      </c>
      <c r="P81" s="498"/>
      <c r="Q81" s="499"/>
      <c r="S81" s="499"/>
      <c r="T81" s="498"/>
      <c r="AE81" s="137">
        <f t="shared" si="59"/>
        <v>0</v>
      </c>
      <c r="AF81" s="137">
        <f t="shared" si="60"/>
        <v>0</v>
      </c>
      <c r="AG81" s="137">
        <f t="shared" si="61"/>
        <v>0</v>
      </c>
      <c r="AH81" s="137">
        <f t="shared" si="62"/>
        <v>0</v>
      </c>
      <c r="AI81" s="137">
        <f t="shared" si="63"/>
        <v>0</v>
      </c>
      <c r="AJ81" s="137">
        <f t="shared" si="64"/>
        <v>0</v>
      </c>
      <c r="AK81" s="137">
        <f t="shared" si="65"/>
        <v>0</v>
      </c>
      <c r="AL81" s="137">
        <f t="shared" si="66"/>
        <v>0</v>
      </c>
      <c r="AM81" s="137">
        <f t="shared" si="67"/>
        <v>0</v>
      </c>
      <c r="AN81" s="137">
        <f t="shared" si="68"/>
        <v>0</v>
      </c>
    </row>
    <row r="82" spans="1:50" s="509" customFormat="1" ht="15" x14ac:dyDescent="0.25">
      <c r="A82" s="504">
        <f t="shared" ref="A82" si="96">+A81+1</f>
        <v>3</v>
      </c>
      <c r="B82" s="505" t="s">
        <v>483</v>
      </c>
      <c r="C82" s="506"/>
      <c r="D82" s="506"/>
      <c r="E82" s="506"/>
      <c r="F82" s="506"/>
      <c r="G82" s="506"/>
      <c r="H82" s="506">
        <f t="shared" ref="H82:I82" si="97">+SUM(H83:H129)</f>
        <v>0</v>
      </c>
      <c r="I82" s="506">
        <f t="shared" si="97"/>
        <v>0</v>
      </c>
      <c r="J82" s="506">
        <f t="shared" ref="J82:N82" si="98">+SUM(J83:J116)</f>
        <v>0</v>
      </c>
      <c r="K82" s="506">
        <f t="shared" si="98"/>
        <v>0</v>
      </c>
      <c r="L82" s="506">
        <f t="shared" si="98"/>
        <v>0</v>
      </c>
      <c r="M82" s="506">
        <f t="shared" si="98"/>
        <v>0</v>
      </c>
      <c r="N82" s="506">
        <f t="shared" si="98"/>
        <v>0</v>
      </c>
      <c r="O82" s="506">
        <f t="shared" si="82"/>
        <v>0</v>
      </c>
      <c r="P82" s="507"/>
      <c r="Q82" s="508"/>
      <c r="S82" s="508"/>
      <c r="T82" s="507"/>
      <c r="U82" s="510"/>
      <c r="V82" s="510"/>
      <c r="W82" s="510"/>
      <c r="X82" s="510"/>
      <c r="Y82" s="510"/>
      <c r="Z82" s="510"/>
      <c r="AA82" s="510"/>
      <c r="AB82" s="510"/>
      <c r="AC82" s="510"/>
      <c r="AD82" s="510"/>
      <c r="AE82" s="137">
        <f t="shared" si="59"/>
        <v>0</v>
      </c>
      <c r="AF82" s="137">
        <f t="shared" si="60"/>
        <v>0</v>
      </c>
      <c r="AG82" s="137">
        <f t="shared" si="61"/>
        <v>0</v>
      </c>
      <c r="AH82" s="137">
        <f t="shared" si="62"/>
        <v>0</v>
      </c>
      <c r="AI82" s="137">
        <f t="shared" si="63"/>
        <v>0</v>
      </c>
      <c r="AJ82" s="137">
        <f t="shared" si="64"/>
        <v>0</v>
      </c>
      <c r="AK82" s="137">
        <f t="shared" si="65"/>
        <v>0</v>
      </c>
      <c r="AL82" s="137">
        <f t="shared" si="66"/>
        <v>0</v>
      </c>
      <c r="AM82" s="137">
        <f t="shared" si="67"/>
        <v>0</v>
      </c>
      <c r="AN82" s="137">
        <f t="shared" si="68"/>
        <v>0</v>
      </c>
    </row>
    <row r="83" spans="1:50" ht="15" outlineLevel="1" x14ac:dyDescent="0.25">
      <c r="A83" s="64">
        <v>12</v>
      </c>
      <c r="B83" s="729" t="str">
        <f>'[11]COSTOS DEL PLAN'!B57</f>
        <v xml:space="preserve">REEMPLAZO INTERRUPTORES S/E LA ESPERANZA 230 KV </v>
      </c>
      <c r="C83" s="2"/>
      <c r="D83" s="2"/>
      <c r="E83" s="2"/>
      <c r="F83" s="2"/>
      <c r="G83" s="2"/>
      <c r="H83" s="1226">
        <v>0</v>
      </c>
      <c r="I83" s="1226">
        <v>0</v>
      </c>
      <c r="J83" s="1226">
        <f>IF(YEAR('[11]COSTOS DEL PLAN'!$P57)=J$7,'[11]COSTOS DEL PLAN'!$O57,)</f>
        <v>0</v>
      </c>
      <c r="K83" s="1226">
        <f>IF(YEAR('[11]COSTOS DEL PLAN'!$P57)=K$7,'[11]COSTOS DEL PLAN'!$O57,)</f>
        <v>0</v>
      </c>
      <c r="L83" s="1226">
        <f>IF(YEAR('[11]COSTOS DEL PLAN'!$P57)=L$7,'[11]COSTOS DEL PLAN'!$O57,)</f>
        <v>0</v>
      </c>
      <c r="M83" s="1226">
        <f>IF(YEAR('[11]COSTOS DEL PLAN'!$P57)=M$7,'[11]COSTOS DEL PLAN'!$O57,)</f>
        <v>0</v>
      </c>
      <c r="N83" s="1226">
        <f>IF(YEAR('[11]COSTOS DEL PLAN'!$P57)=N$7,'[11]COSTOS DEL PLAN'!$O57,)</f>
        <v>0</v>
      </c>
      <c r="O83" s="66">
        <f t="shared" ref="O83:O129" si="99">SUM(C83:N83)</f>
        <v>0</v>
      </c>
      <c r="P83" s="63"/>
      <c r="Q83" s="82">
        <f>'[11]COSTOS DEL PLAN'!P57</f>
        <v>44926</v>
      </c>
      <c r="R83" s="64"/>
      <c r="S83" s="82"/>
      <c r="T83" s="63"/>
      <c r="U83" s="155" t="str">
        <f t="shared" ref="U83:AD84" si="100">IF(U$6=YEAR($Q83),$Q83,"")</f>
        <v/>
      </c>
      <c r="V83" s="155">
        <f t="shared" si="100"/>
        <v>44926</v>
      </c>
      <c r="W83" s="155" t="str">
        <f t="shared" si="100"/>
        <v/>
      </c>
      <c r="X83" s="155" t="str">
        <f t="shared" si="100"/>
        <v/>
      </c>
      <c r="Y83" s="155" t="str">
        <f t="shared" si="100"/>
        <v/>
      </c>
      <c r="Z83" s="155" t="str">
        <f t="shared" si="100"/>
        <v/>
      </c>
      <c r="AA83" s="155" t="str">
        <f t="shared" si="100"/>
        <v/>
      </c>
      <c r="AB83" s="155" t="str">
        <f t="shared" si="100"/>
        <v/>
      </c>
      <c r="AC83" s="155" t="str">
        <f t="shared" si="100"/>
        <v/>
      </c>
      <c r="AD83" s="155" t="str">
        <f t="shared" si="100"/>
        <v/>
      </c>
      <c r="AE83" s="137">
        <f t="shared" si="59"/>
        <v>0</v>
      </c>
      <c r="AF83" s="137">
        <f t="shared" si="60"/>
        <v>0</v>
      </c>
      <c r="AG83" s="137">
        <f t="shared" si="61"/>
        <v>0</v>
      </c>
      <c r="AH83" s="137">
        <f t="shared" si="62"/>
        <v>0</v>
      </c>
      <c r="AI83" s="137">
        <f t="shared" si="63"/>
        <v>0</v>
      </c>
      <c r="AJ83" s="137">
        <f t="shared" si="64"/>
        <v>0</v>
      </c>
      <c r="AK83" s="137">
        <f t="shared" si="65"/>
        <v>0</v>
      </c>
      <c r="AL83" s="137">
        <f t="shared" si="66"/>
        <v>0</v>
      </c>
      <c r="AM83" s="137">
        <f t="shared" si="67"/>
        <v>0</v>
      </c>
      <c r="AN83" s="137">
        <f t="shared" si="68"/>
        <v>0</v>
      </c>
      <c r="AO83" s="1201">
        <f t="shared" ref="AO83:AO128" si="101">AE83*E83</f>
        <v>0</v>
      </c>
      <c r="AP83" s="1201">
        <f t="shared" ref="AP83:AP128" si="102">AF83*F83</f>
        <v>0</v>
      </c>
      <c r="AQ83" s="1201">
        <f t="shared" ref="AQ83:AQ128" si="103">AG83*G83</f>
        <v>0</v>
      </c>
      <c r="AR83" s="1201">
        <f t="shared" ref="AR83:AR128" si="104">AH83*H83</f>
        <v>0</v>
      </c>
      <c r="AS83" s="1201">
        <f t="shared" ref="AS83:AS128" si="105">AI83*I83</f>
        <v>0</v>
      </c>
      <c r="AT83" s="1201">
        <f t="shared" ref="AT83:AT128" si="106">AJ83*J83</f>
        <v>0</v>
      </c>
      <c r="AU83" s="1201">
        <f t="shared" ref="AU83:AU128" si="107">AK83*K83</f>
        <v>0</v>
      </c>
      <c r="AV83" s="1201">
        <f t="shared" ref="AV83:AV128" si="108">AL83*L83</f>
        <v>0</v>
      </c>
      <c r="AW83" s="1201">
        <f t="shared" ref="AW83:AW128" si="109">AM83*M83</f>
        <v>0</v>
      </c>
      <c r="AX83" s="1201">
        <f t="shared" ref="AX83:AX128" si="110">AN83*N83</f>
        <v>0</v>
      </c>
    </row>
    <row r="84" spans="1:50" ht="15" outlineLevel="1" x14ac:dyDescent="0.25">
      <c r="A84" s="64">
        <v>13</v>
      </c>
      <c r="B84" s="729" t="str">
        <f>'[11]COSTOS DEL PLAN'!B58</f>
        <v>REEMPLAZO T3 S/E PANAMA 350 MVA</v>
      </c>
      <c r="C84" s="2"/>
      <c r="D84" s="2"/>
      <c r="E84" s="2"/>
      <c r="F84" s="2"/>
      <c r="G84" s="2"/>
      <c r="H84" s="1226">
        <v>0</v>
      </c>
      <c r="I84" s="1226">
        <v>0</v>
      </c>
      <c r="J84" s="1226">
        <f>IF(YEAR('[11]COSTOS DEL PLAN'!$P58)=J$7,'[11]COSTOS DEL PLAN'!$O58,)</f>
        <v>0</v>
      </c>
      <c r="K84" s="1226">
        <f>IF(YEAR('[11]COSTOS DEL PLAN'!$P58)=K$7,'[11]COSTOS DEL PLAN'!$O58,)</f>
        <v>0</v>
      </c>
      <c r="L84" s="1226">
        <f>IF(YEAR('[11]COSTOS DEL PLAN'!$P58)=L$7,'[11]COSTOS DEL PLAN'!$O58,)</f>
        <v>0</v>
      </c>
      <c r="M84" s="1226">
        <f>IF(YEAR('[11]COSTOS DEL PLAN'!$P58)=M$7,'[11]COSTOS DEL PLAN'!$O58,)</f>
        <v>0</v>
      </c>
      <c r="N84" s="1226">
        <f>IF(YEAR('[11]COSTOS DEL PLAN'!$P58)=N$7,'[11]COSTOS DEL PLAN'!$O58,)</f>
        <v>0</v>
      </c>
      <c r="O84" s="66">
        <f t="shared" si="99"/>
        <v>0</v>
      </c>
      <c r="P84" s="63"/>
      <c r="Q84" s="82">
        <f>'[11]COSTOS DEL PLAN'!P58</f>
        <v>44957</v>
      </c>
      <c r="R84" s="64"/>
      <c r="S84" s="82"/>
      <c r="T84" s="63"/>
      <c r="U84" s="155" t="str">
        <f t="shared" si="100"/>
        <v/>
      </c>
      <c r="V84" s="155" t="str">
        <f t="shared" si="100"/>
        <v/>
      </c>
      <c r="W84" s="155">
        <f t="shared" si="100"/>
        <v>44957</v>
      </c>
      <c r="X84" s="155" t="str">
        <f t="shared" si="100"/>
        <v/>
      </c>
      <c r="Y84" s="155" t="str">
        <f t="shared" si="100"/>
        <v/>
      </c>
      <c r="Z84" s="155" t="str">
        <f t="shared" si="100"/>
        <v/>
      </c>
      <c r="AA84" s="155" t="str">
        <f t="shared" si="100"/>
        <v/>
      </c>
      <c r="AB84" s="155" t="str">
        <f t="shared" si="100"/>
        <v/>
      </c>
      <c r="AC84" s="155" t="str">
        <f t="shared" si="100"/>
        <v/>
      </c>
      <c r="AD84" s="155" t="str">
        <f t="shared" si="100"/>
        <v/>
      </c>
      <c r="AE84" s="137">
        <f t="shared" si="59"/>
        <v>0</v>
      </c>
      <c r="AF84" s="137">
        <f t="shared" si="60"/>
        <v>0</v>
      </c>
      <c r="AG84" s="137">
        <f t="shared" si="61"/>
        <v>0.91506849315068495</v>
      </c>
      <c r="AH84" s="137">
        <f t="shared" si="62"/>
        <v>0</v>
      </c>
      <c r="AI84" s="137">
        <f t="shared" si="63"/>
        <v>0</v>
      </c>
      <c r="AJ84" s="137">
        <f t="shared" si="64"/>
        <v>0</v>
      </c>
      <c r="AK84" s="137">
        <f t="shared" si="65"/>
        <v>0</v>
      </c>
      <c r="AL84" s="137">
        <f t="shared" si="66"/>
        <v>0</v>
      </c>
      <c r="AM84" s="137">
        <f t="shared" si="67"/>
        <v>0</v>
      </c>
      <c r="AN84" s="137">
        <f t="shared" si="68"/>
        <v>0</v>
      </c>
      <c r="AO84" s="1201">
        <f t="shared" si="101"/>
        <v>0</v>
      </c>
      <c r="AP84" s="1201">
        <f t="shared" si="102"/>
        <v>0</v>
      </c>
      <c r="AQ84" s="1201">
        <f t="shared" si="103"/>
        <v>0</v>
      </c>
      <c r="AR84" s="1201">
        <f t="shared" si="104"/>
        <v>0</v>
      </c>
      <c r="AS84" s="1201">
        <f t="shared" si="105"/>
        <v>0</v>
      </c>
      <c r="AT84" s="1201">
        <f t="shared" si="106"/>
        <v>0</v>
      </c>
      <c r="AU84" s="1201">
        <f t="shared" si="107"/>
        <v>0</v>
      </c>
      <c r="AV84" s="1201">
        <f t="shared" si="108"/>
        <v>0</v>
      </c>
      <c r="AW84" s="1201">
        <f t="shared" si="109"/>
        <v>0</v>
      </c>
      <c r="AX84" s="1201">
        <f t="shared" si="110"/>
        <v>0</v>
      </c>
    </row>
    <row r="85" spans="1:50" ht="15" outlineLevel="1" x14ac:dyDescent="0.25">
      <c r="A85" s="64">
        <v>16</v>
      </c>
      <c r="B85" s="729" t="str">
        <f>'[11]COSTOS DEL PLAN'!B59</f>
        <v>REEMPLAZO BANCO BATERIAS S/E GUASQUITAS Y CAÑAZAS</v>
      </c>
      <c r="C85" s="2"/>
      <c r="D85" s="2"/>
      <c r="E85" s="2"/>
      <c r="F85" s="2"/>
      <c r="G85" s="2"/>
      <c r="H85" s="1226">
        <v>0</v>
      </c>
      <c r="I85" s="1226">
        <v>0</v>
      </c>
      <c r="J85" s="1226">
        <f>IF(YEAR('[11]COSTOS DEL PLAN'!$P59)=J$7,'[11]COSTOS DEL PLAN'!$O59,)</f>
        <v>0</v>
      </c>
      <c r="K85" s="1226">
        <f>IF(YEAR('[11]COSTOS DEL PLAN'!$P59)=K$7,'[11]COSTOS DEL PLAN'!$O59,)</f>
        <v>0</v>
      </c>
      <c r="L85" s="1226">
        <f>IF(YEAR('[11]COSTOS DEL PLAN'!$P59)=L$7,'[11]COSTOS DEL PLAN'!$O59,)</f>
        <v>0</v>
      </c>
      <c r="M85" s="1226">
        <f>IF(YEAR('[11]COSTOS DEL PLAN'!$P59)=M$7,'[11]COSTOS DEL PLAN'!$O59,)</f>
        <v>0</v>
      </c>
      <c r="N85" s="1226">
        <f>IF(YEAR('[11]COSTOS DEL PLAN'!$P59)=N$7,'[11]COSTOS DEL PLAN'!$O59,)</f>
        <v>0</v>
      </c>
      <c r="O85" s="66">
        <f t="shared" si="99"/>
        <v>0</v>
      </c>
      <c r="P85" s="63"/>
      <c r="Q85" s="82">
        <f>'[11]COSTOS DEL PLAN'!P59</f>
        <v>45291</v>
      </c>
      <c r="R85" s="64"/>
      <c r="S85" s="82"/>
      <c r="T85" s="63"/>
      <c r="U85" s="155" t="str">
        <f t="shared" ref="U85:AD110" si="111">IF(U$6=YEAR($Q85),$Q85,"")</f>
        <v/>
      </c>
      <c r="V85" s="155" t="str">
        <f t="shared" si="111"/>
        <v/>
      </c>
      <c r="W85" s="155">
        <f t="shared" si="111"/>
        <v>45291</v>
      </c>
      <c r="X85" s="155" t="str">
        <f t="shared" si="111"/>
        <v/>
      </c>
      <c r="Y85" s="155" t="str">
        <f t="shared" si="111"/>
        <v/>
      </c>
      <c r="Z85" s="155" t="str">
        <f t="shared" si="111"/>
        <v/>
      </c>
      <c r="AA85" s="155" t="str">
        <f t="shared" si="111"/>
        <v/>
      </c>
      <c r="AB85" s="155" t="str">
        <f t="shared" si="111"/>
        <v/>
      </c>
      <c r="AC85" s="155" t="str">
        <f t="shared" si="111"/>
        <v/>
      </c>
      <c r="AD85" s="155" t="str">
        <f t="shared" si="111"/>
        <v/>
      </c>
      <c r="AE85" s="137">
        <f t="shared" si="59"/>
        <v>0</v>
      </c>
      <c r="AF85" s="137">
        <f t="shared" si="60"/>
        <v>0</v>
      </c>
      <c r="AG85" s="137">
        <f t="shared" si="61"/>
        <v>0</v>
      </c>
      <c r="AH85" s="137">
        <f t="shared" si="62"/>
        <v>0</v>
      </c>
      <c r="AI85" s="137">
        <f t="shared" si="63"/>
        <v>0</v>
      </c>
      <c r="AJ85" s="137">
        <f t="shared" si="64"/>
        <v>0</v>
      </c>
      <c r="AK85" s="137">
        <f t="shared" si="65"/>
        <v>0</v>
      </c>
      <c r="AL85" s="137">
        <f t="shared" si="66"/>
        <v>0</v>
      </c>
      <c r="AM85" s="137">
        <f t="shared" si="67"/>
        <v>0</v>
      </c>
      <c r="AN85" s="137">
        <f t="shared" si="68"/>
        <v>0</v>
      </c>
      <c r="AO85" s="1201">
        <f t="shared" si="101"/>
        <v>0</v>
      </c>
      <c r="AP85" s="1201">
        <f t="shared" si="102"/>
        <v>0</v>
      </c>
      <c r="AQ85" s="1201">
        <f t="shared" si="103"/>
        <v>0</v>
      </c>
      <c r="AR85" s="1201">
        <f t="shared" si="104"/>
        <v>0</v>
      </c>
      <c r="AS85" s="1201">
        <f t="shared" si="105"/>
        <v>0</v>
      </c>
      <c r="AT85" s="1201">
        <f t="shared" si="106"/>
        <v>0</v>
      </c>
      <c r="AU85" s="1201">
        <f t="shared" si="107"/>
        <v>0</v>
      </c>
      <c r="AV85" s="1201">
        <f t="shared" si="108"/>
        <v>0</v>
      </c>
      <c r="AW85" s="1201">
        <f t="shared" si="109"/>
        <v>0</v>
      </c>
      <c r="AX85" s="1201">
        <f t="shared" si="110"/>
        <v>0</v>
      </c>
    </row>
    <row r="86" spans="1:50" ht="15" outlineLevel="1" x14ac:dyDescent="0.25">
      <c r="B86" s="729" t="str">
        <f>'[11]COSTOS DEL PLAN'!B60</f>
        <v>EQUIPO PRUEBA DE TRANSFORMADORES DE POTENCIA Y DE INSTRUMENTACIÓN</v>
      </c>
      <c r="C86" s="2"/>
      <c r="D86" s="2"/>
      <c r="E86" s="2"/>
      <c r="F86" s="2"/>
      <c r="G86" s="2"/>
      <c r="H86" s="1226">
        <v>0</v>
      </c>
      <c r="I86" s="1226">
        <v>0</v>
      </c>
      <c r="J86" s="1226">
        <f>IF(YEAR('[11]COSTOS DEL PLAN'!$P60)=J$7,'[11]COSTOS DEL PLAN'!$O60,)</f>
        <v>0</v>
      </c>
      <c r="K86" s="1226">
        <f>IF(YEAR('[11]COSTOS DEL PLAN'!$P60)=K$7,'[11]COSTOS DEL PLAN'!$O60,)</f>
        <v>0</v>
      </c>
      <c r="L86" s="1226">
        <f>IF(YEAR('[11]COSTOS DEL PLAN'!$P60)=L$7,'[11]COSTOS DEL PLAN'!$O60,)</f>
        <v>0</v>
      </c>
      <c r="M86" s="1226">
        <f>IF(YEAR('[11]COSTOS DEL PLAN'!$P60)=M$7,'[11]COSTOS DEL PLAN'!$O60,)</f>
        <v>0</v>
      </c>
      <c r="N86" s="1226">
        <f>IF(YEAR('[11]COSTOS DEL PLAN'!$P60)=N$7,'[11]COSTOS DEL PLAN'!$O60,)</f>
        <v>0</v>
      </c>
      <c r="O86" s="66">
        <f t="shared" si="99"/>
        <v>0</v>
      </c>
      <c r="P86" s="63"/>
      <c r="Q86" s="82">
        <f>'[11]COSTOS DEL PLAN'!P60</f>
        <v>45291</v>
      </c>
      <c r="R86" s="64"/>
      <c r="S86" s="82"/>
      <c r="T86" s="63"/>
      <c r="U86" s="155" t="str">
        <f t="shared" si="111"/>
        <v/>
      </c>
      <c r="V86" s="155" t="str">
        <f t="shared" si="111"/>
        <v/>
      </c>
      <c r="W86" s="155">
        <f t="shared" si="111"/>
        <v>45291</v>
      </c>
      <c r="X86" s="155" t="str">
        <f t="shared" si="111"/>
        <v/>
      </c>
      <c r="Y86" s="155" t="str">
        <f t="shared" si="111"/>
        <v/>
      </c>
      <c r="Z86" s="155" t="str">
        <f t="shared" si="111"/>
        <v/>
      </c>
      <c r="AA86" s="155" t="str">
        <f t="shared" si="111"/>
        <v/>
      </c>
      <c r="AB86" s="155" t="str">
        <f t="shared" si="111"/>
        <v/>
      </c>
      <c r="AC86" s="155" t="str">
        <f t="shared" si="111"/>
        <v/>
      </c>
      <c r="AD86" s="155" t="str">
        <f t="shared" si="111"/>
        <v/>
      </c>
      <c r="AE86" s="137">
        <f t="shared" si="59"/>
        <v>0</v>
      </c>
      <c r="AF86" s="137">
        <f t="shared" si="60"/>
        <v>0</v>
      </c>
      <c r="AG86" s="137">
        <f t="shared" si="61"/>
        <v>0</v>
      </c>
      <c r="AH86" s="137">
        <f t="shared" si="62"/>
        <v>0</v>
      </c>
      <c r="AI86" s="137">
        <f t="shared" si="63"/>
        <v>0</v>
      </c>
      <c r="AJ86" s="137">
        <f t="shared" si="64"/>
        <v>0</v>
      </c>
      <c r="AK86" s="137">
        <f t="shared" si="65"/>
        <v>0</v>
      </c>
      <c r="AL86" s="137">
        <f t="shared" si="66"/>
        <v>0</v>
      </c>
      <c r="AM86" s="137">
        <f t="shared" si="67"/>
        <v>0</v>
      </c>
      <c r="AN86" s="137">
        <f t="shared" si="68"/>
        <v>0</v>
      </c>
      <c r="AO86" s="1201">
        <f t="shared" si="101"/>
        <v>0</v>
      </c>
      <c r="AP86" s="1201">
        <f t="shared" si="102"/>
        <v>0</v>
      </c>
      <c r="AQ86" s="1201">
        <f t="shared" si="103"/>
        <v>0</v>
      </c>
      <c r="AR86" s="1201">
        <f t="shared" si="104"/>
        <v>0</v>
      </c>
      <c r="AS86" s="1201">
        <f t="shared" si="105"/>
        <v>0</v>
      </c>
      <c r="AT86" s="1201">
        <f t="shared" si="106"/>
        <v>0</v>
      </c>
      <c r="AU86" s="1201">
        <f t="shared" si="107"/>
        <v>0</v>
      </c>
      <c r="AV86" s="1201">
        <f t="shared" si="108"/>
        <v>0</v>
      </c>
      <c r="AW86" s="1201">
        <f t="shared" si="109"/>
        <v>0</v>
      </c>
      <c r="AX86" s="1201">
        <f t="shared" si="110"/>
        <v>0</v>
      </c>
    </row>
    <row r="87" spans="1:50" ht="15" outlineLevel="1" x14ac:dyDescent="0.25">
      <c r="B87" s="729" t="str">
        <f>'[11]COSTOS DEL PLAN'!B61</f>
        <v xml:space="preserve">REEMPLAZO INTERRUPTORES S/E PANAMÁ 115 KV </v>
      </c>
      <c r="C87" s="2"/>
      <c r="D87" s="2"/>
      <c r="E87" s="2"/>
      <c r="F87" s="2"/>
      <c r="G87" s="2"/>
      <c r="H87" s="1226">
        <v>0</v>
      </c>
      <c r="I87" s="1226">
        <v>0</v>
      </c>
      <c r="J87" s="1226">
        <f>IF(YEAR('[11]COSTOS DEL PLAN'!$P61)=J$7,'[11]COSTOS DEL PLAN'!$O61,)</f>
        <v>0</v>
      </c>
      <c r="K87" s="1226">
        <f>IF(YEAR('[11]COSTOS DEL PLAN'!$P61)=K$7,'[11]COSTOS DEL PLAN'!$O61,)</f>
        <v>0</v>
      </c>
      <c r="L87" s="1226">
        <f>IF(YEAR('[11]COSTOS DEL PLAN'!$P61)=L$7,'[11]COSTOS DEL PLAN'!$O61,)</f>
        <v>0</v>
      </c>
      <c r="M87" s="1226">
        <f>IF(YEAR('[11]COSTOS DEL PLAN'!$P61)=M$7,'[11]COSTOS DEL PLAN'!$O61,)</f>
        <v>0</v>
      </c>
      <c r="N87" s="1226">
        <f>IF(YEAR('[11]COSTOS DEL PLAN'!$P61)=N$7,'[11]COSTOS DEL PLAN'!$O61,)</f>
        <v>0</v>
      </c>
      <c r="O87" s="66">
        <f t="shared" si="99"/>
        <v>0</v>
      </c>
      <c r="P87" s="63"/>
      <c r="Q87" s="82">
        <f>'[11]COSTOS DEL PLAN'!P61</f>
        <v>45657</v>
      </c>
      <c r="R87" s="64"/>
      <c r="S87" s="82"/>
      <c r="T87" s="63"/>
      <c r="U87" s="155" t="str">
        <f t="shared" si="111"/>
        <v/>
      </c>
      <c r="V87" s="155" t="str">
        <f t="shared" si="111"/>
        <v/>
      </c>
      <c r="W87" s="155" t="str">
        <f t="shared" si="111"/>
        <v/>
      </c>
      <c r="X87" s="155">
        <f t="shared" si="111"/>
        <v>45657</v>
      </c>
      <c r="Y87" s="155" t="str">
        <f t="shared" si="111"/>
        <v/>
      </c>
      <c r="Z87" s="155" t="str">
        <f t="shared" si="111"/>
        <v/>
      </c>
      <c r="AA87" s="155" t="str">
        <f t="shared" si="111"/>
        <v/>
      </c>
      <c r="AB87" s="155" t="str">
        <f t="shared" si="111"/>
        <v/>
      </c>
      <c r="AC87" s="155" t="str">
        <f t="shared" si="111"/>
        <v/>
      </c>
      <c r="AD87" s="155" t="str">
        <f t="shared" si="111"/>
        <v/>
      </c>
      <c r="AE87" s="137">
        <f t="shared" si="59"/>
        <v>0</v>
      </c>
      <c r="AF87" s="137">
        <f t="shared" si="60"/>
        <v>0</v>
      </c>
      <c r="AG87" s="137">
        <f t="shared" si="61"/>
        <v>0</v>
      </c>
      <c r="AH87" s="137">
        <f t="shared" si="62"/>
        <v>0</v>
      </c>
      <c r="AI87" s="137">
        <f t="shared" si="63"/>
        <v>0</v>
      </c>
      <c r="AJ87" s="137">
        <f t="shared" si="64"/>
        <v>0</v>
      </c>
      <c r="AK87" s="137">
        <f t="shared" si="65"/>
        <v>0</v>
      </c>
      <c r="AL87" s="137">
        <f t="shared" si="66"/>
        <v>0</v>
      </c>
      <c r="AM87" s="137">
        <f t="shared" si="67"/>
        <v>0</v>
      </c>
      <c r="AN87" s="137">
        <f t="shared" si="68"/>
        <v>0</v>
      </c>
      <c r="AO87" s="1201">
        <f t="shared" si="101"/>
        <v>0</v>
      </c>
      <c r="AP87" s="1201">
        <f t="shared" si="102"/>
        <v>0</v>
      </c>
      <c r="AQ87" s="1201">
        <f t="shared" si="103"/>
        <v>0</v>
      </c>
      <c r="AR87" s="1201">
        <f t="shared" si="104"/>
        <v>0</v>
      </c>
      <c r="AS87" s="1201">
        <f t="shared" si="105"/>
        <v>0</v>
      </c>
      <c r="AT87" s="1201">
        <f t="shared" si="106"/>
        <v>0</v>
      </c>
      <c r="AU87" s="1201">
        <f t="shared" si="107"/>
        <v>0</v>
      </c>
      <c r="AV87" s="1201">
        <f t="shared" si="108"/>
        <v>0</v>
      </c>
      <c r="AW87" s="1201">
        <f t="shared" si="109"/>
        <v>0</v>
      </c>
      <c r="AX87" s="1201">
        <f t="shared" si="110"/>
        <v>0</v>
      </c>
    </row>
    <row r="88" spans="1:50" ht="15" outlineLevel="1" x14ac:dyDescent="0.25">
      <c r="B88" s="729" t="str">
        <f>'[11]COSTOS DEL PLAN'!B62</f>
        <v>REEMPLAZO TORRES CORROIDAS EN PANAMÁ Y COLÓN</v>
      </c>
      <c r="C88" s="2"/>
      <c r="D88" s="2"/>
      <c r="E88" s="2"/>
      <c r="F88" s="2"/>
      <c r="G88" s="2"/>
      <c r="H88" s="1226">
        <v>0</v>
      </c>
      <c r="I88" s="1226">
        <v>0</v>
      </c>
      <c r="J88" s="1226">
        <f>IF(YEAR('[11]COSTOS DEL PLAN'!$P62)=J$7,'[11]COSTOS DEL PLAN'!$O62,)</f>
        <v>0</v>
      </c>
      <c r="K88" s="1226">
        <f>IF(YEAR('[11]COSTOS DEL PLAN'!$P62)=K$7,'[11]COSTOS DEL PLAN'!$O62,)</f>
        <v>0</v>
      </c>
      <c r="L88" s="1226">
        <f>IF(YEAR('[11]COSTOS DEL PLAN'!$P62)=L$7,'[11]COSTOS DEL PLAN'!$O62,)</f>
        <v>0</v>
      </c>
      <c r="M88" s="1226">
        <f>IF(YEAR('[11]COSTOS DEL PLAN'!$P62)=M$7,'[11]COSTOS DEL PLAN'!$O62,)</f>
        <v>0</v>
      </c>
      <c r="N88" s="1226">
        <f>IF(YEAR('[11]COSTOS DEL PLAN'!$P62)=N$7,'[11]COSTOS DEL PLAN'!$O62,)</f>
        <v>0</v>
      </c>
      <c r="O88" s="66">
        <f t="shared" si="99"/>
        <v>0</v>
      </c>
      <c r="P88" s="63"/>
      <c r="Q88" s="82">
        <f>'[11]COSTOS DEL PLAN'!P62</f>
        <v>45657</v>
      </c>
      <c r="R88" s="64"/>
      <c r="S88" s="82"/>
      <c r="T88" s="63"/>
      <c r="U88" s="155" t="str">
        <f t="shared" si="111"/>
        <v/>
      </c>
      <c r="V88" s="155" t="str">
        <f t="shared" si="111"/>
        <v/>
      </c>
      <c r="W88" s="155" t="str">
        <f t="shared" si="111"/>
        <v/>
      </c>
      <c r="X88" s="155">
        <f t="shared" si="111"/>
        <v>45657</v>
      </c>
      <c r="Y88" s="155" t="str">
        <f t="shared" si="111"/>
        <v/>
      </c>
      <c r="Z88" s="155" t="str">
        <f t="shared" si="111"/>
        <v/>
      </c>
      <c r="AA88" s="155" t="str">
        <f t="shared" si="111"/>
        <v/>
      </c>
      <c r="AB88" s="155" t="str">
        <f t="shared" si="111"/>
        <v/>
      </c>
      <c r="AC88" s="155" t="str">
        <f t="shared" si="111"/>
        <v/>
      </c>
      <c r="AD88" s="155" t="str">
        <f t="shared" si="111"/>
        <v/>
      </c>
      <c r="AE88" s="137">
        <f t="shared" si="59"/>
        <v>0</v>
      </c>
      <c r="AF88" s="137">
        <f t="shared" si="60"/>
        <v>0</v>
      </c>
      <c r="AG88" s="137">
        <f t="shared" si="61"/>
        <v>0</v>
      </c>
      <c r="AH88" s="137">
        <f t="shared" si="62"/>
        <v>0</v>
      </c>
      <c r="AI88" s="137">
        <f t="shared" si="63"/>
        <v>0</v>
      </c>
      <c r="AJ88" s="137">
        <f t="shared" si="64"/>
        <v>0</v>
      </c>
      <c r="AK88" s="137">
        <f t="shared" si="65"/>
        <v>0</v>
      </c>
      <c r="AL88" s="137">
        <f t="shared" si="66"/>
        <v>0</v>
      </c>
      <c r="AM88" s="137">
        <f t="shared" si="67"/>
        <v>0</v>
      </c>
      <c r="AN88" s="137">
        <f t="shared" si="68"/>
        <v>0</v>
      </c>
      <c r="AO88" s="1201">
        <f t="shared" si="101"/>
        <v>0</v>
      </c>
      <c r="AP88" s="1201">
        <f t="shared" si="102"/>
        <v>0</v>
      </c>
      <c r="AQ88" s="1201">
        <f t="shared" si="103"/>
        <v>0</v>
      </c>
      <c r="AR88" s="1201">
        <f t="shared" si="104"/>
        <v>0</v>
      </c>
      <c r="AS88" s="1201">
        <f t="shared" si="105"/>
        <v>0</v>
      </c>
      <c r="AT88" s="1201">
        <f t="shared" si="106"/>
        <v>0</v>
      </c>
      <c r="AU88" s="1201">
        <f t="shared" si="107"/>
        <v>0</v>
      </c>
      <c r="AV88" s="1201">
        <f t="shared" si="108"/>
        <v>0</v>
      </c>
      <c r="AW88" s="1201">
        <f t="shared" si="109"/>
        <v>0</v>
      </c>
      <c r="AX88" s="1201">
        <f t="shared" si="110"/>
        <v>0</v>
      </c>
    </row>
    <row r="89" spans="1:50" ht="15" outlineLevel="1" x14ac:dyDescent="0.25">
      <c r="B89" s="959" t="str">
        <f>'[11]COSTOS DEL PLAN'!B63</f>
        <v>REEMPLAZO DE BANCOS DE CAPACITORES EN S/E PANAMÁ Y S/E PANAMÁ 2</v>
      </c>
      <c r="C89" s="2"/>
      <c r="D89" s="2"/>
      <c r="E89" s="2"/>
      <c r="F89" s="2"/>
      <c r="G89" s="2"/>
      <c r="H89" s="1226">
        <v>0</v>
      </c>
      <c r="I89" s="1226">
        <v>0</v>
      </c>
      <c r="J89" s="1226">
        <f>IF(YEAR('[11]COSTOS DEL PLAN'!$P64)=J$7,'[11]COSTOS DEL PLAN'!$O64,)</f>
        <v>0</v>
      </c>
      <c r="K89" s="1226">
        <f>IF(YEAR('[11]COSTOS DEL PLAN'!$P64)=K$7,'[11]COSTOS DEL PLAN'!$O64,)</f>
        <v>0</v>
      </c>
      <c r="L89" s="1226">
        <f>IF(YEAR('[11]COSTOS DEL PLAN'!$P64)=L$7,'[11]COSTOS DEL PLAN'!$O64,)</f>
        <v>0</v>
      </c>
      <c r="M89" s="1226">
        <f>IF(YEAR('[11]COSTOS DEL PLAN'!$P64)=M$7,'[11]COSTOS DEL PLAN'!$O64,)</f>
        <v>0</v>
      </c>
      <c r="N89" s="1226">
        <f>IF(YEAR('[11]COSTOS DEL PLAN'!$P64)=N$7,'[11]COSTOS DEL PLAN'!$O64,)</f>
        <v>0</v>
      </c>
      <c r="O89" s="66">
        <f t="shared" si="99"/>
        <v>0</v>
      </c>
      <c r="P89" s="63"/>
      <c r="Q89" s="82">
        <f>'[11]COSTOS DEL PLAN'!P64</f>
        <v>45657</v>
      </c>
      <c r="R89" s="64"/>
      <c r="S89" s="82"/>
      <c r="T89" s="63"/>
      <c r="U89" s="155" t="str">
        <f t="shared" si="111"/>
        <v/>
      </c>
      <c r="V89" s="155" t="str">
        <f t="shared" si="111"/>
        <v/>
      </c>
      <c r="W89" s="155" t="str">
        <f t="shared" si="111"/>
        <v/>
      </c>
      <c r="X89" s="155">
        <f t="shared" si="111"/>
        <v>45657</v>
      </c>
      <c r="Y89" s="155" t="str">
        <f t="shared" si="111"/>
        <v/>
      </c>
      <c r="Z89" s="155" t="str">
        <f t="shared" si="111"/>
        <v/>
      </c>
      <c r="AA89" s="155" t="str">
        <f t="shared" si="111"/>
        <v/>
      </c>
      <c r="AB89" s="155" t="str">
        <f t="shared" si="111"/>
        <v/>
      </c>
      <c r="AC89" s="155" t="str">
        <f t="shared" si="111"/>
        <v/>
      </c>
      <c r="AD89" s="155" t="str">
        <f t="shared" si="111"/>
        <v/>
      </c>
      <c r="AE89" s="137">
        <f t="shared" si="59"/>
        <v>0</v>
      </c>
      <c r="AF89" s="137">
        <f t="shared" si="60"/>
        <v>0</v>
      </c>
      <c r="AG89" s="137">
        <f t="shared" si="61"/>
        <v>0</v>
      </c>
      <c r="AH89" s="137">
        <f t="shared" si="62"/>
        <v>0</v>
      </c>
      <c r="AI89" s="137">
        <f t="shared" si="63"/>
        <v>0</v>
      </c>
      <c r="AJ89" s="137">
        <f t="shared" si="64"/>
        <v>0</v>
      </c>
      <c r="AK89" s="137">
        <f t="shared" si="65"/>
        <v>0</v>
      </c>
      <c r="AL89" s="137">
        <f t="shared" si="66"/>
        <v>0</v>
      </c>
      <c r="AM89" s="137">
        <f t="shared" si="67"/>
        <v>0</v>
      </c>
      <c r="AN89" s="137">
        <f t="shared" si="68"/>
        <v>0</v>
      </c>
      <c r="AO89" s="1201">
        <f t="shared" si="101"/>
        <v>0</v>
      </c>
      <c r="AP89" s="1201">
        <f t="shared" si="102"/>
        <v>0</v>
      </c>
      <c r="AQ89" s="1201">
        <f t="shared" si="103"/>
        <v>0</v>
      </c>
      <c r="AR89" s="1201">
        <f t="shared" si="104"/>
        <v>0</v>
      </c>
      <c r="AS89" s="1201">
        <f t="shared" si="105"/>
        <v>0</v>
      </c>
      <c r="AT89" s="1201">
        <f t="shared" si="106"/>
        <v>0</v>
      </c>
      <c r="AU89" s="1201">
        <f t="shared" si="107"/>
        <v>0</v>
      </c>
      <c r="AV89" s="1201">
        <f t="shared" si="108"/>
        <v>0</v>
      </c>
      <c r="AW89" s="1201">
        <f t="shared" si="109"/>
        <v>0</v>
      </c>
      <c r="AX89" s="1201">
        <f t="shared" si="110"/>
        <v>0</v>
      </c>
    </row>
    <row r="90" spans="1:50" ht="15" outlineLevel="1" x14ac:dyDescent="0.25">
      <c r="B90" s="959" t="str">
        <f>'[11]COSTOS DEL PLAN'!B66</f>
        <v>REEMPLAZO CUCHILLAS MANUALES S/E PANAMA 115 KV</v>
      </c>
      <c r="C90" s="2"/>
      <c r="D90" s="2"/>
      <c r="E90" s="2"/>
      <c r="F90" s="2"/>
      <c r="G90" s="2"/>
      <c r="H90" s="1226">
        <v>0</v>
      </c>
      <c r="I90" s="1226">
        <v>0</v>
      </c>
      <c r="J90" s="1226">
        <f>IF(YEAR('[11]COSTOS DEL PLAN'!$P66)=J$7,'[11]COSTOS DEL PLAN'!$O66,)</f>
        <v>0</v>
      </c>
      <c r="K90" s="1226">
        <f>IF(YEAR('[11]COSTOS DEL PLAN'!$P66)=K$7,'[11]COSTOS DEL PLAN'!$O66,)</f>
        <v>0</v>
      </c>
      <c r="L90" s="1226">
        <f>IF(YEAR('[11]COSTOS DEL PLAN'!$P66)=L$7,'[11]COSTOS DEL PLAN'!$O66,)</f>
        <v>0</v>
      </c>
      <c r="M90" s="1226">
        <f>IF(YEAR('[11]COSTOS DEL PLAN'!$P66)=M$7,'[11]COSTOS DEL PLAN'!$O66,)</f>
        <v>0</v>
      </c>
      <c r="N90" s="1226">
        <f>IF(YEAR('[11]COSTOS DEL PLAN'!$P66)=N$7,'[11]COSTOS DEL PLAN'!$O66,)</f>
        <v>0</v>
      </c>
      <c r="O90" s="66">
        <f t="shared" si="99"/>
        <v>0</v>
      </c>
      <c r="P90" s="63"/>
      <c r="Q90" s="82">
        <f>'[11]COSTOS DEL PLAN'!P66</f>
        <v>45657</v>
      </c>
      <c r="R90" s="64"/>
      <c r="S90" s="82"/>
      <c r="T90" s="63"/>
      <c r="U90" s="155" t="str">
        <f t="shared" si="111"/>
        <v/>
      </c>
      <c r="V90" s="155" t="str">
        <f t="shared" si="111"/>
        <v/>
      </c>
      <c r="W90" s="155" t="str">
        <f t="shared" si="111"/>
        <v/>
      </c>
      <c r="X90" s="155">
        <f t="shared" si="111"/>
        <v>45657</v>
      </c>
      <c r="Y90" s="155" t="str">
        <f t="shared" si="111"/>
        <v/>
      </c>
      <c r="Z90" s="155" t="str">
        <f t="shared" si="111"/>
        <v/>
      </c>
      <c r="AA90" s="155" t="str">
        <f t="shared" si="111"/>
        <v/>
      </c>
      <c r="AB90" s="155" t="str">
        <f t="shared" si="111"/>
        <v/>
      </c>
      <c r="AC90" s="155" t="str">
        <f t="shared" si="111"/>
        <v/>
      </c>
      <c r="AD90" s="155" t="str">
        <f t="shared" si="111"/>
        <v/>
      </c>
      <c r="AE90" s="137">
        <f t="shared" si="59"/>
        <v>0</v>
      </c>
      <c r="AF90" s="137">
        <f t="shared" si="60"/>
        <v>0</v>
      </c>
      <c r="AG90" s="137">
        <f t="shared" si="61"/>
        <v>0</v>
      </c>
      <c r="AH90" s="137">
        <f t="shared" si="62"/>
        <v>0</v>
      </c>
      <c r="AI90" s="137">
        <f t="shared" si="63"/>
        <v>0</v>
      </c>
      <c r="AJ90" s="137">
        <f t="shared" si="64"/>
        <v>0</v>
      </c>
      <c r="AK90" s="137">
        <f t="shared" si="65"/>
        <v>0</v>
      </c>
      <c r="AL90" s="137">
        <f t="shared" si="66"/>
        <v>0</v>
      </c>
      <c r="AM90" s="137">
        <f t="shared" si="67"/>
        <v>0</v>
      </c>
      <c r="AN90" s="137">
        <f t="shared" si="68"/>
        <v>0</v>
      </c>
      <c r="AO90" s="1201">
        <f t="shared" si="101"/>
        <v>0</v>
      </c>
      <c r="AP90" s="1201">
        <f t="shared" si="102"/>
        <v>0</v>
      </c>
      <c r="AQ90" s="1201">
        <f t="shared" si="103"/>
        <v>0</v>
      </c>
      <c r="AR90" s="1201">
        <f t="shared" si="104"/>
        <v>0</v>
      </c>
      <c r="AS90" s="1201">
        <f t="shared" si="105"/>
        <v>0</v>
      </c>
      <c r="AT90" s="1201">
        <f t="shared" si="106"/>
        <v>0</v>
      </c>
      <c r="AU90" s="1201">
        <f t="shared" si="107"/>
        <v>0</v>
      </c>
      <c r="AV90" s="1201">
        <f t="shared" si="108"/>
        <v>0</v>
      </c>
      <c r="AW90" s="1201">
        <f t="shared" si="109"/>
        <v>0</v>
      </c>
      <c r="AX90" s="1201">
        <f t="shared" si="110"/>
        <v>0</v>
      </c>
    </row>
    <row r="91" spans="1:50" ht="15" outlineLevel="1" x14ac:dyDescent="0.25">
      <c r="B91" s="729" t="str">
        <f>'[11]COSTOS DEL PLAN'!B67</f>
        <v>REEMPLAZO CONTADORES DE DESCARGA PARA LT DE 230 Y 115 KV EN ZONA 3</v>
      </c>
      <c r="C91" s="2"/>
      <c r="D91" s="2"/>
      <c r="E91" s="2"/>
      <c r="F91" s="2"/>
      <c r="G91" s="2"/>
      <c r="H91" s="1226">
        <v>0</v>
      </c>
      <c r="I91" s="1226">
        <v>0</v>
      </c>
      <c r="J91" s="1226">
        <f>IF(YEAR('[11]COSTOS DEL PLAN'!$P67)=J$7,'[11]COSTOS DEL PLAN'!$O67,)</f>
        <v>0</v>
      </c>
      <c r="K91" s="1226">
        <f>IF(YEAR('[11]COSTOS DEL PLAN'!$P67)=K$7,'[11]COSTOS DEL PLAN'!$O67,)</f>
        <v>0</v>
      </c>
      <c r="L91" s="1226">
        <f>IF(YEAR('[11]COSTOS DEL PLAN'!$P67)=L$7,'[11]COSTOS DEL PLAN'!$O67,)</f>
        <v>0</v>
      </c>
      <c r="M91" s="1226">
        <f>IF(YEAR('[11]COSTOS DEL PLAN'!$P67)=M$7,'[11]COSTOS DEL PLAN'!$O67,)</f>
        <v>0</v>
      </c>
      <c r="N91" s="1226">
        <f>IF(YEAR('[11]COSTOS DEL PLAN'!$P67)=N$7,'[11]COSTOS DEL PLAN'!$O67,)</f>
        <v>0</v>
      </c>
      <c r="O91" s="66">
        <f t="shared" si="99"/>
        <v>0</v>
      </c>
      <c r="P91" s="63"/>
      <c r="Q91" s="82">
        <f>'[11]COSTOS DEL PLAN'!P67</f>
        <v>45657</v>
      </c>
      <c r="R91" s="64"/>
      <c r="S91" s="82"/>
      <c r="T91" s="63"/>
      <c r="U91" s="155" t="str">
        <f t="shared" si="111"/>
        <v/>
      </c>
      <c r="V91" s="155" t="str">
        <f t="shared" si="111"/>
        <v/>
      </c>
      <c r="W91" s="155" t="str">
        <f t="shared" si="111"/>
        <v/>
      </c>
      <c r="X91" s="155">
        <f t="shared" si="111"/>
        <v>45657</v>
      </c>
      <c r="Y91" s="155" t="str">
        <f t="shared" si="111"/>
        <v/>
      </c>
      <c r="Z91" s="155" t="str">
        <f t="shared" si="111"/>
        <v/>
      </c>
      <c r="AA91" s="155" t="str">
        <f t="shared" si="111"/>
        <v/>
      </c>
      <c r="AB91" s="155" t="str">
        <f t="shared" si="111"/>
        <v/>
      </c>
      <c r="AC91" s="155" t="str">
        <f t="shared" si="111"/>
        <v/>
      </c>
      <c r="AD91" s="155" t="str">
        <f t="shared" si="111"/>
        <v/>
      </c>
      <c r="AE91" s="137">
        <f t="shared" si="59"/>
        <v>0</v>
      </c>
      <c r="AF91" s="137">
        <f t="shared" si="60"/>
        <v>0</v>
      </c>
      <c r="AG91" s="137">
        <f t="shared" si="61"/>
        <v>0</v>
      </c>
      <c r="AH91" s="137">
        <f t="shared" si="62"/>
        <v>0</v>
      </c>
      <c r="AI91" s="137">
        <f t="shared" si="63"/>
        <v>0</v>
      </c>
      <c r="AJ91" s="137">
        <f t="shared" si="64"/>
        <v>0</v>
      </c>
      <c r="AK91" s="137">
        <f t="shared" si="65"/>
        <v>0</v>
      </c>
      <c r="AL91" s="137">
        <f t="shared" si="66"/>
        <v>0</v>
      </c>
      <c r="AM91" s="137">
        <f t="shared" si="67"/>
        <v>0</v>
      </c>
      <c r="AN91" s="137">
        <f t="shared" si="68"/>
        <v>0</v>
      </c>
      <c r="AO91" s="1201">
        <f t="shared" si="101"/>
        <v>0</v>
      </c>
      <c r="AP91" s="1201">
        <f t="shared" si="102"/>
        <v>0</v>
      </c>
      <c r="AQ91" s="1201">
        <f t="shared" si="103"/>
        <v>0</v>
      </c>
      <c r="AR91" s="1201">
        <f t="shared" si="104"/>
        <v>0</v>
      </c>
      <c r="AS91" s="1201">
        <f t="shared" si="105"/>
        <v>0</v>
      </c>
      <c r="AT91" s="1201">
        <f t="shared" si="106"/>
        <v>0</v>
      </c>
      <c r="AU91" s="1201">
        <f t="shared" si="107"/>
        <v>0</v>
      </c>
      <c r="AV91" s="1201">
        <f t="shared" si="108"/>
        <v>0</v>
      </c>
      <c r="AW91" s="1201">
        <f t="shared" si="109"/>
        <v>0</v>
      </c>
      <c r="AX91" s="1201">
        <f t="shared" si="110"/>
        <v>0</v>
      </c>
    </row>
    <row r="92" spans="1:50" ht="15" outlineLevel="1" x14ac:dyDescent="0.25">
      <c r="B92" s="959" t="str">
        <f>'[11]COSTOS DEL PLAN'!B68</f>
        <v>PLANTAS AUXILIARES DE LAS SUBESTACIONES PROGRESO Y MATA DE NANCE</v>
      </c>
      <c r="C92" s="2"/>
      <c r="D92" s="2"/>
      <c r="E92" s="2"/>
      <c r="F92" s="2"/>
      <c r="G92" s="2"/>
      <c r="H92" s="1226">
        <v>0</v>
      </c>
      <c r="I92" s="1226">
        <v>0</v>
      </c>
      <c r="J92" s="1226">
        <f>IF(YEAR('[11]COSTOS DEL PLAN'!$P69)=J$7,'[11]COSTOS DEL PLAN'!$O68,)</f>
        <v>0</v>
      </c>
      <c r="K92" s="1226">
        <f>IF(YEAR('[11]COSTOS DEL PLAN'!$P69)=K$7,'[11]COSTOS DEL PLAN'!$O68,)</f>
        <v>0</v>
      </c>
      <c r="L92" s="1226">
        <f>IF(YEAR('[11]COSTOS DEL PLAN'!$P69)=L$7,'[11]COSTOS DEL PLAN'!$O68,)</f>
        <v>0</v>
      </c>
      <c r="M92" s="1226">
        <f>IF(YEAR('[11]COSTOS DEL PLAN'!$P69)=M$7,'[11]COSTOS DEL PLAN'!$O68,)</f>
        <v>0</v>
      </c>
      <c r="N92" s="1226">
        <f>IF(YEAR('[11]COSTOS DEL PLAN'!$P69)=N$7,'[11]COSTOS DEL PLAN'!$O68,)</f>
        <v>0</v>
      </c>
      <c r="O92" s="66">
        <f t="shared" si="99"/>
        <v>0</v>
      </c>
      <c r="P92" s="63"/>
      <c r="Q92" s="82">
        <f>'[11]COSTOS DEL PLAN'!P69</f>
        <v>45657</v>
      </c>
      <c r="R92" s="64"/>
      <c r="S92" s="82"/>
      <c r="T92" s="63"/>
      <c r="U92" s="155" t="str">
        <f t="shared" si="111"/>
        <v/>
      </c>
      <c r="V92" s="155" t="str">
        <f t="shared" si="111"/>
        <v/>
      </c>
      <c r="W92" s="155" t="str">
        <f t="shared" si="111"/>
        <v/>
      </c>
      <c r="X92" s="155">
        <f t="shared" si="111"/>
        <v>45657</v>
      </c>
      <c r="Y92" s="155" t="str">
        <f t="shared" si="111"/>
        <v/>
      </c>
      <c r="Z92" s="155" t="str">
        <f t="shared" si="111"/>
        <v/>
      </c>
      <c r="AA92" s="155" t="str">
        <f t="shared" si="111"/>
        <v/>
      </c>
      <c r="AB92" s="155" t="str">
        <f t="shared" si="111"/>
        <v/>
      </c>
      <c r="AC92" s="155" t="str">
        <f t="shared" si="111"/>
        <v/>
      </c>
      <c r="AD92" s="155" t="str">
        <f t="shared" si="111"/>
        <v/>
      </c>
      <c r="AE92" s="137">
        <f t="shared" si="59"/>
        <v>0</v>
      </c>
      <c r="AF92" s="137">
        <f t="shared" si="60"/>
        <v>0</v>
      </c>
      <c r="AG92" s="137">
        <f t="shared" si="61"/>
        <v>0</v>
      </c>
      <c r="AH92" s="137">
        <f t="shared" si="62"/>
        <v>0</v>
      </c>
      <c r="AI92" s="137">
        <f t="shared" si="63"/>
        <v>0</v>
      </c>
      <c r="AJ92" s="137">
        <f t="shared" si="64"/>
        <v>0</v>
      </c>
      <c r="AK92" s="137">
        <f t="shared" si="65"/>
        <v>0</v>
      </c>
      <c r="AL92" s="137">
        <f t="shared" si="66"/>
        <v>0</v>
      </c>
      <c r="AM92" s="137">
        <f t="shared" si="67"/>
        <v>0</v>
      </c>
      <c r="AN92" s="137">
        <f t="shared" si="68"/>
        <v>0</v>
      </c>
      <c r="AO92" s="1201">
        <f t="shared" si="101"/>
        <v>0</v>
      </c>
      <c r="AP92" s="1201">
        <f t="shared" si="102"/>
        <v>0</v>
      </c>
      <c r="AQ92" s="1201">
        <f t="shared" si="103"/>
        <v>0</v>
      </c>
      <c r="AR92" s="1201">
        <f t="shared" si="104"/>
        <v>0</v>
      </c>
      <c r="AS92" s="1201">
        <f t="shared" si="105"/>
        <v>0</v>
      </c>
      <c r="AT92" s="1201">
        <f t="shared" si="106"/>
        <v>0</v>
      </c>
      <c r="AU92" s="1201">
        <f t="shared" si="107"/>
        <v>0</v>
      </c>
      <c r="AV92" s="1201">
        <f t="shared" si="108"/>
        <v>0</v>
      </c>
      <c r="AW92" s="1201">
        <f t="shared" si="109"/>
        <v>0</v>
      </c>
      <c r="AX92" s="1201">
        <f t="shared" si="110"/>
        <v>0</v>
      </c>
    </row>
    <row r="93" spans="1:50" ht="15" outlineLevel="1" x14ac:dyDescent="0.25">
      <c r="B93" s="959" t="str">
        <f>'[11]COSTOS DEL PLAN'!B71</f>
        <v>REEMPLAZO CTs A NIVEL NACIONAL y PANAMA 230 y 115 KV</v>
      </c>
      <c r="C93" s="2"/>
      <c r="D93" s="2"/>
      <c r="E93" s="2"/>
      <c r="F93" s="2"/>
      <c r="G93" s="2"/>
      <c r="H93" s="1226">
        <v>0</v>
      </c>
      <c r="I93" s="1226">
        <v>0</v>
      </c>
      <c r="J93" s="1226">
        <f>IF(YEAR('[11]COSTOS DEL PLAN'!$P71)=J$7,'[11]COSTOS DEL PLAN'!$O71,)</f>
        <v>0</v>
      </c>
      <c r="K93" s="1226">
        <f>IF(YEAR('[11]COSTOS DEL PLAN'!$P71)=K$7,'[11]COSTOS DEL PLAN'!$O71,)</f>
        <v>0</v>
      </c>
      <c r="L93" s="1226">
        <f>IF(YEAR('[11]COSTOS DEL PLAN'!$P71)=L$7,'[11]COSTOS DEL PLAN'!$O71,)</f>
        <v>0</v>
      </c>
      <c r="M93" s="1226">
        <f>IF(YEAR('[11]COSTOS DEL PLAN'!$P71)=M$7,'[11]COSTOS DEL PLAN'!$O71,)</f>
        <v>0</v>
      </c>
      <c r="N93" s="1226">
        <f>IF(YEAR('[11]COSTOS DEL PLAN'!$P71)=N$7,'[11]COSTOS DEL PLAN'!$O71,)</f>
        <v>0</v>
      </c>
      <c r="O93" s="66">
        <f t="shared" si="99"/>
        <v>0</v>
      </c>
      <c r="P93" s="63"/>
      <c r="Q93" s="82">
        <f>'[11]COSTOS DEL PLAN'!P71</f>
        <v>45657</v>
      </c>
      <c r="R93" s="64"/>
      <c r="S93" s="82"/>
      <c r="T93" s="63"/>
      <c r="U93" s="155" t="str">
        <f t="shared" si="111"/>
        <v/>
      </c>
      <c r="V93" s="155" t="str">
        <f t="shared" si="111"/>
        <v/>
      </c>
      <c r="W93" s="155" t="str">
        <f t="shared" si="111"/>
        <v/>
      </c>
      <c r="X93" s="155">
        <f t="shared" si="111"/>
        <v>45657</v>
      </c>
      <c r="Y93" s="155" t="str">
        <f t="shared" si="111"/>
        <v/>
      </c>
      <c r="Z93" s="155" t="str">
        <f t="shared" si="111"/>
        <v/>
      </c>
      <c r="AA93" s="155" t="str">
        <f t="shared" si="111"/>
        <v/>
      </c>
      <c r="AB93" s="155" t="str">
        <f t="shared" si="111"/>
        <v/>
      </c>
      <c r="AC93" s="155" t="str">
        <f t="shared" si="111"/>
        <v/>
      </c>
      <c r="AD93" s="155" t="str">
        <f t="shared" si="111"/>
        <v/>
      </c>
      <c r="AE93" s="137">
        <f t="shared" si="59"/>
        <v>0</v>
      </c>
      <c r="AF93" s="137">
        <f t="shared" si="60"/>
        <v>0</v>
      </c>
      <c r="AG93" s="137">
        <f t="shared" si="61"/>
        <v>0</v>
      </c>
      <c r="AH93" s="137">
        <f t="shared" si="62"/>
        <v>0</v>
      </c>
      <c r="AI93" s="137">
        <f t="shared" si="63"/>
        <v>0</v>
      </c>
      <c r="AJ93" s="137">
        <f t="shared" si="64"/>
        <v>0</v>
      </c>
      <c r="AK93" s="137">
        <f t="shared" si="65"/>
        <v>0</v>
      </c>
      <c r="AL93" s="137">
        <f t="shared" si="66"/>
        <v>0</v>
      </c>
      <c r="AM93" s="137">
        <f t="shared" si="67"/>
        <v>0</v>
      </c>
      <c r="AN93" s="137">
        <f t="shared" si="68"/>
        <v>0</v>
      </c>
      <c r="AO93" s="1201">
        <f t="shared" si="101"/>
        <v>0</v>
      </c>
      <c r="AP93" s="1201">
        <f t="shared" si="102"/>
        <v>0</v>
      </c>
      <c r="AQ93" s="1201">
        <f t="shared" si="103"/>
        <v>0</v>
      </c>
      <c r="AR93" s="1201">
        <f t="shared" si="104"/>
        <v>0</v>
      </c>
      <c r="AS93" s="1201">
        <f t="shared" si="105"/>
        <v>0</v>
      </c>
      <c r="AT93" s="1201">
        <f t="shared" si="106"/>
        <v>0</v>
      </c>
      <c r="AU93" s="1201">
        <f t="shared" si="107"/>
        <v>0</v>
      </c>
      <c r="AV93" s="1201">
        <f t="shared" si="108"/>
        <v>0</v>
      </c>
      <c r="AW93" s="1201">
        <f t="shared" si="109"/>
        <v>0</v>
      </c>
      <c r="AX93" s="1201">
        <f t="shared" si="110"/>
        <v>0</v>
      </c>
    </row>
    <row r="94" spans="1:50" ht="15" outlineLevel="1" x14ac:dyDescent="0.25">
      <c r="B94" s="729" t="str">
        <f>'[11]COSTOS DEL PLAN'!B72</f>
        <v>REPOSICION DE RECTIFICADORES DE 125 VDC PARA LAS SUBESTACIONES DE MATA DEL NANCE, CAÑAZAS, CHANGUINOLA, PROGRESO Y GUASQUITA</v>
      </c>
      <c r="C94" s="2"/>
      <c r="D94" s="2"/>
      <c r="E94" s="2"/>
      <c r="F94" s="2"/>
      <c r="G94" s="2"/>
      <c r="H94" s="1226">
        <v>0</v>
      </c>
      <c r="I94" s="1226">
        <v>0</v>
      </c>
      <c r="J94" s="1226">
        <f>IF(YEAR('[11]COSTOS DEL PLAN'!$P72)=J$7,'[11]COSTOS DEL PLAN'!$O72,)</f>
        <v>0</v>
      </c>
      <c r="K94" s="1226">
        <f>IF(YEAR('[11]COSTOS DEL PLAN'!$P72)=K$7,'[11]COSTOS DEL PLAN'!$O72,)</f>
        <v>0</v>
      </c>
      <c r="L94" s="1226">
        <f>IF(YEAR('[11]COSTOS DEL PLAN'!$P72)=L$7,'[11]COSTOS DEL PLAN'!$O72,)</f>
        <v>0</v>
      </c>
      <c r="M94" s="1226">
        <f>IF(YEAR('[11]COSTOS DEL PLAN'!$P72)=M$7,'[11]COSTOS DEL PLAN'!$O72,)</f>
        <v>0</v>
      </c>
      <c r="N94" s="1226">
        <f>IF(YEAR('[11]COSTOS DEL PLAN'!$P72)=N$7,'[11]COSTOS DEL PLAN'!$O72,)</f>
        <v>0</v>
      </c>
      <c r="O94" s="66">
        <f t="shared" si="99"/>
        <v>0</v>
      </c>
      <c r="P94" s="63"/>
      <c r="Q94" s="82">
        <f>'[11]COSTOS DEL PLAN'!P72</f>
        <v>45657</v>
      </c>
      <c r="R94" s="64"/>
      <c r="S94" s="82"/>
      <c r="T94" s="63"/>
      <c r="U94" s="155" t="str">
        <f t="shared" si="111"/>
        <v/>
      </c>
      <c r="V94" s="155" t="str">
        <f t="shared" si="111"/>
        <v/>
      </c>
      <c r="W94" s="155" t="str">
        <f t="shared" si="111"/>
        <v/>
      </c>
      <c r="X94" s="155">
        <f t="shared" si="111"/>
        <v>45657</v>
      </c>
      <c r="Y94" s="155" t="str">
        <f t="shared" si="111"/>
        <v/>
      </c>
      <c r="Z94" s="155" t="str">
        <f t="shared" si="111"/>
        <v/>
      </c>
      <c r="AA94" s="155" t="str">
        <f t="shared" si="111"/>
        <v/>
      </c>
      <c r="AB94" s="155" t="str">
        <f t="shared" si="111"/>
        <v/>
      </c>
      <c r="AC94" s="155" t="str">
        <f t="shared" si="111"/>
        <v/>
      </c>
      <c r="AD94" s="155" t="str">
        <f t="shared" si="111"/>
        <v/>
      </c>
      <c r="AE94" s="137">
        <f t="shared" si="59"/>
        <v>0</v>
      </c>
      <c r="AF94" s="137">
        <f t="shared" si="60"/>
        <v>0</v>
      </c>
      <c r="AG94" s="137">
        <f t="shared" si="61"/>
        <v>0</v>
      </c>
      <c r="AH94" s="137">
        <f t="shared" si="62"/>
        <v>0</v>
      </c>
      <c r="AI94" s="137">
        <f t="shared" si="63"/>
        <v>0</v>
      </c>
      <c r="AJ94" s="137">
        <f t="shared" si="64"/>
        <v>0</v>
      </c>
      <c r="AK94" s="137">
        <f t="shared" si="65"/>
        <v>0</v>
      </c>
      <c r="AL94" s="137">
        <f t="shared" si="66"/>
        <v>0</v>
      </c>
      <c r="AM94" s="137">
        <f t="shared" si="67"/>
        <v>0</v>
      </c>
      <c r="AN94" s="137">
        <f t="shared" si="68"/>
        <v>0</v>
      </c>
      <c r="AO94" s="1201">
        <f t="shared" si="101"/>
        <v>0</v>
      </c>
      <c r="AP94" s="1201">
        <f t="shared" si="102"/>
        <v>0</v>
      </c>
      <c r="AQ94" s="1201">
        <f t="shared" si="103"/>
        <v>0</v>
      </c>
      <c r="AR94" s="1201">
        <f t="shared" si="104"/>
        <v>0</v>
      </c>
      <c r="AS94" s="1201">
        <f t="shared" si="105"/>
        <v>0</v>
      </c>
      <c r="AT94" s="1201">
        <f t="shared" si="106"/>
        <v>0</v>
      </c>
      <c r="AU94" s="1201">
        <f t="shared" si="107"/>
        <v>0</v>
      </c>
      <c r="AV94" s="1201">
        <f t="shared" si="108"/>
        <v>0</v>
      </c>
      <c r="AW94" s="1201">
        <f t="shared" si="109"/>
        <v>0</v>
      </c>
      <c r="AX94" s="1201">
        <f t="shared" si="110"/>
        <v>0</v>
      </c>
    </row>
    <row r="95" spans="1:50" ht="15" outlineLevel="1" x14ac:dyDescent="0.25">
      <c r="B95" s="729" t="str">
        <f>'[11]COSTOS DEL PLAN'!B73</f>
        <v>REEMPLAZO CUCHILLAS MANUALES S/E LLANO SANCHEZ 230 KV</v>
      </c>
      <c r="C95" s="2"/>
      <c r="D95" s="2"/>
      <c r="E95" s="2"/>
      <c r="F95" s="2"/>
      <c r="G95" s="2"/>
      <c r="H95" s="1226">
        <v>0</v>
      </c>
      <c r="I95" s="1226">
        <v>0</v>
      </c>
      <c r="J95" s="1226">
        <f>IF(YEAR('[11]COSTOS DEL PLAN'!$P73)=J$7,'[11]COSTOS DEL PLAN'!$O73,)</f>
        <v>0</v>
      </c>
      <c r="K95" s="1226">
        <f>IF(YEAR('[11]COSTOS DEL PLAN'!$P73)=K$7,'[11]COSTOS DEL PLAN'!$O73,)</f>
        <v>0</v>
      </c>
      <c r="L95" s="1226">
        <f>IF(YEAR('[11]COSTOS DEL PLAN'!$P73)=L$7,'[11]COSTOS DEL PLAN'!$O73,)</f>
        <v>0</v>
      </c>
      <c r="M95" s="1226">
        <f>IF(YEAR('[11]COSTOS DEL PLAN'!$P73)=M$7,'[11]COSTOS DEL PLAN'!$O73,)</f>
        <v>0</v>
      </c>
      <c r="N95" s="1226">
        <f>IF(YEAR('[11]COSTOS DEL PLAN'!$P73)=N$7,'[11]COSTOS DEL PLAN'!$O73,)</f>
        <v>0</v>
      </c>
      <c r="O95" s="66">
        <f t="shared" si="99"/>
        <v>0</v>
      </c>
      <c r="P95" s="63"/>
      <c r="Q95" s="82">
        <f>'[11]COSTOS DEL PLAN'!P73</f>
        <v>45657</v>
      </c>
      <c r="R95" s="64"/>
      <c r="S95" s="82"/>
      <c r="T95" s="63"/>
      <c r="U95" s="155" t="str">
        <f t="shared" si="111"/>
        <v/>
      </c>
      <c r="V95" s="155" t="str">
        <f t="shared" si="111"/>
        <v/>
      </c>
      <c r="W95" s="155" t="str">
        <f t="shared" si="111"/>
        <v/>
      </c>
      <c r="X95" s="155">
        <f t="shared" si="111"/>
        <v>45657</v>
      </c>
      <c r="Y95" s="155" t="str">
        <f t="shared" si="111"/>
        <v/>
      </c>
      <c r="Z95" s="155" t="str">
        <f t="shared" si="111"/>
        <v/>
      </c>
      <c r="AA95" s="155" t="str">
        <f t="shared" si="111"/>
        <v/>
      </c>
      <c r="AB95" s="155" t="str">
        <f t="shared" si="111"/>
        <v/>
      </c>
      <c r="AC95" s="155" t="str">
        <f t="shared" si="111"/>
        <v/>
      </c>
      <c r="AD95" s="155" t="str">
        <f t="shared" si="111"/>
        <v/>
      </c>
      <c r="AE95" s="137">
        <f t="shared" si="59"/>
        <v>0</v>
      </c>
      <c r="AF95" s="137">
        <f t="shared" si="60"/>
        <v>0</v>
      </c>
      <c r="AG95" s="137">
        <f t="shared" si="61"/>
        <v>0</v>
      </c>
      <c r="AH95" s="137">
        <f t="shared" si="62"/>
        <v>0</v>
      </c>
      <c r="AI95" s="137">
        <f t="shared" si="63"/>
        <v>0</v>
      </c>
      <c r="AJ95" s="137">
        <f t="shared" si="64"/>
        <v>0</v>
      </c>
      <c r="AK95" s="137">
        <f t="shared" si="65"/>
        <v>0</v>
      </c>
      <c r="AL95" s="137">
        <f t="shared" si="66"/>
        <v>0</v>
      </c>
      <c r="AM95" s="137">
        <f t="shared" si="67"/>
        <v>0</v>
      </c>
      <c r="AN95" s="137">
        <f t="shared" si="68"/>
        <v>0</v>
      </c>
      <c r="AO95" s="1201">
        <f t="shared" si="101"/>
        <v>0</v>
      </c>
      <c r="AP95" s="1201">
        <f t="shared" si="102"/>
        <v>0</v>
      </c>
      <c r="AQ95" s="1201">
        <f t="shared" si="103"/>
        <v>0</v>
      </c>
      <c r="AR95" s="1201">
        <f t="shared" si="104"/>
        <v>0</v>
      </c>
      <c r="AS95" s="1201">
        <f t="shared" si="105"/>
        <v>0</v>
      </c>
      <c r="AT95" s="1201">
        <f t="shared" si="106"/>
        <v>0</v>
      </c>
      <c r="AU95" s="1201">
        <f t="shared" si="107"/>
        <v>0</v>
      </c>
      <c r="AV95" s="1201">
        <f t="shared" si="108"/>
        <v>0</v>
      </c>
      <c r="AW95" s="1201">
        <f t="shared" si="109"/>
        <v>0</v>
      </c>
      <c r="AX95" s="1201">
        <f t="shared" si="110"/>
        <v>0</v>
      </c>
    </row>
    <row r="96" spans="1:50" ht="15" outlineLevel="1" x14ac:dyDescent="0.25">
      <c r="B96" s="729" t="str">
        <f>'[11]COSTOS DEL PLAN'!B74</f>
        <v>REEMPLAZO DE CUCHILLAS MOTORIZADAS DE S/E MATA DE NANCE 230 Y 115 KV</v>
      </c>
      <c r="C96" s="2"/>
      <c r="D96" s="2"/>
      <c r="E96" s="2"/>
      <c r="F96" s="2"/>
      <c r="G96" s="2"/>
      <c r="H96" s="1226">
        <v>0</v>
      </c>
      <c r="I96" s="1226">
        <v>0</v>
      </c>
      <c r="J96" s="1226">
        <f>IF(YEAR('[11]COSTOS DEL PLAN'!$P74)=J$7,'[11]COSTOS DEL PLAN'!$O74,)</f>
        <v>0</v>
      </c>
      <c r="K96" s="1226">
        <f>IF(YEAR('[11]COSTOS DEL PLAN'!$P74)=K$7,'[11]COSTOS DEL PLAN'!$O74,)</f>
        <v>0</v>
      </c>
      <c r="L96" s="1226">
        <f>IF(YEAR('[11]COSTOS DEL PLAN'!$P74)=L$7,'[11]COSTOS DEL PLAN'!$O74,)</f>
        <v>0</v>
      </c>
      <c r="M96" s="1226">
        <f>IF(YEAR('[11]COSTOS DEL PLAN'!$P74)=M$7,'[11]COSTOS DEL PLAN'!$O74,)</f>
        <v>0</v>
      </c>
      <c r="N96" s="1226">
        <f>IF(YEAR('[11]COSTOS DEL PLAN'!$P74)=N$7,'[11]COSTOS DEL PLAN'!$O74,)</f>
        <v>0</v>
      </c>
      <c r="O96" s="66">
        <f t="shared" si="99"/>
        <v>0</v>
      </c>
      <c r="P96" s="63"/>
      <c r="Q96" s="82">
        <f>'[11]COSTOS DEL PLAN'!P74</f>
        <v>45657</v>
      </c>
      <c r="R96" s="64"/>
      <c r="S96" s="82"/>
      <c r="T96" s="63"/>
      <c r="U96" s="155" t="str">
        <f t="shared" si="111"/>
        <v/>
      </c>
      <c r="V96" s="155" t="str">
        <f t="shared" si="111"/>
        <v/>
      </c>
      <c r="W96" s="155" t="str">
        <f t="shared" si="111"/>
        <v/>
      </c>
      <c r="X96" s="155">
        <f t="shared" si="111"/>
        <v>45657</v>
      </c>
      <c r="Y96" s="155" t="str">
        <f t="shared" si="111"/>
        <v/>
      </c>
      <c r="Z96" s="155" t="str">
        <f t="shared" si="111"/>
        <v/>
      </c>
      <c r="AA96" s="155" t="str">
        <f t="shared" si="111"/>
        <v/>
      </c>
      <c r="AB96" s="155" t="str">
        <f t="shared" si="111"/>
        <v/>
      </c>
      <c r="AC96" s="155" t="str">
        <f t="shared" si="111"/>
        <v/>
      </c>
      <c r="AD96" s="155" t="str">
        <f t="shared" si="111"/>
        <v/>
      </c>
      <c r="AE96" s="137">
        <f t="shared" si="59"/>
        <v>0</v>
      </c>
      <c r="AF96" s="137">
        <f t="shared" si="60"/>
        <v>0</v>
      </c>
      <c r="AG96" s="137">
        <f t="shared" si="61"/>
        <v>0</v>
      </c>
      <c r="AH96" s="137">
        <f t="shared" si="62"/>
        <v>0</v>
      </c>
      <c r="AI96" s="137">
        <f t="shared" si="63"/>
        <v>0</v>
      </c>
      <c r="AJ96" s="137">
        <f t="shared" si="64"/>
        <v>0</v>
      </c>
      <c r="AK96" s="137">
        <f t="shared" si="65"/>
        <v>0</v>
      </c>
      <c r="AL96" s="137">
        <f t="shared" si="66"/>
        <v>0</v>
      </c>
      <c r="AM96" s="137">
        <f t="shared" si="67"/>
        <v>0</v>
      </c>
      <c r="AN96" s="137">
        <f t="shared" si="68"/>
        <v>0</v>
      </c>
      <c r="AO96" s="1201">
        <f t="shared" si="101"/>
        <v>0</v>
      </c>
      <c r="AP96" s="1201">
        <f t="shared" si="102"/>
        <v>0</v>
      </c>
      <c r="AQ96" s="1201">
        <f t="shared" si="103"/>
        <v>0</v>
      </c>
      <c r="AR96" s="1201">
        <f t="shared" si="104"/>
        <v>0</v>
      </c>
      <c r="AS96" s="1201">
        <f t="shared" si="105"/>
        <v>0</v>
      </c>
      <c r="AT96" s="1201">
        <f t="shared" si="106"/>
        <v>0</v>
      </c>
      <c r="AU96" s="1201">
        <f t="shared" si="107"/>
        <v>0</v>
      </c>
      <c r="AV96" s="1201">
        <f t="shared" si="108"/>
        <v>0</v>
      </c>
      <c r="AW96" s="1201">
        <f t="shared" si="109"/>
        <v>0</v>
      </c>
      <c r="AX96" s="1201">
        <f t="shared" si="110"/>
        <v>0</v>
      </c>
    </row>
    <row r="97" spans="2:50" ht="15" outlineLevel="1" x14ac:dyDescent="0.25">
      <c r="B97" s="729" t="str">
        <f>'[11]COSTOS DEL PLAN'!B75</f>
        <v>REEMPLAZO TRANSFORMADOR DE TIERRA S/E LLANO SANCHEZ</v>
      </c>
      <c r="C97" s="2"/>
      <c r="D97" s="2"/>
      <c r="E97" s="2"/>
      <c r="F97" s="2"/>
      <c r="G97" s="2"/>
      <c r="H97" s="1226">
        <v>0</v>
      </c>
      <c r="I97" s="1226">
        <v>0</v>
      </c>
      <c r="J97" s="1226">
        <f>IF(YEAR('[11]COSTOS DEL PLAN'!$P75)=J$7,'[11]COSTOS DEL PLAN'!$O75,)</f>
        <v>0</v>
      </c>
      <c r="K97" s="1226">
        <f>IF(YEAR('[11]COSTOS DEL PLAN'!$P75)=K$7,'[11]COSTOS DEL PLAN'!$O75,)</f>
        <v>0</v>
      </c>
      <c r="L97" s="1226">
        <f>IF(YEAR('[11]COSTOS DEL PLAN'!$P75)=L$7,'[11]COSTOS DEL PLAN'!$O75,)</f>
        <v>0</v>
      </c>
      <c r="M97" s="1226">
        <f>IF(YEAR('[11]COSTOS DEL PLAN'!$P75)=M$7,'[11]COSTOS DEL PLAN'!$O75,)</f>
        <v>0</v>
      </c>
      <c r="N97" s="1226">
        <f>IF(YEAR('[11]COSTOS DEL PLAN'!$P75)=N$7,'[11]COSTOS DEL PLAN'!$O75,)</f>
        <v>0</v>
      </c>
      <c r="O97" s="66">
        <f t="shared" si="99"/>
        <v>0</v>
      </c>
      <c r="P97" s="63"/>
      <c r="Q97" s="82">
        <f>'[11]COSTOS DEL PLAN'!P75</f>
        <v>45657</v>
      </c>
      <c r="R97" s="64"/>
      <c r="S97" s="82"/>
      <c r="T97" s="63"/>
      <c r="U97" s="155" t="str">
        <f t="shared" si="111"/>
        <v/>
      </c>
      <c r="V97" s="155" t="str">
        <f t="shared" si="111"/>
        <v/>
      </c>
      <c r="W97" s="155" t="str">
        <f t="shared" si="111"/>
        <v/>
      </c>
      <c r="X97" s="155">
        <f t="shared" si="111"/>
        <v>45657</v>
      </c>
      <c r="Y97" s="155" t="str">
        <f t="shared" si="111"/>
        <v/>
      </c>
      <c r="Z97" s="155" t="str">
        <f t="shared" si="111"/>
        <v/>
      </c>
      <c r="AA97" s="155" t="str">
        <f t="shared" si="111"/>
        <v/>
      </c>
      <c r="AB97" s="155" t="str">
        <f t="shared" si="111"/>
        <v/>
      </c>
      <c r="AC97" s="155" t="str">
        <f t="shared" si="111"/>
        <v/>
      </c>
      <c r="AD97" s="155" t="str">
        <f t="shared" si="111"/>
        <v/>
      </c>
      <c r="AE97" s="137">
        <f t="shared" si="59"/>
        <v>0</v>
      </c>
      <c r="AF97" s="137">
        <f t="shared" si="60"/>
        <v>0</v>
      </c>
      <c r="AG97" s="137">
        <f t="shared" si="61"/>
        <v>0</v>
      </c>
      <c r="AH97" s="137">
        <f t="shared" si="62"/>
        <v>0</v>
      </c>
      <c r="AI97" s="137">
        <f t="shared" si="63"/>
        <v>0</v>
      </c>
      <c r="AJ97" s="137">
        <f t="shared" si="64"/>
        <v>0</v>
      </c>
      <c r="AK97" s="137">
        <f t="shared" si="65"/>
        <v>0</v>
      </c>
      <c r="AL97" s="137">
        <f t="shared" si="66"/>
        <v>0</v>
      </c>
      <c r="AM97" s="137">
        <f t="shared" si="67"/>
        <v>0</v>
      </c>
      <c r="AN97" s="137">
        <f t="shared" si="68"/>
        <v>0</v>
      </c>
      <c r="AO97" s="1201">
        <f t="shared" si="101"/>
        <v>0</v>
      </c>
      <c r="AP97" s="1201">
        <f t="shared" si="102"/>
        <v>0</v>
      </c>
      <c r="AQ97" s="1201">
        <f t="shared" si="103"/>
        <v>0</v>
      </c>
      <c r="AR97" s="1201">
        <f t="shared" si="104"/>
        <v>0</v>
      </c>
      <c r="AS97" s="1201">
        <f t="shared" si="105"/>
        <v>0</v>
      </c>
      <c r="AT97" s="1201">
        <f t="shared" si="106"/>
        <v>0</v>
      </c>
      <c r="AU97" s="1201">
        <f t="shared" si="107"/>
        <v>0</v>
      </c>
      <c r="AV97" s="1201">
        <f t="shared" si="108"/>
        <v>0</v>
      </c>
      <c r="AW97" s="1201">
        <f t="shared" si="109"/>
        <v>0</v>
      </c>
      <c r="AX97" s="1201">
        <f t="shared" si="110"/>
        <v>0</v>
      </c>
    </row>
    <row r="98" spans="2:50" ht="15" outlineLevel="1" x14ac:dyDescent="0.25">
      <c r="B98" s="729" t="str">
        <f>'[11]COSTOS DEL PLAN'!B76</f>
        <v>REEMPLAZO DEL TRANSFORMADOR DE SERVICIOS AUXILIARES S/E LLANO SÁNCHEZ</v>
      </c>
      <c r="C98" s="2"/>
      <c r="D98" s="2"/>
      <c r="E98" s="2"/>
      <c r="F98" s="2"/>
      <c r="G98" s="2"/>
      <c r="H98" s="1226">
        <v>0</v>
      </c>
      <c r="I98" s="1226">
        <v>0</v>
      </c>
      <c r="J98" s="1226">
        <f>IF(YEAR('[11]COSTOS DEL PLAN'!$P76)=J$7,'[11]COSTOS DEL PLAN'!$O76,)</f>
        <v>0</v>
      </c>
      <c r="K98" s="1226">
        <f>IF(YEAR('[11]COSTOS DEL PLAN'!$P76)=K$7,'[11]COSTOS DEL PLAN'!$O76,)</f>
        <v>0</v>
      </c>
      <c r="L98" s="1226">
        <f>IF(YEAR('[11]COSTOS DEL PLAN'!$P76)=L$7,'[11]COSTOS DEL PLAN'!$O76,)</f>
        <v>0</v>
      </c>
      <c r="M98" s="1226">
        <f>IF(YEAR('[11]COSTOS DEL PLAN'!$P76)=M$7,'[11]COSTOS DEL PLAN'!$O76,)</f>
        <v>0</v>
      </c>
      <c r="N98" s="1226">
        <f>IF(YEAR('[11]COSTOS DEL PLAN'!$P76)=N$7,'[11]COSTOS DEL PLAN'!$O76,)</f>
        <v>0</v>
      </c>
      <c r="O98" s="66">
        <f t="shared" si="99"/>
        <v>0</v>
      </c>
      <c r="P98" s="63"/>
      <c r="Q98" s="82">
        <f>'[11]COSTOS DEL PLAN'!P76</f>
        <v>45657</v>
      </c>
      <c r="R98" s="64"/>
      <c r="S98" s="82"/>
      <c r="T98" s="63"/>
      <c r="U98" s="155" t="str">
        <f t="shared" si="111"/>
        <v/>
      </c>
      <c r="V98" s="155" t="str">
        <f t="shared" si="111"/>
        <v/>
      </c>
      <c r="W98" s="155" t="str">
        <f t="shared" si="111"/>
        <v/>
      </c>
      <c r="X98" s="155">
        <f t="shared" si="111"/>
        <v>45657</v>
      </c>
      <c r="Y98" s="155" t="str">
        <f t="shared" si="111"/>
        <v/>
      </c>
      <c r="Z98" s="155" t="str">
        <f t="shared" si="111"/>
        <v/>
      </c>
      <c r="AA98" s="155" t="str">
        <f t="shared" si="111"/>
        <v/>
      </c>
      <c r="AB98" s="155" t="str">
        <f t="shared" si="111"/>
        <v/>
      </c>
      <c r="AC98" s="155" t="str">
        <f t="shared" si="111"/>
        <v/>
      </c>
      <c r="AD98" s="155" t="str">
        <f t="shared" si="111"/>
        <v/>
      </c>
      <c r="AE98" s="137">
        <f t="shared" si="59"/>
        <v>0</v>
      </c>
      <c r="AF98" s="137">
        <f t="shared" si="60"/>
        <v>0</v>
      </c>
      <c r="AG98" s="137">
        <f t="shared" si="61"/>
        <v>0</v>
      </c>
      <c r="AH98" s="137">
        <f t="shared" si="62"/>
        <v>0</v>
      </c>
      <c r="AI98" s="137">
        <f t="shared" si="63"/>
        <v>0</v>
      </c>
      <c r="AJ98" s="137">
        <f t="shared" si="64"/>
        <v>0</v>
      </c>
      <c r="AK98" s="137">
        <f t="shared" si="65"/>
        <v>0</v>
      </c>
      <c r="AL98" s="137">
        <f t="shared" si="66"/>
        <v>0</v>
      </c>
      <c r="AM98" s="137">
        <f t="shared" si="67"/>
        <v>0</v>
      </c>
      <c r="AN98" s="137">
        <f t="shared" si="68"/>
        <v>0</v>
      </c>
      <c r="AO98" s="1201">
        <f t="shared" si="101"/>
        <v>0</v>
      </c>
      <c r="AP98" s="1201">
        <f t="shared" si="102"/>
        <v>0</v>
      </c>
      <c r="AQ98" s="1201">
        <f t="shared" si="103"/>
        <v>0</v>
      </c>
      <c r="AR98" s="1201">
        <f t="shared" si="104"/>
        <v>0</v>
      </c>
      <c r="AS98" s="1201">
        <f t="shared" si="105"/>
        <v>0</v>
      </c>
      <c r="AT98" s="1201">
        <f t="shared" si="106"/>
        <v>0</v>
      </c>
      <c r="AU98" s="1201">
        <f t="shared" si="107"/>
        <v>0</v>
      </c>
      <c r="AV98" s="1201">
        <f t="shared" si="108"/>
        <v>0</v>
      </c>
      <c r="AW98" s="1201">
        <f t="shared" si="109"/>
        <v>0</v>
      </c>
      <c r="AX98" s="1201">
        <f t="shared" si="110"/>
        <v>0</v>
      </c>
    </row>
    <row r="99" spans="2:50" ht="15" outlineLevel="1" x14ac:dyDescent="0.25">
      <c r="B99" s="729" t="str">
        <f>'[11]COSTOS DEL PLAN'!B77</f>
        <v>EQUIPO ANALIZADOR PORTÁTIL DE DESCARGAS PARCIALES</v>
      </c>
      <c r="C99" s="2"/>
      <c r="D99" s="2"/>
      <c r="E99" s="2"/>
      <c r="F99" s="2"/>
      <c r="G99" s="2"/>
      <c r="H99" s="1226">
        <v>0</v>
      </c>
      <c r="I99" s="1226">
        <v>0</v>
      </c>
      <c r="J99" s="1226">
        <f>IF(YEAR('[11]COSTOS DEL PLAN'!$P77)=J$7,'[11]COSTOS DEL PLAN'!$O77,)</f>
        <v>0</v>
      </c>
      <c r="K99" s="1226">
        <f>IF(YEAR('[11]COSTOS DEL PLAN'!$P77)=K$7,'[11]COSTOS DEL PLAN'!$O77,)</f>
        <v>0</v>
      </c>
      <c r="L99" s="1226">
        <f>IF(YEAR('[11]COSTOS DEL PLAN'!$P77)=L$7,'[11]COSTOS DEL PLAN'!$O77,)</f>
        <v>0</v>
      </c>
      <c r="M99" s="1226">
        <f>IF(YEAR('[11]COSTOS DEL PLAN'!$P77)=M$7,'[11]COSTOS DEL PLAN'!$O77,)</f>
        <v>0</v>
      </c>
      <c r="N99" s="1226">
        <f>IF(YEAR('[11]COSTOS DEL PLAN'!$P77)=N$7,'[11]COSTOS DEL PLAN'!$O77,)</f>
        <v>0</v>
      </c>
      <c r="O99" s="66">
        <f t="shared" si="99"/>
        <v>0</v>
      </c>
      <c r="P99" s="63"/>
      <c r="Q99" s="82">
        <f>'[11]COSTOS DEL PLAN'!P77</f>
        <v>45657</v>
      </c>
      <c r="R99" s="64"/>
      <c r="S99" s="82"/>
      <c r="T99" s="63"/>
      <c r="U99" s="155" t="str">
        <f t="shared" si="111"/>
        <v/>
      </c>
      <c r="V99" s="155" t="str">
        <f t="shared" si="111"/>
        <v/>
      </c>
      <c r="W99" s="155" t="str">
        <f t="shared" si="111"/>
        <v/>
      </c>
      <c r="X99" s="155">
        <f t="shared" si="111"/>
        <v>45657</v>
      </c>
      <c r="Y99" s="155" t="str">
        <f t="shared" si="111"/>
        <v/>
      </c>
      <c r="Z99" s="155" t="str">
        <f t="shared" si="111"/>
        <v/>
      </c>
      <c r="AA99" s="155" t="str">
        <f t="shared" si="111"/>
        <v/>
      </c>
      <c r="AB99" s="155" t="str">
        <f t="shared" si="111"/>
        <v/>
      </c>
      <c r="AC99" s="155" t="str">
        <f t="shared" si="111"/>
        <v/>
      </c>
      <c r="AD99" s="155" t="str">
        <f t="shared" si="111"/>
        <v/>
      </c>
      <c r="AE99" s="137">
        <f t="shared" si="59"/>
        <v>0</v>
      </c>
      <c r="AF99" s="137">
        <f t="shared" si="60"/>
        <v>0</v>
      </c>
      <c r="AG99" s="137">
        <f t="shared" si="61"/>
        <v>0</v>
      </c>
      <c r="AH99" s="137">
        <f t="shared" si="62"/>
        <v>0</v>
      </c>
      <c r="AI99" s="137">
        <f t="shared" si="63"/>
        <v>0</v>
      </c>
      <c r="AJ99" s="137">
        <f t="shared" si="64"/>
        <v>0</v>
      </c>
      <c r="AK99" s="137">
        <f t="shared" si="65"/>
        <v>0</v>
      </c>
      <c r="AL99" s="137">
        <f t="shared" si="66"/>
        <v>0</v>
      </c>
      <c r="AM99" s="137">
        <f t="shared" si="67"/>
        <v>0</v>
      </c>
      <c r="AN99" s="137">
        <f t="shared" si="68"/>
        <v>0</v>
      </c>
      <c r="AO99" s="1201">
        <f t="shared" si="101"/>
        <v>0</v>
      </c>
      <c r="AP99" s="1201">
        <f t="shared" si="102"/>
        <v>0</v>
      </c>
      <c r="AQ99" s="1201">
        <f t="shared" si="103"/>
        <v>0</v>
      </c>
      <c r="AR99" s="1201">
        <f t="shared" si="104"/>
        <v>0</v>
      </c>
      <c r="AS99" s="1201">
        <f t="shared" si="105"/>
        <v>0</v>
      </c>
      <c r="AT99" s="1201">
        <f t="shared" si="106"/>
        <v>0</v>
      </c>
      <c r="AU99" s="1201">
        <f t="shared" si="107"/>
        <v>0</v>
      </c>
      <c r="AV99" s="1201">
        <f t="shared" si="108"/>
        <v>0</v>
      </c>
      <c r="AW99" s="1201">
        <f t="shared" si="109"/>
        <v>0</v>
      </c>
      <c r="AX99" s="1201">
        <f t="shared" si="110"/>
        <v>0</v>
      </c>
    </row>
    <row r="100" spans="2:50" ht="15" outlineLevel="1" x14ac:dyDescent="0.25">
      <c r="B100" s="729" t="str">
        <f>'[11]COSTOS DEL PLAN'!B78</f>
        <v>ADQUISICIÓN DE EQUIPO PARA PRUEBAS A MUY BAJA FRECUENCIA A CABLES DE MEDIA TENSIÓN</v>
      </c>
      <c r="C100" s="2"/>
      <c r="D100" s="2"/>
      <c r="E100" s="2"/>
      <c r="F100" s="2"/>
      <c r="G100" s="2"/>
      <c r="H100" s="1226">
        <v>0</v>
      </c>
      <c r="I100" s="1226">
        <v>0</v>
      </c>
      <c r="J100" s="1226">
        <f>IF(YEAR('[11]COSTOS DEL PLAN'!$P78)=J$7,'[11]COSTOS DEL PLAN'!$O78,)</f>
        <v>0</v>
      </c>
      <c r="K100" s="1226">
        <f>IF(YEAR('[11]COSTOS DEL PLAN'!$P78)=K$7,'[11]COSTOS DEL PLAN'!$O78,)</f>
        <v>0</v>
      </c>
      <c r="L100" s="1226">
        <f>IF(YEAR('[11]COSTOS DEL PLAN'!$P78)=L$7,'[11]COSTOS DEL PLAN'!$O78,)</f>
        <v>0</v>
      </c>
      <c r="M100" s="1226">
        <f>IF(YEAR('[11]COSTOS DEL PLAN'!$P78)=M$7,'[11]COSTOS DEL PLAN'!$O78,)</f>
        <v>0</v>
      </c>
      <c r="N100" s="1226">
        <f>IF(YEAR('[11]COSTOS DEL PLAN'!$P78)=N$7,'[11]COSTOS DEL PLAN'!$O78,)</f>
        <v>0</v>
      </c>
      <c r="O100" s="66">
        <f t="shared" si="99"/>
        <v>0</v>
      </c>
      <c r="P100" s="63"/>
      <c r="Q100" s="82">
        <f>'[11]COSTOS DEL PLAN'!P78</f>
        <v>45657</v>
      </c>
      <c r="R100" s="64"/>
      <c r="S100" s="82"/>
      <c r="T100" s="63"/>
      <c r="U100" s="155" t="str">
        <f t="shared" si="111"/>
        <v/>
      </c>
      <c r="V100" s="155" t="str">
        <f t="shared" si="111"/>
        <v/>
      </c>
      <c r="W100" s="155" t="str">
        <f t="shared" si="111"/>
        <v/>
      </c>
      <c r="X100" s="155">
        <f t="shared" si="111"/>
        <v>45657</v>
      </c>
      <c r="Y100" s="155" t="str">
        <f t="shared" si="111"/>
        <v/>
      </c>
      <c r="Z100" s="155" t="str">
        <f t="shared" si="111"/>
        <v/>
      </c>
      <c r="AA100" s="155" t="str">
        <f t="shared" si="111"/>
        <v/>
      </c>
      <c r="AB100" s="155" t="str">
        <f t="shared" si="111"/>
        <v/>
      </c>
      <c r="AC100" s="155" t="str">
        <f t="shared" si="111"/>
        <v/>
      </c>
      <c r="AD100" s="155" t="str">
        <f t="shared" si="111"/>
        <v/>
      </c>
      <c r="AE100" s="137">
        <f t="shared" si="59"/>
        <v>0</v>
      </c>
      <c r="AF100" s="137">
        <f t="shared" si="60"/>
        <v>0</v>
      </c>
      <c r="AG100" s="137">
        <f t="shared" si="61"/>
        <v>0</v>
      </c>
      <c r="AH100" s="137">
        <f t="shared" si="62"/>
        <v>0</v>
      </c>
      <c r="AI100" s="137">
        <f t="shared" si="63"/>
        <v>0</v>
      </c>
      <c r="AJ100" s="137">
        <f t="shared" si="64"/>
        <v>0</v>
      </c>
      <c r="AK100" s="137">
        <f t="shared" si="65"/>
        <v>0</v>
      </c>
      <c r="AL100" s="137">
        <f t="shared" si="66"/>
        <v>0</v>
      </c>
      <c r="AM100" s="137">
        <f t="shared" si="67"/>
        <v>0</v>
      </c>
      <c r="AN100" s="137">
        <f t="shared" si="68"/>
        <v>0</v>
      </c>
      <c r="AO100" s="1201">
        <f t="shared" si="101"/>
        <v>0</v>
      </c>
      <c r="AP100" s="1201">
        <f t="shared" si="102"/>
        <v>0</v>
      </c>
      <c r="AQ100" s="1201">
        <f t="shared" si="103"/>
        <v>0</v>
      </c>
      <c r="AR100" s="1201">
        <f t="shared" si="104"/>
        <v>0</v>
      </c>
      <c r="AS100" s="1201">
        <f t="shared" si="105"/>
        <v>0</v>
      </c>
      <c r="AT100" s="1201">
        <f t="shared" si="106"/>
        <v>0</v>
      </c>
      <c r="AU100" s="1201">
        <f t="shared" si="107"/>
        <v>0</v>
      </c>
      <c r="AV100" s="1201">
        <f t="shared" si="108"/>
        <v>0</v>
      </c>
      <c r="AW100" s="1201">
        <f t="shared" si="109"/>
        <v>0</v>
      </c>
      <c r="AX100" s="1201">
        <f t="shared" si="110"/>
        <v>0</v>
      </c>
    </row>
    <row r="101" spans="2:50" ht="15" outlineLevel="1" x14ac:dyDescent="0.25">
      <c r="B101" s="729" t="str">
        <f>'[11]COSTOS DEL PLAN'!B79</f>
        <v>IMPLEMENTACIÓN DE LABORATORIO DE PRUEBAS Y MEDICIONES</v>
      </c>
      <c r="C101" s="2"/>
      <c r="D101" s="2"/>
      <c r="E101" s="2"/>
      <c r="F101" s="2"/>
      <c r="G101" s="2"/>
      <c r="H101" s="1226">
        <v>0</v>
      </c>
      <c r="I101" s="1226">
        <v>0</v>
      </c>
      <c r="J101" s="1226">
        <f>IF(YEAR('[11]COSTOS DEL PLAN'!$P79)=J$7,'[11]COSTOS DEL PLAN'!$O79,)</f>
        <v>0</v>
      </c>
      <c r="K101" s="1226">
        <f>IF(YEAR('[11]COSTOS DEL PLAN'!$P79)=K$7,'[11]COSTOS DEL PLAN'!$O79,)</f>
        <v>0</v>
      </c>
      <c r="L101" s="1226">
        <f>IF(YEAR('[11]COSTOS DEL PLAN'!$P79)=L$7,'[11]COSTOS DEL PLAN'!$O79,)</f>
        <v>0</v>
      </c>
      <c r="M101" s="1226">
        <f>IF(YEAR('[11]COSTOS DEL PLAN'!$P79)=M$7,'[11]COSTOS DEL PLAN'!$O79,)</f>
        <v>0</v>
      </c>
      <c r="N101" s="1226">
        <f>IF(YEAR('[11]COSTOS DEL PLAN'!$P79)=N$7,'[11]COSTOS DEL PLAN'!$O79,)</f>
        <v>0</v>
      </c>
      <c r="O101" s="66">
        <f t="shared" si="99"/>
        <v>0</v>
      </c>
      <c r="P101" s="63"/>
      <c r="Q101" s="82">
        <f>'[11]COSTOS DEL PLAN'!P79</f>
        <v>45657</v>
      </c>
      <c r="R101" s="64"/>
      <c r="S101" s="82"/>
      <c r="T101" s="63"/>
      <c r="U101" s="155" t="str">
        <f t="shared" si="111"/>
        <v/>
      </c>
      <c r="V101" s="155" t="str">
        <f t="shared" si="111"/>
        <v/>
      </c>
      <c r="W101" s="155" t="str">
        <f t="shared" si="111"/>
        <v/>
      </c>
      <c r="X101" s="155">
        <f t="shared" si="111"/>
        <v>45657</v>
      </c>
      <c r="Y101" s="155" t="str">
        <f t="shared" si="111"/>
        <v/>
      </c>
      <c r="Z101" s="155" t="str">
        <f t="shared" si="111"/>
        <v/>
      </c>
      <c r="AA101" s="155" t="str">
        <f t="shared" si="111"/>
        <v/>
      </c>
      <c r="AB101" s="155" t="str">
        <f t="shared" si="111"/>
        <v/>
      </c>
      <c r="AC101" s="155" t="str">
        <f t="shared" si="111"/>
        <v/>
      </c>
      <c r="AD101" s="155" t="str">
        <f t="shared" si="111"/>
        <v/>
      </c>
      <c r="AE101" s="137">
        <f t="shared" si="59"/>
        <v>0</v>
      </c>
      <c r="AF101" s="137">
        <f t="shared" si="60"/>
        <v>0</v>
      </c>
      <c r="AG101" s="137">
        <f t="shared" si="61"/>
        <v>0</v>
      </c>
      <c r="AH101" s="137">
        <f t="shared" si="62"/>
        <v>0</v>
      </c>
      <c r="AI101" s="137">
        <f t="shared" si="63"/>
        <v>0</v>
      </c>
      <c r="AJ101" s="137">
        <f t="shared" si="64"/>
        <v>0</v>
      </c>
      <c r="AK101" s="137">
        <f t="shared" si="65"/>
        <v>0</v>
      </c>
      <c r="AL101" s="137">
        <f t="shared" si="66"/>
        <v>0</v>
      </c>
      <c r="AM101" s="137">
        <f t="shared" si="67"/>
        <v>0</v>
      </c>
      <c r="AN101" s="137">
        <f t="shared" si="68"/>
        <v>0</v>
      </c>
      <c r="AO101" s="1201">
        <f t="shared" si="101"/>
        <v>0</v>
      </c>
      <c r="AP101" s="1201">
        <f t="shared" si="102"/>
        <v>0</v>
      </c>
      <c r="AQ101" s="1201">
        <f t="shared" si="103"/>
        <v>0</v>
      </c>
      <c r="AR101" s="1201">
        <f t="shared" si="104"/>
        <v>0</v>
      </c>
      <c r="AS101" s="1201">
        <f t="shared" si="105"/>
        <v>0</v>
      </c>
      <c r="AT101" s="1201">
        <f t="shared" si="106"/>
        <v>0</v>
      </c>
      <c r="AU101" s="1201">
        <f t="shared" si="107"/>
        <v>0</v>
      </c>
      <c r="AV101" s="1201">
        <f t="shared" si="108"/>
        <v>0</v>
      </c>
      <c r="AW101" s="1201">
        <f t="shared" si="109"/>
        <v>0</v>
      </c>
      <c r="AX101" s="1201">
        <f t="shared" si="110"/>
        <v>0</v>
      </c>
    </row>
    <row r="102" spans="2:50" ht="15" outlineLevel="1" x14ac:dyDescent="0.25">
      <c r="B102" s="729" t="str">
        <f>'[11]COSTOS DEL PLAN'!B80</f>
        <v>REEMPLAZO MAQUINA FILTRADORA Y REGENERADORA DE ACEITE DE TRANSF.</v>
      </c>
      <c r="C102" s="2"/>
      <c r="D102" s="2"/>
      <c r="E102" s="2"/>
      <c r="F102" s="2"/>
      <c r="G102" s="2"/>
      <c r="H102" s="1226">
        <v>0</v>
      </c>
      <c r="I102" s="1226">
        <v>0</v>
      </c>
      <c r="J102" s="1226">
        <f>IF(YEAR('[11]COSTOS DEL PLAN'!$P80)=J$7,'[11]COSTOS DEL PLAN'!$O80,)</f>
        <v>0</v>
      </c>
      <c r="K102" s="1226">
        <f>IF(YEAR('[11]COSTOS DEL PLAN'!$P80)=K$7,'[11]COSTOS DEL PLAN'!$O80,)</f>
        <v>0</v>
      </c>
      <c r="L102" s="1226">
        <f>IF(YEAR('[11]COSTOS DEL PLAN'!$P80)=L$7,'[11]COSTOS DEL PLAN'!$O80,)</f>
        <v>0</v>
      </c>
      <c r="M102" s="1226">
        <f>IF(YEAR('[11]COSTOS DEL PLAN'!$P80)=M$7,'[11]COSTOS DEL PLAN'!$O80,)</f>
        <v>0</v>
      </c>
      <c r="N102" s="1226">
        <f>IF(YEAR('[11]COSTOS DEL PLAN'!$P80)=N$7,'[11]COSTOS DEL PLAN'!$O80,)</f>
        <v>0</v>
      </c>
      <c r="O102" s="66">
        <f t="shared" si="99"/>
        <v>0</v>
      </c>
      <c r="P102" s="63"/>
      <c r="Q102" s="82">
        <f>'[11]COSTOS DEL PLAN'!P80</f>
        <v>45657</v>
      </c>
      <c r="R102" s="64"/>
      <c r="S102" s="82"/>
      <c r="T102" s="63"/>
      <c r="U102" s="155" t="str">
        <f t="shared" si="111"/>
        <v/>
      </c>
      <c r="V102" s="155" t="str">
        <f t="shared" si="111"/>
        <v/>
      </c>
      <c r="W102" s="155" t="str">
        <f t="shared" si="111"/>
        <v/>
      </c>
      <c r="X102" s="155">
        <f t="shared" si="111"/>
        <v>45657</v>
      </c>
      <c r="Y102" s="155" t="str">
        <f t="shared" si="111"/>
        <v/>
      </c>
      <c r="Z102" s="155" t="str">
        <f t="shared" si="111"/>
        <v/>
      </c>
      <c r="AA102" s="155" t="str">
        <f t="shared" si="111"/>
        <v/>
      </c>
      <c r="AB102" s="155" t="str">
        <f t="shared" si="111"/>
        <v/>
      </c>
      <c r="AC102" s="155" t="str">
        <f t="shared" si="111"/>
        <v/>
      </c>
      <c r="AD102" s="155" t="str">
        <f t="shared" si="111"/>
        <v/>
      </c>
      <c r="AE102" s="137">
        <f t="shared" si="59"/>
        <v>0</v>
      </c>
      <c r="AF102" s="137">
        <f t="shared" si="60"/>
        <v>0</v>
      </c>
      <c r="AG102" s="137">
        <f t="shared" si="61"/>
        <v>0</v>
      </c>
      <c r="AH102" s="137">
        <f t="shared" si="62"/>
        <v>0</v>
      </c>
      <c r="AI102" s="137">
        <f t="shared" si="63"/>
        <v>0</v>
      </c>
      <c r="AJ102" s="137">
        <f t="shared" si="64"/>
        <v>0</v>
      </c>
      <c r="AK102" s="137">
        <f t="shared" si="65"/>
        <v>0</v>
      </c>
      <c r="AL102" s="137">
        <f t="shared" si="66"/>
        <v>0</v>
      </c>
      <c r="AM102" s="137">
        <f t="shared" si="67"/>
        <v>0</v>
      </c>
      <c r="AN102" s="137">
        <f t="shared" si="68"/>
        <v>0</v>
      </c>
      <c r="AO102" s="1201">
        <f t="shared" si="101"/>
        <v>0</v>
      </c>
      <c r="AP102" s="1201">
        <f t="shared" si="102"/>
        <v>0</v>
      </c>
      <c r="AQ102" s="1201">
        <f t="shared" si="103"/>
        <v>0</v>
      </c>
      <c r="AR102" s="1201">
        <f t="shared" si="104"/>
        <v>0</v>
      </c>
      <c r="AS102" s="1201">
        <f t="shared" si="105"/>
        <v>0</v>
      </c>
      <c r="AT102" s="1201">
        <f t="shared" si="106"/>
        <v>0</v>
      </c>
      <c r="AU102" s="1201">
        <f t="shared" si="107"/>
        <v>0</v>
      </c>
      <c r="AV102" s="1201">
        <f t="shared" si="108"/>
        <v>0</v>
      </c>
      <c r="AW102" s="1201">
        <f t="shared" si="109"/>
        <v>0</v>
      </c>
      <c r="AX102" s="1201">
        <f t="shared" si="110"/>
        <v>0</v>
      </c>
    </row>
    <row r="103" spans="2:50" ht="15" outlineLevel="1" x14ac:dyDescent="0.25">
      <c r="B103" s="729" t="str">
        <f>'[11]COSTOS DEL PLAN'!B81</f>
        <v>REEMPLAZO Y ADQUISICIÓN PROTECCIONES DIFERENCIALES LINEAS 230 Y 115 KV</v>
      </c>
      <c r="C103" s="2"/>
      <c r="D103" s="2"/>
      <c r="E103" s="2"/>
      <c r="F103" s="2"/>
      <c r="G103" s="2"/>
      <c r="H103" s="1226">
        <v>0</v>
      </c>
      <c r="I103" s="1226">
        <v>0</v>
      </c>
      <c r="J103" s="1226">
        <f>IF(YEAR('[11]COSTOS DEL PLAN'!$P81)=J$7,'[11]COSTOS DEL PLAN'!$O81,)</f>
        <v>0</v>
      </c>
      <c r="K103" s="1226">
        <f>IF(YEAR('[11]COSTOS DEL PLAN'!$P81)=K$7,'[11]COSTOS DEL PLAN'!$O81,)</f>
        <v>0</v>
      </c>
      <c r="L103" s="1226">
        <f>IF(YEAR('[11]COSTOS DEL PLAN'!$P81)=L$7,'[11]COSTOS DEL PLAN'!$O81,)</f>
        <v>0</v>
      </c>
      <c r="M103" s="1226">
        <f>IF(YEAR('[11]COSTOS DEL PLAN'!$P81)=M$7,'[11]COSTOS DEL PLAN'!$O81,)</f>
        <v>0</v>
      </c>
      <c r="N103" s="1226">
        <f>IF(YEAR('[11]COSTOS DEL PLAN'!$P81)=N$7,'[11]COSTOS DEL PLAN'!$O81,)</f>
        <v>0</v>
      </c>
      <c r="O103" s="66">
        <f t="shared" si="99"/>
        <v>0</v>
      </c>
      <c r="P103" s="63"/>
      <c r="Q103" s="82">
        <f>'[11]COSTOS DEL PLAN'!P81</f>
        <v>45657</v>
      </c>
      <c r="R103" s="64"/>
      <c r="S103" s="82"/>
      <c r="T103" s="63"/>
      <c r="U103" s="155" t="str">
        <f t="shared" si="111"/>
        <v/>
      </c>
      <c r="V103" s="155" t="str">
        <f t="shared" si="111"/>
        <v/>
      </c>
      <c r="W103" s="155" t="str">
        <f t="shared" si="111"/>
        <v/>
      </c>
      <c r="X103" s="155">
        <f t="shared" si="111"/>
        <v>45657</v>
      </c>
      <c r="Y103" s="155" t="str">
        <f t="shared" si="111"/>
        <v/>
      </c>
      <c r="Z103" s="155" t="str">
        <f t="shared" si="111"/>
        <v/>
      </c>
      <c r="AA103" s="155" t="str">
        <f t="shared" si="111"/>
        <v/>
      </c>
      <c r="AB103" s="155" t="str">
        <f t="shared" si="111"/>
        <v/>
      </c>
      <c r="AC103" s="155" t="str">
        <f t="shared" si="111"/>
        <v/>
      </c>
      <c r="AD103" s="155" t="str">
        <f t="shared" si="111"/>
        <v/>
      </c>
      <c r="AE103" s="137">
        <f t="shared" si="59"/>
        <v>0</v>
      </c>
      <c r="AF103" s="137">
        <f t="shared" si="60"/>
        <v>0</v>
      </c>
      <c r="AG103" s="137">
        <f t="shared" si="61"/>
        <v>0</v>
      </c>
      <c r="AH103" s="137">
        <f t="shared" si="62"/>
        <v>0</v>
      </c>
      <c r="AI103" s="137">
        <f t="shared" si="63"/>
        <v>0</v>
      </c>
      <c r="AJ103" s="137">
        <f t="shared" si="64"/>
        <v>0</v>
      </c>
      <c r="AK103" s="137">
        <f t="shared" si="65"/>
        <v>0</v>
      </c>
      <c r="AL103" s="137">
        <f t="shared" si="66"/>
        <v>0</v>
      </c>
      <c r="AM103" s="137">
        <f t="shared" si="67"/>
        <v>0</v>
      </c>
      <c r="AN103" s="137">
        <f t="shared" si="68"/>
        <v>0</v>
      </c>
      <c r="AO103" s="1201">
        <f t="shared" si="101"/>
        <v>0</v>
      </c>
      <c r="AP103" s="1201">
        <f t="shared" si="102"/>
        <v>0</v>
      </c>
      <c r="AQ103" s="1201">
        <f t="shared" si="103"/>
        <v>0</v>
      </c>
      <c r="AR103" s="1201">
        <f t="shared" si="104"/>
        <v>0</v>
      </c>
      <c r="AS103" s="1201">
        <f t="shared" si="105"/>
        <v>0</v>
      </c>
      <c r="AT103" s="1201">
        <f t="shared" si="106"/>
        <v>0</v>
      </c>
      <c r="AU103" s="1201">
        <f t="shared" si="107"/>
        <v>0</v>
      </c>
      <c r="AV103" s="1201">
        <f t="shared" si="108"/>
        <v>0</v>
      </c>
      <c r="AW103" s="1201">
        <f t="shared" si="109"/>
        <v>0</v>
      </c>
      <c r="AX103" s="1201">
        <f t="shared" si="110"/>
        <v>0</v>
      </c>
    </row>
    <row r="104" spans="2:50" ht="15" outlineLevel="1" x14ac:dyDescent="0.25">
      <c r="B104" s="729" t="str">
        <f>'[11]COSTOS DEL PLAN'!B82</f>
        <v>REEMPLAZO INTERRUPTORES S/E MATA DE NANCE 230 KV</v>
      </c>
      <c r="C104" s="2"/>
      <c r="D104" s="2"/>
      <c r="E104" s="2"/>
      <c r="F104" s="2"/>
      <c r="G104" s="2"/>
      <c r="H104" s="1226">
        <v>0</v>
      </c>
      <c r="I104" s="1226">
        <v>0</v>
      </c>
      <c r="J104" s="1226">
        <f>IF(YEAR('[11]COSTOS DEL PLAN'!$P82)=J$7,'[11]COSTOS DEL PLAN'!$O82,)</f>
        <v>0</v>
      </c>
      <c r="K104" s="1226">
        <f>IF(YEAR('[11]COSTOS DEL PLAN'!$P82)=K$7,'[11]COSTOS DEL PLAN'!$O82,)</f>
        <v>0</v>
      </c>
      <c r="L104" s="1226">
        <f>IF(YEAR('[11]COSTOS DEL PLAN'!$P82)=L$7,'[11]COSTOS DEL PLAN'!$O82,)</f>
        <v>0</v>
      </c>
      <c r="M104" s="1226">
        <f>IF(YEAR('[11]COSTOS DEL PLAN'!$P82)=M$7,'[11]COSTOS DEL PLAN'!$O82,)</f>
        <v>0</v>
      </c>
      <c r="N104" s="1226">
        <f>IF(YEAR('[11]COSTOS DEL PLAN'!$P82)=N$7,'[11]COSTOS DEL PLAN'!$O82,)</f>
        <v>0</v>
      </c>
      <c r="O104" s="66">
        <f t="shared" si="99"/>
        <v>0</v>
      </c>
      <c r="P104" s="63"/>
      <c r="Q104" s="82">
        <f>'[11]COSTOS DEL PLAN'!P82</f>
        <v>45818</v>
      </c>
      <c r="R104" s="64"/>
      <c r="S104" s="82"/>
      <c r="T104" s="63"/>
      <c r="U104" s="155" t="str">
        <f t="shared" si="111"/>
        <v/>
      </c>
      <c r="V104" s="155" t="str">
        <f t="shared" si="111"/>
        <v/>
      </c>
      <c r="W104" s="155" t="str">
        <f t="shared" si="111"/>
        <v/>
      </c>
      <c r="X104" s="155" t="str">
        <f t="shared" si="111"/>
        <v/>
      </c>
      <c r="Y104" s="155">
        <f t="shared" si="111"/>
        <v>45818</v>
      </c>
      <c r="Z104" s="155" t="str">
        <f t="shared" si="111"/>
        <v/>
      </c>
      <c r="AA104" s="155" t="str">
        <f t="shared" si="111"/>
        <v/>
      </c>
      <c r="AB104" s="155" t="str">
        <f t="shared" si="111"/>
        <v/>
      </c>
      <c r="AC104" s="155" t="str">
        <f t="shared" si="111"/>
        <v/>
      </c>
      <c r="AD104" s="155" t="str">
        <f t="shared" si="111"/>
        <v/>
      </c>
      <c r="AE104" s="137">
        <f t="shared" si="59"/>
        <v>0</v>
      </c>
      <c r="AF104" s="137">
        <f t="shared" si="60"/>
        <v>0</v>
      </c>
      <c r="AG104" s="137">
        <f t="shared" si="61"/>
        <v>0</v>
      </c>
      <c r="AH104" s="137">
        <f t="shared" si="62"/>
        <v>0</v>
      </c>
      <c r="AI104" s="137">
        <f t="shared" si="63"/>
        <v>0.55890410958904113</v>
      </c>
      <c r="AJ104" s="137">
        <f t="shared" si="64"/>
        <v>0</v>
      </c>
      <c r="AK104" s="137">
        <f t="shared" si="65"/>
        <v>0</v>
      </c>
      <c r="AL104" s="137">
        <f t="shared" si="66"/>
        <v>0</v>
      </c>
      <c r="AM104" s="137">
        <f t="shared" si="67"/>
        <v>0</v>
      </c>
      <c r="AN104" s="137">
        <f t="shared" si="68"/>
        <v>0</v>
      </c>
      <c r="AO104" s="1201">
        <f t="shared" si="101"/>
        <v>0</v>
      </c>
      <c r="AP104" s="1201">
        <f t="shared" si="102"/>
        <v>0</v>
      </c>
      <c r="AQ104" s="1201">
        <f t="shared" si="103"/>
        <v>0</v>
      </c>
      <c r="AR104" s="1201">
        <f t="shared" si="104"/>
        <v>0</v>
      </c>
      <c r="AS104" s="1201">
        <f>AI104*I104</f>
        <v>0</v>
      </c>
      <c r="AT104" s="1201">
        <f t="shared" si="106"/>
        <v>0</v>
      </c>
      <c r="AU104" s="1201">
        <f t="shared" si="107"/>
        <v>0</v>
      </c>
      <c r="AV104" s="1201">
        <f t="shared" si="108"/>
        <v>0</v>
      </c>
      <c r="AW104" s="1201">
        <f t="shared" si="109"/>
        <v>0</v>
      </c>
      <c r="AX104" s="1201">
        <f t="shared" si="110"/>
        <v>0</v>
      </c>
    </row>
    <row r="105" spans="2:50" ht="15" outlineLevel="1" x14ac:dyDescent="0.25">
      <c r="B105" s="729" t="str">
        <f>'[11]COSTOS DEL PLAN'!B83</f>
        <v>REEMPLAZO CUCHILLAS MOTORIZADAS S/E ESPERANZA, BOQ III y CAÑAZAS 230 KV</v>
      </c>
      <c r="C105" s="2"/>
      <c r="D105" s="2"/>
      <c r="E105" s="2"/>
      <c r="F105" s="2"/>
      <c r="G105" s="2"/>
      <c r="H105" s="1226">
        <v>0</v>
      </c>
      <c r="I105" s="1226">
        <v>0</v>
      </c>
      <c r="J105" s="1226">
        <f>IF(YEAR('[11]COSTOS DEL PLAN'!$P83)=J$7,'[11]COSTOS DEL PLAN'!$O83,)</f>
        <v>0</v>
      </c>
      <c r="K105" s="1226">
        <f>IF(YEAR('[11]COSTOS DEL PLAN'!$P83)=K$7,'[11]COSTOS DEL PLAN'!$O83,)</f>
        <v>0</v>
      </c>
      <c r="L105" s="1226">
        <f>IF(YEAR('[11]COSTOS DEL PLAN'!$P83)=L$7,'[11]COSTOS DEL PLAN'!$O83,)</f>
        <v>0</v>
      </c>
      <c r="M105" s="1226">
        <f>IF(YEAR('[11]COSTOS DEL PLAN'!$P83)=M$7,'[11]COSTOS DEL PLAN'!$O83,)</f>
        <v>0</v>
      </c>
      <c r="N105" s="1226">
        <f>IF(YEAR('[11]COSTOS DEL PLAN'!$P83)=N$7,'[11]COSTOS DEL PLAN'!$O83,)</f>
        <v>0</v>
      </c>
      <c r="O105" s="66">
        <f t="shared" si="99"/>
        <v>0</v>
      </c>
      <c r="P105" s="63"/>
      <c r="Q105" s="82">
        <f>'[11]COSTOS DEL PLAN'!P83</f>
        <v>46022</v>
      </c>
      <c r="R105" s="64"/>
      <c r="S105" s="82"/>
      <c r="T105" s="63"/>
      <c r="U105" s="155" t="str">
        <f t="shared" si="111"/>
        <v/>
      </c>
      <c r="V105" s="155" t="str">
        <f t="shared" si="111"/>
        <v/>
      </c>
      <c r="W105" s="155" t="str">
        <f t="shared" si="111"/>
        <v/>
      </c>
      <c r="X105" s="155" t="str">
        <f t="shared" si="111"/>
        <v/>
      </c>
      <c r="Y105" s="155">
        <f t="shared" si="111"/>
        <v>46022</v>
      </c>
      <c r="Z105" s="155" t="str">
        <f t="shared" si="111"/>
        <v/>
      </c>
      <c r="AA105" s="155" t="str">
        <f t="shared" si="111"/>
        <v/>
      </c>
      <c r="AB105" s="155" t="str">
        <f t="shared" si="111"/>
        <v/>
      </c>
      <c r="AC105" s="155" t="str">
        <f t="shared" si="111"/>
        <v/>
      </c>
      <c r="AD105" s="155" t="str">
        <f t="shared" si="111"/>
        <v/>
      </c>
      <c r="AE105" s="137">
        <f t="shared" si="59"/>
        <v>0</v>
      </c>
      <c r="AF105" s="137">
        <f t="shared" si="60"/>
        <v>0</v>
      </c>
      <c r="AG105" s="137">
        <f t="shared" si="61"/>
        <v>0</v>
      </c>
      <c r="AH105" s="137">
        <f t="shared" si="62"/>
        <v>0</v>
      </c>
      <c r="AI105" s="137">
        <f t="shared" si="63"/>
        <v>0</v>
      </c>
      <c r="AJ105" s="137">
        <f t="shared" si="64"/>
        <v>0</v>
      </c>
      <c r="AK105" s="137">
        <f t="shared" si="65"/>
        <v>0</v>
      </c>
      <c r="AL105" s="137">
        <f t="shared" si="66"/>
        <v>0</v>
      </c>
      <c r="AM105" s="137">
        <f t="shared" si="67"/>
        <v>0</v>
      </c>
      <c r="AN105" s="137">
        <f t="shared" si="68"/>
        <v>0</v>
      </c>
      <c r="AO105" s="1201">
        <f t="shared" si="101"/>
        <v>0</v>
      </c>
      <c r="AP105" s="1201">
        <f t="shared" si="102"/>
        <v>0</v>
      </c>
      <c r="AQ105" s="1201">
        <f t="shared" si="103"/>
        <v>0</v>
      </c>
      <c r="AR105" s="1201">
        <f t="shared" si="104"/>
        <v>0</v>
      </c>
      <c r="AS105" s="1201">
        <f t="shared" si="105"/>
        <v>0</v>
      </c>
      <c r="AT105" s="1201">
        <f t="shared" si="106"/>
        <v>0</v>
      </c>
      <c r="AU105" s="1201">
        <f t="shared" si="107"/>
        <v>0</v>
      </c>
      <c r="AV105" s="1201">
        <f t="shared" si="108"/>
        <v>0</v>
      </c>
      <c r="AW105" s="1201">
        <f t="shared" si="109"/>
        <v>0</v>
      </c>
      <c r="AX105" s="1201">
        <f t="shared" si="110"/>
        <v>0</v>
      </c>
    </row>
    <row r="106" spans="2:50" ht="15" outlineLevel="1" x14ac:dyDescent="0.25">
      <c r="B106" s="729" t="str">
        <f>'[11]COSTOS DEL PLAN'!B84</f>
        <v xml:space="preserve">REEMPLAZO INTERRUPTORES BANCOS CAPACITORES S/E PANAMA 115 KV </v>
      </c>
      <c r="C106" s="2"/>
      <c r="D106" s="2"/>
      <c r="E106" s="2"/>
      <c r="F106" s="2"/>
      <c r="G106" s="2"/>
      <c r="H106" s="1226">
        <v>0</v>
      </c>
      <c r="I106" s="1226">
        <v>0</v>
      </c>
      <c r="J106" s="1226">
        <f>IF(YEAR('[11]COSTOS DEL PLAN'!$P84)=J$7,'[11]COSTOS DEL PLAN'!$O84,)</f>
        <v>0</v>
      </c>
      <c r="K106" s="1226">
        <f>IF(YEAR('[11]COSTOS DEL PLAN'!$P84)=K$7,'[11]COSTOS DEL PLAN'!$O84,)</f>
        <v>0</v>
      </c>
      <c r="L106" s="1226">
        <f>IF(YEAR('[11]COSTOS DEL PLAN'!$P84)=L$7,'[11]COSTOS DEL PLAN'!$O84,)</f>
        <v>0</v>
      </c>
      <c r="M106" s="1226">
        <f>IF(YEAR('[11]COSTOS DEL PLAN'!$P84)=M$7,'[11]COSTOS DEL PLAN'!$O84,)</f>
        <v>0</v>
      </c>
      <c r="N106" s="1226">
        <f>IF(YEAR('[11]COSTOS DEL PLAN'!$P84)=N$7,'[11]COSTOS DEL PLAN'!$O84,)</f>
        <v>0</v>
      </c>
      <c r="O106" s="66">
        <f t="shared" si="99"/>
        <v>0</v>
      </c>
      <c r="P106" s="63"/>
      <c r="Q106" s="82">
        <f>'[11]COSTOS DEL PLAN'!P84</f>
        <v>46022</v>
      </c>
      <c r="R106" s="64"/>
      <c r="S106" s="82"/>
      <c r="T106" s="63"/>
      <c r="U106" s="155" t="str">
        <f t="shared" si="111"/>
        <v/>
      </c>
      <c r="V106" s="155" t="str">
        <f t="shared" si="111"/>
        <v/>
      </c>
      <c r="W106" s="155" t="str">
        <f t="shared" si="111"/>
        <v/>
      </c>
      <c r="X106" s="155" t="str">
        <f t="shared" si="111"/>
        <v/>
      </c>
      <c r="Y106" s="155">
        <f t="shared" si="111"/>
        <v>46022</v>
      </c>
      <c r="Z106" s="155" t="str">
        <f t="shared" si="111"/>
        <v/>
      </c>
      <c r="AA106" s="155" t="str">
        <f t="shared" si="111"/>
        <v/>
      </c>
      <c r="AB106" s="155" t="str">
        <f t="shared" si="111"/>
        <v/>
      </c>
      <c r="AC106" s="155" t="str">
        <f t="shared" si="111"/>
        <v/>
      </c>
      <c r="AD106" s="155" t="str">
        <f t="shared" si="111"/>
        <v/>
      </c>
      <c r="AE106" s="137">
        <f t="shared" si="59"/>
        <v>0</v>
      </c>
      <c r="AF106" s="137">
        <f t="shared" si="60"/>
        <v>0</v>
      </c>
      <c r="AG106" s="137">
        <f t="shared" si="61"/>
        <v>0</v>
      </c>
      <c r="AH106" s="137">
        <f t="shared" si="62"/>
        <v>0</v>
      </c>
      <c r="AI106" s="137">
        <f t="shared" si="63"/>
        <v>0</v>
      </c>
      <c r="AJ106" s="137">
        <f t="shared" si="64"/>
        <v>0</v>
      </c>
      <c r="AK106" s="137">
        <f t="shared" si="65"/>
        <v>0</v>
      </c>
      <c r="AL106" s="137">
        <f t="shared" si="66"/>
        <v>0</v>
      </c>
      <c r="AM106" s="137">
        <f t="shared" si="67"/>
        <v>0</v>
      </c>
      <c r="AN106" s="137">
        <f t="shared" si="68"/>
        <v>0</v>
      </c>
      <c r="AO106" s="1201">
        <f t="shared" si="101"/>
        <v>0</v>
      </c>
      <c r="AP106" s="1201">
        <f t="shared" si="102"/>
        <v>0</v>
      </c>
      <c r="AQ106" s="1201">
        <f t="shared" si="103"/>
        <v>0</v>
      </c>
      <c r="AR106" s="1201">
        <f t="shared" si="104"/>
        <v>0</v>
      </c>
      <c r="AS106" s="1201">
        <f t="shared" si="105"/>
        <v>0</v>
      </c>
      <c r="AT106" s="1201">
        <f t="shared" si="106"/>
        <v>0</v>
      </c>
      <c r="AU106" s="1201">
        <f t="shared" si="107"/>
        <v>0</v>
      </c>
      <c r="AV106" s="1201">
        <f t="shared" si="108"/>
        <v>0</v>
      </c>
      <c r="AW106" s="1201">
        <f t="shared" si="109"/>
        <v>0</v>
      </c>
      <c r="AX106" s="1201">
        <f t="shared" si="110"/>
        <v>0</v>
      </c>
    </row>
    <row r="107" spans="2:50" ht="15" outlineLevel="1" x14ac:dyDescent="0.25">
      <c r="B107" s="729" t="str">
        <f>'[11]COSTOS DEL PLAN'!B85</f>
        <v>REEMPLAZO CUCHILLAS MOTORIZADAS S/E PANAMA 230 KV</v>
      </c>
      <c r="C107" s="2"/>
      <c r="D107" s="2"/>
      <c r="E107" s="2"/>
      <c r="F107" s="2"/>
      <c r="G107" s="2"/>
      <c r="H107" s="1226">
        <v>0</v>
      </c>
      <c r="I107" s="1226">
        <v>0</v>
      </c>
      <c r="J107" s="1226">
        <f>IF(YEAR('[11]COSTOS DEL PLAN'!$P85)=J$7,'[11]COSTOS DEL PLAN'!$O85,)</f>
        <v>0</v>
      </c>
      <c r="K107" s="1226">
        <f>IF(YEAR('[11]COSTOS DEL PLAN'!$P85)=K$7,'[11]COSTOS DEL PLAN'!$O85,)</f>
        <v>0</v>
      </c>
      <c r="L107" s="1226">
        <f>IF(YEAR('[11]COSTOS DEL PLAN'!$P85)=L$7,'[11]COSTOS DEL PLAN'!$O85,)</f>
        <v>0</v>
      </c>
      <c r="M107" s="1226">
        <f>IF(YEAR('[11]COSTOS DEL PLAN'!$P85)=M$7,'[11]COSTOS DEL PLAN'!$O85,)</f>
        <v>0</v>
      </c>
      <c r="N107" s="1226">
        <f>IF(YEAR('[11]COSTOS DEL PLAN'!$P85)=N$7,'[11]COSTOS DEL PLAN'!$O85,)</f>
        <v>0</v>
      </c>
      <c r="O107" s="66">
        <f t="shared" si="99"/>
        <v>0</v>
      </c>
      <c r="P107" s="63"/>
      <c r="Q107" s="82">
        <f>'[11]COSTOS DEL PLAN'!P85</f>
        <v>46022</v>
      </c>
      <c r="R107" s="64"/>
      <c r="S107" s="82"/>
      <c r="T107" s="63"/>
      <c r="U107" s="155" t="str">
        <f t="shared" si="111"/>
        <v/>
      </c>
      <c r="V107" s="155" t="str">
        <f t="shared" si="111"/>
        <v/>
      </c>
      <c r="W107" s="155" t="str">
        <f t="shared" si="111"/>
        <v/>
      </c>
      <c r="X107" s="155" t="str">
        <f t="shared" si="111"/>
        <v/>
      </c>
      <c r="Y107" s="155">
        <f t="shared" si="111"/>
        <v>46022</v>
      </c>
      <c r="Z107" s="155" t="str">
        <f t="shared" si="111"/>
        <v/>
      </c>
      <c r="AA107" s="155" t="str">
        <f t="shared" si="111"/>
        <v/>
      </c>
      <c r="AB107" s="155" t="str">
        <f t="shared" si="111"/>
        <v/>
      </c>
      <c r="AC107" s="155" t="str">
        <f t="shared" si="111"/>
        <v/>
      </c>
      <c r="AD107" s="155" t="str">
        <f t="shared" si="111"/>
        <v/>
      </c>
      <c r="AE107" s="137">
        <f t="shared" si="59"/>
        <v>0</v>
      </c>
      <c r="AF107" s="137">
        <f t="shared" si="60"/>
        <v>0</v>
      </c>
      <c r="AG107" s="137">
        <f t="shared" si="61"/>
        <v>0</v>
      </c>
      <c r="AH107" s="137">
        <f t="shared" si="62"/>
        <v>0</v>
      </c>
      <c r="AI107" s="137">
        <f t="shared" si="63"/>
        <v>0</v>
      </c>
      <c r="AJ107" s="137">
        <f t="shared" si="64"/>
        <v>0</v>
      </c>
      <c r="AK107" s="137">
        <f t="shared" si="65"/>
        <v>0</v>
      </c>
      <c r="AL107" s="137">
        <f t="shared" si="66"/>
        <v>0</v>
      </c>
      <c r="AM107" s="137">
        <f t="shared" si="67"/>
        <v>0</v>
      </c>
      <c r="AN107" s="137">
        <f t="shared" si="68"/>
        <v>0</v>
      </c>
      <c r="AO107" s="1201">
        <f t="shared" si="101"/>
        <v>0</v>
      </c>
      <c r="AP107" s="1201">
        <f t="shared" si="102"/>
        <v>0</v>
      </c>
      <c r="AQ107" s="1201">
        <f t="shared" si="103"/>
        <v>0</v>
      </c>
      <c r="AR107" s="1201">
        <f t="shared" si="104"/>
        <v>0</v>
      </c>
      <c r="AS107" s="1201">
        <f t="shared" si="105"/>
        <v>0</v>
      </c>
      <c r="AT107" s="1201">
        <f t="shared" si="106"/>
        <v>0</v>
      </c>
      <c r="AU107" s="1201">
        <f t="shared" si="107"/>
        <v>0</v>
      </c>
      <c r="AV107" s="1201">
        <f t="shared" si="108"/>
        <v>0</v>
      </c>
      <c r="AW107" s="1201">
        <f t="shared" si="109"/>
        <v>0</v>
      </c>
      <c r="AX107" s="1201">
        <f t="shared" si="110"/>
        <v>0</v>
      </c>
    </row>
    <row r="108" spans="2:50" ht="15" outlineLevel="1" x14ac:dyDescent="0.25">
      <c r="B108" s="729" t="str">
        <f>'[11]COSTOS DEL PLAN'!B86</f>
        <v xml:space="preserve">REEMPLAZO CUCHILLAS MOTORIZADAS S/E LLANO SANCHEZ 230 KV </v>
      </c>
      <c r="C108" s="2"/>
      <c r="D108" s="2"/>
      <c r="E108" s="2"/>
      <c r="F108" s="2"/>
      <c r="G108" s="2"/>
      <c r="H108" s="1226">
        <v>0</v>
      </c>
      <c r="I108" s="1226">
        <v>0</v>
      </c>
      <c r="J108" s="1226">
        <f>IF(YEAR('[11]COSTOS DEL PLAN'!$P86)=J$7,'[11]COSTOS DEL PLAN'!$O86,)</f>
        <v>0</v>
      </c>
      <c r="K108" s="1226">
        <f>IF(YEAR('[11]COSTOS DEL PLAN'!$P86)=K$7,'[11]COSTOS DEL PLAN'!$O86,)</f>
        <v>0</v>
      </c>
      <c r="L108" s="1226">
        <f>IF(YEAR('[11]COSTOS DEL PLAN'!$P86)=L$7,'[11]COSTOS DEL PLAN'!$O86,)</f>
        <v>0</v>
      </c>
      <c r="M108" s="1226">
        <f>IF(YEAR('[11]COSTOS DEL PLAN'!$P86)=M$7,'[11]COSTOS DEL PLAN'!$O86,)</f>
        <v>0</v>
      </c>
      <c r="N108" s="1226">
        <f>IF(YEAR('[11]COSTOS DEL PLAN'!$P86)=N$7,'[11]COSTOS DEL PLAN'!$O86,)</f>
        <v>0</v>
      </c>
      <c r="O108" s="66">
        <f t="shared" si="99"/>
        <v>0</v>
      </c>
      <c r="P108" s="63"/>
      <c r="Q108" s="82">
        <f>'[11]COSTOS DEL PLAN'!P86</f>
        <v>46022</v>
      </c>
      <c r="R108" s="64"/>
      <c r="S108" s="82"/>
      <c r="T108" s="63"/>
      <c r="U108" s="155" t="str">
        <f t="shared" si="111"/>
        <v/>
      </c>
      <c r="V108" s="155" t="str">
        <f t="shared" si="111"/>
        <v/>
      </c>
      <c r="W108" s="155" t="str">
        <f t="shared" si="111"/>
        <v/>
      </c>
      <c r="X108" s="155" t="str">
        <f t="shared" si="111"/>
        <v/>
      </c>
      <c r="Y108" s="155">
        <f t="shared" si="111"/>
        <v>46022</v>
      </c>
      <c r="Z108" s="155" t="str">
        <f t="shared" si="111"/>
        <v/>
      </c>
      <c r="AA108" s="155" t="str">
        <f t="shared" si="111"/>
        <v/>
      </c>
      <c r="AB108" s="155" t="str">
        <f t="shared" si="111"/>
        <v/>
      </c>
      <c r="AC108" s="155" t="str">
        <f t="shared" si="111"/>
        <v/>
      </c>
      <c r="AD108" s="155" t="str">
        <f t="shared" si="111"/>
        <v/>
      </c>
      <c r="AE108" s="137">
        <f t="shared" si="59"/>
        <v>0</v>
      </c>
      <c r="AF108" s="137">
        <f t="shared" si="60"/>
        <v>0</v>
      </c>
      <c r="AG108" s="137">
        <f t="shared" si="61"/>
        <v>0</v>
      </c>
      <c r="AH108" s="137">
        <f t="shared" si="62"/>
        <v>0</v>
      </c>
      <c r="AI108" s="137">
        <f t="shared" si="63"/>
        <v>0</v>
      </c>
      <c r="AJ108" s="137">
        <f t="shared" si="64"/>
        <v>0</v>
      </c>
      <c r="AK108" s="137">
        <f t="shared" si="65"/>
        <v>0</v>
      </c>
      <c r="AL108" s="137">
        <f t="shared" si="66"/>
        <v>0</v>
      </c>
      <c r="AM108" s="137">
        <f t="shared" si="67"/>
        <v>0</v>
      </c>
      <c r="AN108" s="137">
        <f t="shared" si="68"/>
        <v>0</v>
      </c>
      <c r="AO108" s="1201">
        <f t="shared" si="101"/>
        <v>0</v>
      </c>
      <c r="AP108" s="1201">
        <f t="shared" si="102"/>
        <v>0</v>
      </c>
      <c r="AQ108" s="1201">
        <f t="shared" si="103"/>
        <v>0</v>
      </c>
      <c r="AR108" s="1201">
        <f t="shared" si="104"/>
        <v>0</v>
      </c>
      <c r="AS108" s="1201">
        <f t="shared" si="105"/>
        <v>0</v>
      </c>
      <c r="AT108" s="1201">
        <f t="shared" si="106"/>
        <v>0</v>
      </c>
      <c r="AU108" s="1201">
        <f t="shared" si="107"/>
        <v>0</v>
      </c>
      <c r="AV108" s="1201">
        <f t="shared" si="108"/>
        <v>0</v>
      </c>
      <c r="AW108" s="1201">
        <f t="shared" si="109"/>
        <v>0</v>
      </c>
      <c r="AX108" s="1201">
        <f t="shared" si="110"/>
        <v>0</v>
      </c>
    </row>
    <row r="109" spans="2:50" ht="15" outlineLevel="1" x14ac:dyDescent="0.25">
      <c r="B109" s="729" t="str">
        <f>'[11]COSTOS DEL PLAN'!B87</f>
        <v>REEMPLAZO CUCHILLAS MOTORIZADAS S/E PANAMA 115 KV</v>
      </c>
      <c r="C109" s="2"/>
      <c r="D109" s="2"/>
      <c r="E109" s="2"/>
      <c r="F109" s="2"/>
      <c r="G109" s="2"/>
      <c r="H109" s="1226">
        <v>0</v>
      </c>
      <c r="I109" s="1226">
        <v>0</v>
      </c>
      <c r="J109" s="1226">
        <f>IF(YEAR('[11]COSTOS DEL PLAN'!$P87)=J$7,'[11]COSTOS DEL PLAN'!$O87,)</f>
        <v>0</v>
      </c>
      <c r="K109" s="1226">
        <f>IF(YEAR('[11]COSTOS DEL PLAN'!$P87)=K$7,'[11]COSTOS DEL PLAN'!$O87,)</f>
        <v>0</v>
      </c>
      <c r="L109" s="1226">
        <f>IF(YEAR('[11]COSTOS DEL PLAN'!$P87)=L$7,'[11]COSTOS DEL PLAN'!$O87,)</f>
        <v>0</v>
      </c>
      <c r="M109" s="1226">
        <f>IF(YEAR('[11]COSTOS DEL PLAN'!$P87)=M$7,'[11]COSTOS DEL PLAN'!$O87,)</f>
        <v>0</v>
      </c>
      <c r="N109" s="1226">
        <f>IF(YEAR('[11]COSTOS DEL PLAN'!$P87)=N$7,'[11]COSTOS DEL PLAN'!$O87,)</f>
        <v>0</v>
      </c>
      <c r="O109" s="66">
        <f t="shared" si="99"/>
        <v>0</v>
      </c>
      <c r="P109" s="63"/>
      <c r="Q109" s="82">
        <f>'[11]COSTOS DEL PLAN'!P87</f>
        <v>46022</v>
      </c>
      <c r="R109" s="64"/>
      <c r="S109" s="82"/>
      <c r="T109" s="63"/>
      <c r="U109" s="155" t="str">
        <f t="shared" si="111"/>
        <v/>
      </c>
      <c r="V109" s="155" t="str">
        <f t="shared" si="111"/>
        <v/>
      </c>
      <c r="W109" s="155" t="str">
        <f t="shared" si="111"/>
        <v/>
      </c>
      <c r="X109" s="155" t="str">
        <f t="shared" si="111"/>
        <v/>
      </c>
      <c r="Y109" s="155">
        <f t="shared" si="111"/>
        <v>46022</v>
      </c>
      <c r="Z109" s="155" t="str">
        <f t="shared" si="111"/>
        <v/>
      </c>
      <c r="AA109" s="155" t="str">
        <f t="shared" si="111"/>
        <v/>
      </c>
      <c r="AB109" s="155" t="str">
        <f t="shared" si="111"/>
        <v/>
      </c>
      <c r="AC109" s="155" t="str">
        <f t="shared" si="111"/>
        <v/>
      </c>
      <c r="AD109" s="155" t="str">
        <f t="shared" si="111"/>
        <v/>
      </c>
      <c r="AE109" s="137">
        <f t="shared" si="59"/>
        <v>0</v>
      </c>
      <c r="AF109" s="137">
        <f t="shared" si="60"/>
        <v>0</v>
      </c>
      <c r="AG109" s="137">
        <f t="shared" si="61"/>
        <v>0</v>
      </c>
      <c r="AH109" s="137">
        <f t="shared" si="62"/>
        <v>0</v>
      </c>
      <c r="AI109" s="137">
        <f t="shared" si="63"/>
        <v>0</v>
      </c>
      <c r="AJ109" s="137">
        <f t="shared" si="64"/>
        <v>0</v>
      </c>
      <c r="AK109" s="137">
        <f t="shared" si="65"/>
        <v>0</v>
      </c>
      <c r="AL109" s="137">
        <f t="shared" si="66"/>
        <v>0</v>
      </c>
      <c r="AM109" s="137">
        <f t="shared" si="67"/>
        <v>0</v>
      </c>
      <c r="AN109" s="137">
        <f t="shared" si="68"/>
        <v>0</v>
      </c>
      <c r="AO109" s="1201">
        <f t="shared" si="101"/>
        <v>0</v>
      </c>
      <c r="AP109" s="1201">
        <f t="shared" si="102"/>
        <v>0</v>
      </c>
      <c r="AQ109" s="1201">
        <f t="shared" si="103"/>
        <v>0</v>
      </c>
      <c r="AR109" s="1201">
        <f t="shared" si="104"/>
        <v>0</v>
      </c>
      <c r="AS109" s="1201">
        <f t="shared" si="105"/>
        <v>0</v>
      </c>
      <c r="AT109" s="1201">
        <f t="shared" si="106"/>
        <v>0</v>
      </c>
      <c r="AU109" s="1201">
        <f t="shared" si="107"/>
        <v>0</v>
      </c>
      <c r="AV109" s="1201">
        <f t="shared" si="108"/>
        <v>0</v>
      </c>
      <c r="AW109" s="1201">
        <f t="shared" si="109"/>
        <v>0</v>
      </c>
      <c r="AX109" s="1201">
        <f t="shared" si="110"/>
        <v>0</v>
      </c>
    </row>
    <row r="110" spans="2:50" ht="15" outlineLevel="1" x14ac:dyDescent="0.25">
      <c r="B110" s="729" t="str">
        <f>'[11]COSTOS DEL PLAN'!B88</f>
        <v xml:space="preserve">REEMPLAZO INTERRUPTORES BANCOS CAPACITORES S/E PAN II y LLS 230 KV </v>
      </c>
      <c r="C110" s="2"/>
      <c r="D110" s="2"/>
      <c r="E110" s="2"/>
      <c r="F110" s="2"/>
      <c r="G110" s="2"/>
      <c r="H110" s="1226">
        <v>0</v>
      </c>
      <c r="I110" s="1226">
        <v>0</v>
      </c>
      <c r="J110" s="1226">
        <f>IF(YEAR('[11]COSTOS DEL PLAN'!$P88)=J$7,'[11]COSTOS DEL PLAN'!$O88,)</f>
        <v>0</v>
      </c>
      <c r="K110" s="1226">
        <f>IF(YEAR('[11]COSTOS DEL PLAN'!$P88)=K$7,'[11]COSTOS DEL PLAN'!$O88,)</f>
        <v>0</v>
      </c>
      <c r="L110" s="1226">
        <f>IF(YEAR('[11]COSTOS DEL PLAN'!$P88)=L$7,'[11]COSTOS DEL PLAN'!$O88,)</f>
        <v>0</v>
      </c>
      <c r="M110" s="1226">
        <f>IF(YEAR('[11]COSTOS DEL PLAN'!$P88)=M$7,'[11]COSTOS DEL PLAN'!$O88,)</f>
        <v>0</v>
      </c>
      <c r="N110" s="1226">
        <f>IF(YEAR('[11]COSTOS DEL PLAN'!$P88)=N$7,'[11]COSTOS DEL PLAN'!$O88,)</f>
        <v>0</v>
      </c>
      <c r="O110" s="66">
        <f t="shared" si="99"/>
        <v>0</v>
      </c>
      <c r="P110" s="63"/>
      <c r="Q110" s="82">
        <f>'[11]COSTOS DEL PLAN'!P88</f>
        <v>46022</v>
      </c>
      <c r="R110" s="64"/>
      <c r="S110" s="82"/>
      <c r="T110" s="63"/>
      <c r="U110" s="155" t="str">
        <f t="shared" si="111"/>
        <v/>
      </c>
      <c r="V110" s="155" t="str">
        <f t="shared" si="111"/>
        <v/>
      </c>
      <c r="W110" s="155" t="str">
        <f t="shared" si="111"/>
        <v/>
      </c>
      <c r="X110" s="155" t="str">
        <f t="shared" si="111"/>
        <v/>
      </c>
      <c r="Y110" s="155">
        <f t="shared" si="111"/>
        <v>46022</v>
      </c>
      <c r="Z110" s="155" t="str">
        <f t="shared" ref="U110:AD128" si="112">IF(Z$6=YEAR($Q110),$Q110,"")</f>
        <v/>
      </c>
      <c r="AA110" s="155" t="str">
        <f t="shared" si="112"/>
        <v/>
      </c>
      <c r="AB110" s="155" t="str">
        <f t="shared" si="112"/>
        <v/>
      </c>
      <c r="AC110" s="155" t="str">
        <f t="shared" si="112"/>
        <v/>
      </c>
      <c r="AD110" s="155" t="str">
        <f t="shared" si="112"/>
        <v/>
      </c>
      <c r="AE110" s="137">
        <f t="shared" si="59"/>
        <v>0</v>
      </c>
      <c r="AF110" s="137">
        <f t="shared" si="60"/>
        <v>0</v>
      </c>
      <c r="AG110" s="137">
        <f t="shared" si="61"/>
        <v>0</v>
      </c>
      <c r="AH110" s="137">
        <f t="shared" si="62"/>
        <v>0</v>
      </c>
      <c r="AI110" s="137">
        <f t="shared" si="63"/>
        <v>0</v>
      </c>
      <c r="AJ110" s="137">
        <f t="shared" si="64"/>
        <v>0</v>
      </c>
      <c r="AK110" s="137">
        <f t="shared" si="65"/>
        <v>0</v>
      </c>
      <c r="AL110" s="137">
        <f t="shared" si="66"/>
        <v>0</v>
      </c>
      <c r="AM110" s="137">
        <f t="shared" si="67"/>
        <v>0</v>
      </c>
      <c r="AN110" s="137">
        <f t="shared" si="68"/>
        <v>0</v>
      </c>
      <c r="AO110" s="1201">
        <f t="shared" si="101"/>
        <v>0</v>
      </c>
      <c r="AP110" s="1201">
        <f t="shared" si="102"/>
        <v>0</v>
      </c>
      <c r="AQ110" s="1201">
        <f t="shared" si="103"/>
        <v>0</v>
      </c>
      <c r="AR110" s="1201">
        <f t="shared" si="104"/>
        <v>0</v>
      </c>
      <c r="AS110" s="1201">
        <f t="shared" si="105"/>
        <v>0</v>
      </c>
      <c r="AT110" s="1201">
        <f t="shared" si="106"/>
        <v>0</v>
      </c>
      <c r="AU110" s="1201">
        <f t="shared" si="107"/>
        <v>0</v>
      </c>
      <c r="AV110" s="1201">
        <f t="shared" si="108"/>
        <v>0</v>
      </c>
      <c r="AW110" s="1201">
        <f t="shared" si="109"/>
        <v>0</v>
      </c>
      <c r="AX110" s="1201">
        <f t="shared" si="110"/>
        <v>0</v>
      </c>
    </row>
    <row r="111" spans="2:50" ht="15" outlineLevel="1" x14ac:dyDescent="0.25">
      <c r="B111" s="729" t="str">
        <f>'[11]COSTOS DEL PLAN'!B89</f>
        <v>REEMPLAZO INTERRUPTORES S/E PROGRESO 115 KV</v>
      </c>
      <c r="C111" s="2"/>
      <c r="D111" s="2"/>
      <c r="E111" s="2"/>
      <c r="F111" s="2"/>
      <c r="G111" s="2"/>
      <c r="H111" s="1226">
        <v>0</v>
      </c>
      <c r="I111" s="1226">
        <v>0</v>
      </c>
      <c r="J111" s="1226">
        <f>IF(YEAR('[11]COSTOS DEL PLAN'!$P89)=J$7,'[11]COSTOS DEL PLAN'!$O89,)</f>
        <v>0</v>
      </c>
      <c r="K111" s="1226">
        <f>IF(YEAR('[11]COSTOS DEL PLAN'!$P89)=K$7,'[11]COSTOS DEL PLAN'!$O89,)</f>
        <v>0</v>
      </c>
      <c r="L111" s="1226">
        <f>IF(YEAR('[11]COSTOS DEL PLAN'!$P89)=L$7,'[11]COSTOS DEL PLAN'!$O89,)</f>
        <v>0</v>
      </c>
      <c r="M111" s="1226">
        <f>IF(YEAR('[11]COSTOS DEL PLAN'!$P89)=M$7,'[11]COSTOS DEL PLAN'!$O89,)</f>
        <v>0</v>
      </c>
      <c r="N111" s="1226">
        <f>IF(YEAR('[11]COSTOS DEL PLAN'!$P89)=N$7,'[11]COSTOS DEL PLAN'!$O89,)</f>
        <v>0</v>
      </c>
      <c r="O111" s="66">
        <f t="shared" si="99"/>
        <v>0</v>
      </c>
      <c r="P111" s="63"/>
      <c r="Q111" s="82">
        <f>'[11]COSTOS DEL PLAN'!P89</f>
        <v>46022</v>
      </c>
      <c r="R111" s="64"/>
      <c r="S111" s="82"/>
      <c r="T111" s="63"/>
      <c r="U111" s="155" t="str">
        <f t="shared" si="112"/>
        <v/>
      </c>
      <c r="V111" s="155" t="str">
        <f t="shared" si="112"/>
        <v/>
      </c>
      <c r="W111" s="155" t="str">
        <f t="shared" si="112"/>
        <v/>
      </c>
      <c r="X111" s="155" t="str">
        <f t="shared" si="112"/>
        <v/>
      </c>
      <c r="Y111" s="155">
        <f t="shared" si="112"/>
        <v>46022</v>
      </c>
      <c r="Z111" s="155" t="str">
        <f t="shared" si="112"/>
        <v/>
      </c>
      <c r="AA111" s="155" t="str">
        <f t="shared" si="112"/>
        <v/>
      </c>
      <c r="AB111" s="155" t="str">
        <f t="shared" si="112"/>
        <v/>
      </c>
      <c r="AC111" s="155" t="str">
        <f t="shared" si="112"/>
        <v/>
      </c>
      <c r="AD111" s="155" t="str">
        <f t="shared" si="112"/>
        <v/>
      </c>
      <c r="AE111" s="137">
        <f t="shared" si="59"/>
        <v>0</v>
      </c>
      <c r="AF111" s="137">
        <f t="shared" si="60"/>
        <v>0</v>
      </c>
      <c r="AG111" s="137">
        <f t="shared" si="61"/>
        <v>0</v>
      </c>
      <c r="AH111" s="137">
        <f t="shared" si="62"/>
        <v>0</v>
      </c>
      <c r="AI111" s="137">
        <f t="shared" si="63"/>
        <v>0</v>
      </c>
      <c r="AJ111" s="137">
        <f t="shared" si="64"/>
        <v>0</v>
      </c>
      <c r="AK111" s="137">
        <f t="shared" si="65"/>
        <v>0</v>
      </c>
      <c r="AL111" s="137">
        <f t="shared" si="66"/>
        <v>0</v>
      </c>
      <c r="AM111" s="137">
        <f t="shared" si="67"/>
        <v>0</v>
      </c>
      <c r="AN111" s="137">
        <f t="shared" si="68"/>
        <v>0</v>
      </c>
      <c r="AO111" s="1201">
        <f t="shared" si="101"/>
        <v>0</v>
      </c>
      <c r="AP111" s="1201">
        <f t="shared" si="102"/>
        <v>0</v>
      </c>
      <c r="AQ111" s="1201">
        <f t="shared" si="103"/>
        <v>0</v>
      </c>
      <c r="AR111" s="1201">
        <f t="shared" si="104"/>
        <v>0</v>
      </c>
      <c r="AS111" s="1201">
        <f t="shared" si="105"/>
        <v>0</v>
      </c>
      <c r="AT111" s="1201">
        <f t="shared" si="106"/>
        <v>0</v>
      </c>
      <c r="AU111" s="1201">
        <f t="shared" si="107"/>
        <v>0</v>
      </c>
      <c r="AV111" s="1201">
        <f t="shared" si="108"/>
        <v>0</v>
      </c>
      <c r="AW111" s="1201">
        <f t="shared" si="109"/>
        <v>0</v>
      </c>
      <c r="AX111" s="1201">
        <f t="shared" si="110"/>
        <v>0</v>
      </c>
    </row>
    <row r="112" spans="2:50" ht="15" outlineLevel="1" x14ac:dyDescent="0.25">
      <c r="B112" s="729" t="str">
        <f>'[11]COSTOS DEL PLAN'!B90</f>
        <v>REEMPLAZO DE TRANSFORMADORES DE PUESTA A TIERRA TT1 y TT2 SUBESTACIONES MATA DE NANCE Y PROGRESO</v>
      </c>
      <c r="C112" s="2"/>
      <c r="D112" s="2"/>
      <c r="E112" s="2"/>
      <c r="F112" s="2"/>
      <c r="G112" s="2"/>
      <c r="H112" s="1226">
        <v>0</v>
      </c>
      <c r="I112" s="1226">
        <v>0</v>
      </c>
      <c r="J112" s="1226">
        <f>IF(YEAR('[11]COSTOS DEL PLAN'!$P90)=J$7,'[11]COSTOS DEL PLAN'!$O90,)</f>
        <v>0</v>
      </c>
      <c r="K112" s="1226">
        <f>IF(YEAR('[11]COSTOS DEL PLAN'!$P90)=K$7,'[11]COSTOS DEL PLAN'!$O90,)</f>
        <v>0</v>
      </c>
      <c r="L112" s="1226">
        <f>IF(YEAR('[11]COSTOS DEL PLAN'!$P90)=L$7,'[11]COSTOS DEL PLAN'!$O90,)</f>
        <v>0</v>
      </c>
      <c r="M112" s="1226">
        <f>IF(YEAR('[11]COSTOS DEL PLAN'!$P90)=M$7,'[11]COSTOS DEL PLAN'!$O90,)</f>
        <v>0</v>
      </c>
      <c r="N112" s="1226">
        <f>IF(YEAR('[11]COSTOS DEL PLAN'!$P90)=N$7,'[11]COSTOS DEL PLAN'!$O90,)</f>
        <v>0</v>
      </c>
      <c r="O112" s="66">
        <f t="shared" si="99"/>
        <v>0</v>
      </c>
      <c r="Q112" s="82">
        <f>'[11]COSTOS DEL PLAN'!P90</f>
        <v>46022</v>
      </c>
      <c r="S112" s="82"/>
      <c r="U112" s="155" t="str">
        <f t="shared" si="112"/>
        <v/>
      </c>
      <c r="V112" s="155" t="str">
        <f t="shared" si="112"/>
        <v/>
      </c>
      <c r="W112" s="155" t="str">
        <f t="shared" si="112"/>
        <v/>
      </c>
      <c r="X112" s="155" t="str">
        <f t="shared" si="112"/>
        <v/>
      </c>
      <c r="Y112" s="155">
        <f t="shared" si="112"/>
        <v>46022</v>
      </c>
      <c r="Z112" s="155" t="str">
        <f t="shared" si="112"/>
        <v/>
      </c>
      <c r="AA112" s="155" t="str">
        <f t="shared" si="112"/>
        <v/>
      </c>
      <c r="AB112" s="155" t="str">
        <f t="shared" si="112"/>
        <v/>
      </c>
      <c r="AC112" s="155" t="str">
        <f t="shared" si="112"/>
        <v/>
      </c>
      <c r="AD112" s="155" t="str">
        <f t="shared" si="112"/>
        <v/>
      </c>
      <c r="AE112" s="137">
        <f t="shared" si="59"/>
        <v>0</v>
      </c>
      <c r="AF112" s="137">
        <f t="shared" si="60"/>
        <v>0</v>
      </c>
      <c r="AG112" s="137">
        <f t="shared" si="61"/>
        <v>0</v>
      </c>
      <c r="AH112" s="137">
        <f t="shared" si="62"/>
        <v>0</v>
      </c>
      <c r="AI112" s="137">
        <f t="shared" si="63"/>
        <v>0</v>
      </c>
      <c r="AJ112" s="137">
        <f t="shared" si="64"/>
        <v>0</v>
      </c>
      <c r="AK112" s="137">
        <f t="shared" si="65"/>
        <v>0</v>
      </c>
      <c r="AL112" s="137">
        <f t="shared" si="66"/>
        <v>0</v>
      </c>
      <c r="AM112" s="137">
        <f t="shared" si="67"/>
        <v>0</v>
      </c>
      <c r="AN112" s="137">
        <f t="shared" si="68"/>
        <v>0</v>
      </c>
      <c r="AO112" s="1201">
        <f t="shared" si="101"/>
        <v>0</v>
      </c>
      <c r="AP112" s="1201">
        <f t="shared" si="102"/>
        <v>0</v>
      </c>
      <c r="AQ112" s="1201">
        <f t="shared" si="103"/>
        <v>0</v>
      </c>
      <c r="AR112" s="1201">
        <f t="shared" si="104"/>
        <v>0</v>
      </c>
      <c r="AS112" s="1201">
        <f t="shared" si="105"/>
        <v>0</v>
      </c>
      <c r="AT112" s="1201">
        <f t="shared" si="106"/>
        <v>0</v>
      </c>
      <c r="AU112" s="1201">
        <f t="shared" si="107"/>
        <v>0</v>
      </c>
      <c r="AV112" s="1201">
        <f t="shared" si="108"/>
        <v>0</v>
      </c>
      <c r="AW112" s="1201">
        <f t="shared" si="109"/>
        <v>0</v>
      </c>
      <c r="AX112" s="1201">
        <f t="shared" si="110"/>
        <v>0</v>
      </c>
    </row>
    <row r="113" spans="2:50" ht="15" outlineLevel="1" x14ac:dyDescent="0.25">
      <c r="B113" s="729" t="str">
        <f>'[11]COSTOS DEL PLAN'!B91</f>
        <v>REEMPLAZO DE REACTORES DE 230 KV DE LA SUBESTACIÓN VELADERO (3), LLANO SÁNCHEZ (3) Y LLS 34.5 KV (1)</v>
      </c>
      <c r="C113" s="2"/>
      <c r="D113" s="2"/>
      <c r="E113" s="2"/>
      <c r="F113" s="2"/>
      <c r="G113" s="2"/>
      <c r="H113" s="1226">
        <v>0</v>
      </c>
      <c r="I113" s="1226">
        <v>0</v>
      </c>
      <c r="J113" s="1226">
        <f>IF(YEAR('[11]COSTOS DEL PLAN'!$P91)=J$7,'[11]COSTOS DEL PLAN'!$O91,)</f>
        <v>0</v>
      </c>
      <c r="K113" s="1226">
        <f>IF(YEAR('[11]COSTOS DEL PLAN'!$P91)=K$7,'[11]COSTOS DEL PLAN'!$O91,)</f>
        <v>0</v>
      </c>
      <c r="L113" s="1226">
        <f>IF(YEAR('[11]COSTOS DEL PLAN'!$P91)=L$7,'[11]COSTOS DEL PLAN'!$O91,)</f>
        <v>0</v>
      </c>
      <c r="M113" s="1226">
        <f>IF(YEAR('[11]COSTOS DEL PLAN'!$P91)=M$7,'[11]COSTOS DEL PLAN'!$O91,)</f>
        <v>0</v>
      </c>
      <c r="N113" s="1226">
        <f>IF(YEAR('[11]COSTOS DEL PLAN'!$P91)=N$7,'[11]COSTOS DEL PLAN'!$O91,)</f>
        <v>0</v>
      </c>
      <c r="O113" s="66">
        <f t="shared" si="99"/>
        <v>0</v>
      </c>
      <c r="P113" s="63"/>
      <c r="Q113" s="82">
        <f>'[11]COSTOS DEL PLAN'!P91</f>
        <v>46022</v>
      </c>
      <c r="R113" s="64"/>
      <c r="S113" s="82"/>
      <c r="T113" s="63"/>
      <c r="U113" s="155" t="str">
        <f t="shared" si="112"/>
        <v/>
      </c>
      <c r="V113" s="155" t="str">
        <f t="shared" si="112"/>
        <v/>
      </c>
      <c r="W113" s="155" t="str">
        <f t="shared" si="112"/>
        <v/>
      </c>
      <c r="X113" s="155" t="str">
        <f t="shared" si="112"/>
        <v/>
      </c>
      <c r="Y113" s="155">
        <f t="shared" si="112"/>
        <v>46022</v>
      </c>
      <c r="Z113" s="155" t="str">
        <f t="shared" si="112"/>
        <v/>
      </c>
      <c r="AA113" s="155" t="str">
        <f t="shared" si="112"/>
        <v/>
      </c>
      <c r="AB113" s="155" t="str">
        <f t="shared" si="112"/>
        <v/>
      </c>
      <c r="AC113" s="155" t="str">
        <f t="shared" si="112"/>
        <v/>
      </c>
      <c r="AD113" s="155" t="str">
        <f t="shared" si="112"/>
        <v/>
      </c>
      <c r="AE113" s="137">
        <f t="shared" ref="AE113:AE165" si="113">IF(U113="",,(DATE(AE$6,12,31)-U113)/365)</f>
        <v>0</v>
      </c>
      <c r="AF113" s="137">
        <f t="shared" ref="AF113:AF165" si="114">IF(V113="",,(DATE(AF$6,12,31)-V113)/365)</f>
        <v>0</v>
      </c>
      <c r="AG113" s="137">
        <f t="shared" ref="AG113:AG165" si="115">IF(W113="",,(DATE(AG$6,12,31)-W113)/365)</f>
        <v>0</v>
      </c>
      <c r="AH113" s="137">
        <f t="shared" ref="AH113:AH165" si="116">IF(X113="",,(DATE(AH$6,12,31)-X113)/365)</f>
        <v>0</v>
      </c>
      <c r="AI113" s="137">
        <f t="shared" ref="AI113:AI165" si="117">IF(Y113="",,(DATE(AI$6,12,31)-Y113)/365)</f>
        <v>0</v>
      </c>
      <c r="AJ113" s="137">
        <f t="shared" ref="AJ113:AJ165" si="118">IF(Z113="",,(DATE(AJ$6,12,31)-Z113)/365)</f>
        <v>0</v>
      </c>
      <c r="AK113" s="137">
        <f t="shared" ref="AK113:AK165" si="119">IF(AA113="",,(DATE(AK$6,12,31)-AA113)/365)</f>
        <v>0</v>
      </c>
      <c r="AL113" s="137">
        <f t="shared" ref="AL113:AL165" si="120">IF(AB113="",,(DATE(AL$6,12,31)-AB113)/365)</f>
        <v>0</v>
      </c>
      <c r="AM113" s="137">
        <f t="shared" ref="AM113:AM165" si="121">IF(AC113="",,(DATE(AM$6,12,31)-AC113)/365)</f>
        <v>0</v>
      </c>
      <c r="AN113" s="137">
        <f t="shared" ref="AN113:AN165" si="122">IF(AD113="",,(DATE(AN$6,12,31)-AD113)/365)</f>
        <v>0</v>
      </c>
      <c r="AO113" s="1201">
        <f t="shared" si="101"/>
        <v>0</v>
      </c>
      <c r="AP113" s="1201">
        <f t="shared" si="102"/>
        <v>0</v>
      </c>
      <c r="AQ113" s="1201">
        <f t="shared" si="103"/>
        <v>0</v>
      </c>
      <c r="AR113" s="1201">
        <f t="shared" si="104"/>
        <v>0</v>
      </c>
      <c r="AS113" s="1201">
        <f t="shared" si="105"/>
        <v>0</v>
      </c>
      <c r="AT113" s="1201">
        <f t="shared" si="106"/>
        <v>0</v>
      </c>
      <c r="AU113" s="1201">
        <f t="shared" si="107"/>
        <v>0</v>
      </c>
      <c r="AV113" s="1201">
        <f t="shared" si="108"/>
        <v>0</v>
      </c>
      <c r="AW113" s="1201">
        <f t="shared" si="109"/>
        <v>0</v>
      </c>
      <c r="AX113" s="1201">
        <f t="shared" si="110"/>
        <v>0</v>
      </c>
    </row>
    <row r="114" spans="2:50" ht="15" outlineLevel="1" x14ac:dyDescent="0.25">
      <c r="B114" s="729" t="str">
        <f>'[11]COSTOS DEL PLAN'!B92</f>
        <v>CENTRO DE MONITOREO Y CONTROL</v>
      </c>
      <c r="C114" s="2"/>
      <c r="D114" s="2"/>
      <c r="E114" s="2"/>
      <c r="F114" s="2"/>
      <c r="G114" s="2"/>
      <c r="H114" s="1226">
        <v>0</v>
      </c>
      <c r="I114" s="1226">
        <v>0</v>
      </c>
      <c r="J114" s="1226">
        <f>IF(YEAR('[11]COSTOS DEL PLAN'!$P92)=J$7,'[11]COSTOS DEL PLAN'!$O92,)</f>
        <v>0</v>
      </c>
      <c r="K114" s="1226">
        <f>IF(YEAR('[11]COSTOS DEL PLAN'!$P92)=K$7,'[11]COSTOS DEL PLAN'!$O92,)</f>
        <v>0</v>
      </c>
      <c r="L114" s="1226">
        <f>IF(YEAR('[11]COSTOS DEL PLAN'!$P92)=L$7,'[11]COSTOS DEL PLAN'!$O92,)</f>
        <v>0</v>
      </c>
      <c r="M114" s="1226">
        <f>IF(YEAR('[11]COSTOS DEL PLAN'!$P92)=M$7,'[11]COSTOS DEL PLAN'!$O92,)</f>
        <v>0</v>
      </c>
      <c r="N114" s="1226">
        <f>IF(YEAR('[11]COSTOS DEL PLAN'!$P92)=N$7,'[11]COSTOS DEL PLAN'!$O92,)</f>
        <v>0</v>
      </c>
      <c r="O114" s="66">
        <f t="shared" si="99"/>
        <v>0</v>
      </c>
      <c r="P114" s="63"/>
      <c r="Q114" s="82">
        <f>'[11]COSTOS DEL PLAN'!P92</f>
        <v>46022</v>
      </c>
      <c r="R114" s="64"/>
      <c r="S114" s="82"/>
      <c r="T114" s="63"/>
      <c r="U114" s="155" t="str">
        <f t="shared" si="112"/>
        <v/>
      </c>
      <c r="V114" s="155" t="str">
        <f t="shared" si="112"/>
        <v/>
      </c>
      <c r="W114" s="155" t="str">
        <f t="shared" si="112"/>
        <v/>
      </c>
      <c r="X114" s="155" t="str">
        <f t="shared" si="112"/>
        <v/>
      </c>
      <c r="Y114" s="155">
        <f t="shared" si="112"/>
        <v>46022</v>
      </c>
      <c r="Z114" s="155" t="str">
        <f t="shared" si="112"/>
        <v/>
      </c>
      <c r="AA114" s="155" t="str">
        <f t="shared" si="112"/>
        <v/>
      </c>
      <c r="AB114" s="155" t="str">
        <f t="shared" si="112"/>
        <v/>
      </c>
      <c r="AC114" s="155" t="str">
        <f t="shared" si="112"/>
        <v/>
      </c>
      <c r="AD114" s="155" t="str">
        <f t="shared" si="112"/>
        <v/>
      </c>
      <c r="AE114" s="137">
        <f t="shared" si="113"/>
        <v>0</v>
      </c>
      <c r="AF114" s="137">
        <f t="shared" si="114"/>
        <v>0</v>
      </c>
      <c r="AG114" s="137">
        <f t="shared" si="115"/>
        <v>0</v>
      </c>
      <c r="AH114" s="137">
        <f t="shared" si="116"/>
        <v>0</v>
      </c>
      <c r="AI114" s="137">
        <f t="shared" si="117"/>
        <v>0</v>
      </c>
      <c r="AJ114" s="137">
        <f t="shared" si="118"/>
        <v>0</v>
      </c>
      <c r="AK114" s="137">
        <f t="shared" si="119"/>
        <v>0</v>
      </c>
      <c r="AL114" s="137">
        <f t="shared" si="120"/>
        <v>0</v>
      </c>
      <c r="AM114" s="137">
        <f t="shared" si="121"/>
        <v>0</v>
      </c>
      <c r="AN114" s="137">
        <f t="shared" si="122"/>
        <v>0</v>
      </c>
      <c r="AO114" s="1201">
        <f t="shared" si="101"/>
        <v>0</v>
      </c>
      <c r="AP114" s="1201">
        <f t="shared" si="102"/>
        <v>0</v>
      </c>
      <c r="AQ114" s="1201">
        <f t="shared" si="103"/>
        <v>0</v>
      </c>
      <c r="AR114" s="1201">
        <f t="shared" si="104"/>
        <v>0</v>
      </c>
      <c r="AS114" s="1201">
        <f t="shared" si="105"/>
        <v>0</v>
      </c>
      <c r="AT114" s="1201">
        <f t="shared" si="106"/>
        <v>0</v>
      </c>
      <c r="AU114" s="1201">
        <f t="shared" si="107"/>
        <v>0</v>
      </c>
      <c r="AV114" s="1201">
        <f t="shared" si="108"/>
        <v>0</v>
      </c>
      <c r="AW114" s="1201">
        <f t="shared" si="109"/>
        <v>0</v>
      </c>
      <c r="AX114" s="1201">
        <f t="shared" si="110"/>
        <v>0</v>
      </c>
    </row>
    <row r="115" spans="2:50" ht="15" outlineLevel="1" x14ac:dyDescent="0.25">
      <c r="B115" s="729" t="str">
        <f>'[11]COSTOS DEL PLAN'!B93</f>
        <v>REEMPLAZO CUCHILLAS MANUALES S/E PANAMA 230 KV</v>
      </c>
      <c r="C115" s="2"/>
      <c r="D115" s="2"/>
      <c r="E115" s="2"/>
      <c r="F115" s="2"/>
      <c r="G115" s="2"/>
      <c r="H115" s="1226">
        <v>0</v>
      </c>
      <c r="I115" s="1226">
        <v>0</v>
      </c>
      <c r="J115" s="1226">
        <f>IF(YEAR('[11]COSTOS DEL PLAN'!$P93)=J$7,'[11]COSTOS DEL PLAN'!$O93,)</f>
        <v>0</v>
      </c>
      <c r="K115" s="1226">
        <f>IF(YEAR('[11]COSTOS DEL PLAN'!$P93)=K$7,'[11]COSTOS DEL PLAN'!$O93,)</f>
        <v>0</v>
      </c>
      <c r="L115" s="1226">
        <f>IF(YEAR('[11]COSTOS DEL PLAN'!$P93)=L$7,'[11]COSTOS DEL PLAN'!$O93,)</f>
        <v>0</v>
      </c>
      <c r="M115" s="1226">
        <f>IF(YEAR('[11]COSTOS DEL PLAN'!$P93)=M$7,'[11]COSTOS DEL PLAN'!$O93,)</f>
        <v>0</v>
      </c>
      <c r="N115" s="1226">
        <f>IF(YEAR('[11]COSTOS DEL PLAN'!$P93)=N$7,'[11]COSTOS DEL PLAN'!$O93,)</f>
        <v>0</v>
      </c>
      <c r="O115" s="66">
        <f t="shared" si="99"/>
        <v>0</v>
      </c>
      <c r="P115" s="63"/>
      <c r="Q115" s="82">
        <f>'[11]COSTOS DEL PLAN'!P93</f>
        <v>46022</v>
      </c>
      <c r="R115" s="64"/>
      <c r="S115" s="82"/>
      <c r="T115" s="63"/>
      <c r="U115" s="155" t="str">
        <f t="shared" si="112"/>
        <v/>
      </c>
      <c r="V115" s="155" t="str">
        <f t="shared" si="112"/>
        <v/>
      </c>
      <c r="W115" s="155" t="str">
        <f t="shared" si="112"/>
        <v/>
      </c>
      <c r="X115" s="155" t="str">
        <f t="shared" si="112"/>
        <v/>
      </c>
      <c r="Y115" s="155">
        <f t="shared" si="112"/>
        <v>46022</v>
      </c>
      <c r="Z115" s="155" t="str">
        <f t="shared" si="112"/>
        <v/>
      </c>
      <c r="AA115" s="155" t="str">
        <f t="shared" si="112"/>
        <v/>
      </c>
      <c r="AB115" s="155" t="str">
        <f t="shared" si="112"/>
        <v/>
      </c>
      <c r="AC115" s="155" t="str">
        <f t="shared" si="112"/>
        <v/>
      </c>
      <c r="AD115" s="155" t="str">
        <f t="shared" si="112"/>
        <v/>
      </c>
      <c r="AE115" s="137">
        <f t="shared" si="113"/>
        <v>0</v>
      </c>
      <c r="AF115" s="137">
        <f t="shared" si="114"/>
        <v>0</v>
      </c>
      <c r="AG115" s="137">
        <f t="shared" si="115"/>
        <v>0</v>
      </c>
      <c r="AH115" s="137">
        <f t="shared" si="116"/>
        <v>0</v>
      </c>
      <c r="AI115" s="137">
        <f t="shared" si="117"/>
        <v>0</v>
      </c>
      <c r="AJ115" s="137">
        <f t="shared" si="118"/>
        <v>0</v>
      </c>
      <c r="AK115" s="137">
        <f t="shared" si="119"/>
        <v>0</v>
      </c>
      <c r="AL115" s="137">
        <f t="shared" si="120"/>
        <v>0</v>
      </c>
      <c r="AM115" s="137">
        <f t="shared" si="121"/>
        <v>0</v>
      </c>
      <c r="AN115" s="137">
        <f t="shared" si="122"/>
        <v>0</v>
      </c>
      <c r="AO115" s="1201">
        <f t="shared" si="101"/>
        <v>0</v>
      </c>
      <c r="AP115" s="1201">
        <f t="shared" si="102"/>
        <v>0</v>
      </c>
      <c r="AQ115" s="1201">
        <f t="shared" si="103"/>
        <v>0</v>
      </c>
      <c r="AR115" s="1201">
        <f t="shared" si="104"/>
        <v>0</v>
      </c>
      <c r="AS115" s="1201">
        <f t="shared" si="105"/>
        <v>0</v>
      </c>
      <c r="AT115" s="1201">
        <f t="shared" si="106"/>
        <v>0</v>
      </c>
      <c r="AU115" s="1201">
        <f t="shared" si="107"/>
        <v>0</v>
      </c>
      <c r="AV115" s="1201">
        <f t="shared" si="108"/>
        <v>0</v>
      </c>
      <c r="AW115" s="1201">
        <f t="shared" si="109"/>
        <v>0</v>
      </c>
      <c r="AX115" s="1201">
        <f t="shared" si="110"/>
        <v>0</v>
      </c>
    </row>
    <row r="116" spans="2:50" ht="15" outlineLevel="1" x14ac:dyDescent="0.25">
      <c r="B116" s="729" t="str">
        <f>'[11]COSTOS DEL PLAN'!B94</f>
        <v xml:space="preserve">REEMPLAZO INTERRUPTORES S/E CHORRERA 230 KV </v>
      </c>
      <c r="C116" s="2"/>
      <c r="D116" s="2"/>
      <c r="E116" s="2"/>
      <c r="F116" s="2"/>
      <c r="G116" s="2"/>
      <c r="H116" s="1226">
        <v>0</v>
      </c>
      <c r="I116" s="1226">
        <v>0</v>
      </c>
      <c r="J116" s="1226">
        <f>IF(YEAR('[11]COSTOS DEL PLAN'!$P94)=J$7,'[11]COSTOS DEL PLAN'!$O94,)</f>
        <v>0</v>
      </c>
      <c r="K116" s="1226">
        <f>IF(YEAR('[11]COSTOS DEL PLAN'!$P94)=K$7,'[11]COSTOS DEL PLAN'!$O94,)</f>
        <v>0</v>
      </c>
      <c r="L116" s="1226">
        <f>IF(YEAR('[11]COSTOS DEL PLAN'!$P94)=L$7,'[11]COSTOS DEL PLAN'!$O94,)</f>
        <v>0</v>
      </c>
      <c r="M116" s="1226">
        <f>IF(YEAR('[11]COSTOS DEL PLAN'!$P94)=M$7,'[11]COSTOS DEL PLAN'!$O94,)</f>
        <v>0</v>
      </c>
      <c r="N116" s="1226">
        <f>IF(YEAR('[11]COSTOS DEL PLAN'!$P94)=N$7,'[11]COSTOS DEL PLAN'!$O94,)</f>
        <v>0</v>
      </c>
      <c r="O116" s="66">
        <f t="shared" si="99"/>
        <v>0</v>
      </c>
      <c r="P116" s="63"/>
      <c r="Q116" s="82">
        <f>'[11]COSTOS DEL PLAN'!P94</f>
        <v>46022</v>
      </c>
      <c r="S116" s="82"/>
      <c r="T116" s="63"/>
      <c r="U116" s="155" t="str">
        <f t="shared" si="112"/>
        <v/>
      </c>
      <c r="V116" s="155" t="str">
        <f t="shared" si="112"/>
        <v/>
      </c>
      <c r="W116" s="155" t="str">
        <f t="shared" si="112"/>
        <v/>
      </c>
      <c r="X116" s="155" t="str">
        <f t="shared" si="112"/>
        <v/>
      </c>
      <c r="Y116" s="155">
        <f t="shared" si="112"/>
        <v>46022</v>
      </c>
      <c r="Z116" s="155" t="str">
        <f t="shared" si="112"/>
        <v/>
      </c>
      <c r="AA116" s="155" t="str">
        <f t="shared" si="112"/>
        <v/>
      </c>
      <c r="AB116" s="155" t="str">
        <f t="shared" si="112"/>
        <v/>
      </c>
      <c r="AC116" s="155" t="str">
        <f t="shared" si="112"/>
        <v/>
      </c>
      <c r="AD116" s="155" t="str">
        <f t="shared" si="112"/>
        <v/>
      </c>
      <c r="AE116" s="137">
        <f t="shared" si="113"/>
        <v>0</v>
      </c>
      <c r="AF116" s="137">
        <f t="shared" si="114"/>
        <v>0</v>
      </c>
      <c r="AG116" s="137">
        <f t="shared" si="115"/>
        <v>0</v>
      </c>
      <c r="AH116" s="137">
        <f t="shared" si="116"/>
        <v>0</v>
      </c>
      <c r="AI116" s="137">
        <f t="shared" si="117"/>
        <v>0</v>
      </c>
      <c r="AJ116" s="137">
        <f t="shared" si="118"/>
        <v>0</v>
      </c>
      <c r="AK116" s="137">
        <f t="shared" si="119"/>
        <v>0</v>
      </c>
      <c r="AL116" s="137">
        <f t="shared" si="120"/>
        <v>0</v>
      </c>
      <c r="AM116" s="137">
        <f t="shared" si="121"/>
        <v>0</v>
      </c>
      <c r="AN116" s="137">
        <f t="shared" si="122"/>
        <v>0</v>
      </c>
      <c r="AO116" s="1201">
        <f t="shared" si="101"/>
        <v>0</v>
      </c>
      <c r="AP116" s="1201">
        <f t="shared" si="102"/>
        <v>0</v>
      </c>
      <c r="AQ116" s="1201">
        <f t="shared" si="103"/>
        <v>0</v>
      </c>
      <c r="AR116" s="1201">
        <f t="shared" si="104"/>
        <v>0</v>
      </c>
      <c r="AS116" s="1201">
        <f t="shared" si="105"/>
        <v>0</v>
      </c>
      <c r="AT116" s="1201">
        <f t="shared" si="106"/>
        <v>0</v>
      </c>
      <c r="AU116" s="1201">
        <f t="shared" si="107"/>
        <v>0</v>
      </c>
      <c r="AV116" s="1201">
        <f t="shared" si="108"/>
        <v>0</v>
      </c>
      <c r="AW116" s="1201">
        <f t="shared" si="109"/>
        <v>0</v>
      </c>
      <c r="AX116" s="1201">
        <f t="shared" si="110"/>
        <v>0</v>
      </c>
    </row>
    <row r="117" spans="2:50" ht="15" outlineLevel="1" x14ac:dyDescent="0.25">
      <c r="B117" s="729" t="str">
        <f>'[11]COSTOS DEL PLAN'!B95</f>
        <v>REEMPLAZO DE BANCO DE BATERÍAS CHARCO AZUL, BOQUERON, MATA DEL NANCE, PROGRESO Y BELLA VISTA</v>
      </c>
      <c r="C117" s="2"/>
      <c r="D117" s="2"/>
      <c r="E117" s="2"/>
      <c r="F117" s="2"/>
      <c r="G117" s="2"/>
      <c r="H117" s="1226">
        <v>0</v>
      </c>
      <c r="I117" s="1226">
        <v>0</v>
      </c>
      <c r="J117" s="1226">
        <f>IF(YEAR('[11]COSTOS DEL PLAN'!$P95)=J$7,'[11]COSTOS DEL PLAN'!$O95,)</f>
        <v>0</v>
      </c>
      <c r="K117" s="1226">
        <f>IF(YEAR('[11]COSTOS DEL PLAN'!$P95)=K$7,'[11]COSTOS DEL PLAN'!$O95,)</f>
        <v>0</v>
      </c>
      <c r="L117" s="1226">
        <f>IF(YEAR('[11]COSTOS DEL PLAN'!$P95)=L$7,'[11]COSTOS DEL PLAN'!$O95,)</f>
        <v>0</v>
      </c>
      <c r="M117" s="1226">
        <f>IF(YEAR('[11]COSTOS DEL PLAN'!$P95)=M$7,'[11]COSTOS DEL PLAN'!$O95,)</f>
        <v>0</v>
      </c>
      <c r="N117" s="1226">
        <f>IF(YEAR('[11]COSTOS DEL PLAN'!$P95)=N$7,'[11]COSTOS DEL PLAN'!$O95,)</f>
        <v>0</v>
      </c>
      <c r="O117" s="66">
        <f t="shared" si="99"/>
        <v>0</v>
      </c>
      <c r="P117" s="63"/>
      <c r="Q117" s="82">
        <f>'[11]COSTOS DEL PLAN'!P95</f>
        <v>46022</v>
      </c>
      <c r="S117" s="82"/>
      <c r="T117" s="63"/>
      <c r="U117" s="155" t="str">
        <f t="shared" si="112"/>
        <v/>
      </c>
      <c r="V117" s="155" t="str">
        <f t="shared" si="112"/>
        <v/>
      </c>
      <c r="W117" s="155" t="str">
        <f t="shared" si="112"/>
        <v/>
      </c>
      <c r="X117" s="155" t="str">
        <f t="shared" si="112"/>
        <v/>
      </c>
      <c r="Y117" s="155">
        <f t="shared" si="112"/>
        <v>46022</v>
      </c>
      <c r="Z117" s="155" t="str">
        <f t="shared" si="112"/>
        <v/>
      </c>
      <c r="AA117" s="155" t="str">
        <f t="shared" si="112"/>
        <v/>
      </c>
      <c r="AB117" s="155" t="str">
        <f t="shared" si="112"/>
        <v/>
      </c>
      <c r="AC117" s="155" t="str">
        <f t="shared" si="112"/>
        <v/>
      </c>
      <c r="AD117" s="155" t="str">
        <f t="shared" si="112"/>
        <v/>
      </c>
      <c r="AE117" s="137">
        <f t="shared" si="113"/>
        <v>0</v>
      </c>
      <c r="AF117" s="137">
        <f t="shared" si="114"/>
        <v>0</v>
      </c>
      <c r="AG117" s="137">
        <f t="shared" si="115"/>
        <v>0</v>
      </c>
      <c r="AH117" s="137">
        <f t="shared" si="116"/>
        <v>0</v>
      </c>
      <c r="AI117" s="137">
        <f t="shared" si="117"/>
        <v>0</v>
      </c>
      <c r="AJ117" s="137">
        <f t="shared" si="118"/>
        <v>0</v>
      </c>
      <c r="AK117" s="137">
        <f t="shared" si="119"/>
        <v>0</v>
      </c>
      <c r="AL117" s="137">
        <f t="shared" si="120"/>
        <v>0</v>
      </c>
      <c r="AM117" s="137">
        <f t="shared" si="121"/>
        <v>0</v>
      </c>
      <c r="AN117" s="137">
        <f t="shared" si="122"/>
        <v>0</v>
      </c>
      <c r="AO117" s="1201">
        <f t="shared" si="101"/>
        <v>0</v>
      </c>
      <c r="AP117" s="1201">
        <f t="shared" si="102"/>
        <v>0</v>
      </c>
      <c r="AQ117" s="1201">
        <f t="shared" si="103"/>
        <v>0</v>
      </c>
      <c r="AR117" s="1201">
        <f t="shared" si="104"/>
        <v>0</v>
      </c>
      <c r="AS117" s="1201">
        <f t="shared" si="105"/>
        <v>0</v>
      </c>
      <c r="AT117" s="1201">
        <f t="shared" si="106"/>
        <v>0</v>
      </c>
      <c r="AU117" s="1201">
        <f t="shared" si="107"/>
        <v>0</v>
      </c>
      <c r="AV117" s="1201">
        <f t="shared" si="108"/>
        <v>0</v>
      </c>
      <c r="AW117" s="1201">
        <f t="shared" si="109"/>
        <v>0</v>
      </c>
      <c r="AX117" s="1201">
        <f t="shared" si="110"/>
        <v>0</v>
      </c>
    </row>
    <row r="118" spans="2:50" ht="15" outlineLevel="1" x14ac:dyDescent="0.25">
      <c r="B118" s="729" t="str">
        <f>'[11]COSTOS DEL PLAN'!B96</f>
        <v>RECTIIFCADORES DE CAÑAZAS, PROGRESO, CHARCO AZUL, MATA DEL NANCE, CALDERA</v>
      </c>
      <c r="C118" s="2"/>
      <c r="D118" s="2"/>
      <c r="E118" s="2"/>
      <c r="F118" s="2"/>
      <c r="G118" s="2"/>
      <c r="H118" s="1226">
        <v>0</v>
      </c>
      <c r="I118" s="1226">
        <v>0</v>
      </c>
      <c r="J118" s="1226">
        <f>IF(YEAR('[11]COSTOS DEL PLAN'!$P96)=J$7,'[11]COSTOS DEL PLAN'!$O96,)</f>
        <v>0</v>
      </c>
      <c r="K118" s="1226">
        <f>IF(YEAR('[11]COSTOS DEL PLAN'!$P96)=K$7,'[11]COSTOS DEL PLAN'!$O96,)</f>
        <v>0</v>
      </c>
      <c r="L118" s="1226">
        <f>IF(YEAR('[11]COSTOS DEL PLAN'!$P96)=L$7,'[11]COSTOS DEL PLAN'!$O96,)</f>
        <v>0</v>
      </c>
      <c r="M118" s="1226">
        <f>IF(YEAR('[11]COSTOS DEL PLAN'!$P96)=M$7,'[11]COSTOS DEL PLAN'!$O96,)</f>
        <v>0</v>
      </c>
      <c r="N118" s="1226">
        <f>IF(YEAR('[11]COSTOS DEL PLAN'!$P96)=N$7,'[11]COSTOS DEL PLAN'!$O96,)</f>
        <v>0</v>
      </c>
      <c r="O118" s="66">
        <f t="shared" si="99"/>
        <v>0</v>
      </c>
      <c r="P118" s="63"/>
      <c r="Q118" s="82">
        <f>'[11]COSTOS DEL PLAN'!P96</f>
        <v>46022</v>
      </c>
      <c r="S118" s="82"/>
      <c r="T118" s="63"/>
      <c r="U118" s="155" t="str">
        <f t="shared" si="112"/>
        <v/>
      </c>
      <c r="V118" s="155" t="str">
        <f t="shared" si="112"/>
        <v/>
      </c>
      <c r="W118" s="155" t="str">
        <f t="shared" si="112"/>
        <v/>
      </c>
      <c r="X118" s="155" t="str">
        <f t="shared" si="112"/>
        <v/>
      </c>
      <c r="Y118" s="155">
        <f t="shared" si="112"/>
        <v>46022</v>
      </c>
      <c r="Z118" s="155" t="str">
        <f t="shared" si="112"/>
        <v/>
      </c>
      <c r="AA118" s="155" t="str">
        <f t="shared" si="112"/>
        <v/>
      </c>
      <c r="AB118" s="155" t="str">
        <f t="shared" si="112"/>
        <v/>
      </c>
      <c r="AC118" s="155" t="str">
        <f t="shared" si="112"/>
        <v/>
      </c>
      <c r="AD118" s="155" t="str">
        <f t="shared" si="112"/>
        <v/>
      </c>
      <c r="AE118" s="137">
        <f t="shared" si="113"/>
        <v>0</v>
      </c>
      <c r="AF118" s="137">
        <f t="shared" si="114"/>
        <v>0</v>
      </c>
      <c r="AG118" s="137">
        <f t="shared" si="115"/>
        <v>0</v>
      </c>
      <c r="AH118" s="137">
        <f t="shared" si="116"/>
        <v>0</v>
      </c>
      <c r="AI118" s="137">
        <f t="shared" si="117"/>
        <v>0</v>
      </c>
      <c r="AJ118" s="137">
        <f t="shared" si="118"/>
        <v>0</v>
      </c>
      <c r="AK118" s="137">
        <f t="shared" si="119"/>
        <v>0</v>
      </c>
      <c r="AL118" s="137">
        <f t="shared" si="120"/>
        <v>0</v>
      </c>
      <c r="AM118" s="137">
        <f t="shared" si="121"/>
        <v>0</v>
      </c>
      <c r="AN118" s="137">
        <f t="shared" si="122"/>
        <v>0</v>
      </c>
      <c r="AO118" s="1201">
        <f t="shared" si="101"/>
        <v>0</v>
      </c>
      <c r="AP118" s="1201">
        <f t="shared" si="102"/>
        <v>0</v>
      </c>
      <c r="AQ118" s="1201">
        <f t="shared" si="103"/>
        <v>0</v>
      </c>
      <c r="AR118" s="1201">
        <f t="shared" si="104"/>
        <v>0</v>
      </c>
      <c r="AS118" s="1201">
        <f t="shared" si="105"/>
        <v>0</v>
      </c>
      <c r="AT118" s="1201">
        <f t="shared" si="106"/>
        <v>0</v>
      </c>
      <c r="AU118" s="1201">
        <f t="shared" si="107"/>
        <v>0</v>
      </c>
      <c r="AV118" s="1201">
        <f t="shared" si="108"/>
        <v>0</v>
      </c>
      <c r="AW118" s="1201">
        <f t="shared" si="109"/>
        <v>0</v>
      </c>
      <c r="AX118" s="1201">
        <f t="shared" si="110"/>
        <v>0</v>
      </c>
    </row>
    <row r="119" spans="2:50" ht="15" outlineLevel="1" x14ac:dyDescent="0.25">
      <c r="B119" s="729" t="str">
        <f>'[11]COSTOS DEL PLAN'!B97</f>
        <v>RREMPLAZO DE TRANSOFRMADOR DE SERVICIOS AUXILIARES Y TRANFER SWITCH DE LA SUBESTACION BOQUERON</v>
      </c>
      <c r="C119" s="2"/>
      <c r="D119" s="2"/>
      <c r="E119" s="2"/>
      <c r="F119" s="2"/>
      <c r="G119" s="2"/>
      <c r="H119" s="1226">
        <v>0</v>
      </c>
      <c r="I119" s="1226">
        <v>0</v>
      </c>
      <c r="J119" s="1226">
        <f>IF(YEAR('[11]COSTOS DEL PLAN'!$P97)=J$7,'[11]COSTOS DEL PLAN'!$O97,)</f>
        <v>0</v>
      </c>
      <c r="K119" s="1226">
        <f>IF(YEAR('[11]COSTOS DEL PLAN'!$P97)=K$7,'[11]COSTOS DEL PLAN'!$O97,)</f>
        <v>0</v>
      </c>
      <c r="L119" s="1226">
        <f>IF(YEAR('[11]COSTOS DEL PLAN'!$P97)=L$7,'[11]COSTOS DEL PLAN'!$O97,)</f>
        <v>0</v>
      </c>
      <c r="M119" s="1226">
        <f>IF(YEAR('[11]COSTOS DEL PLAN'!$P97)=M$7,'[11]COSTOS DEL PLAN'!$O97,)</f>
        <v>0</v>
      </c>
      <c r="N119" s="1226">
        <f>IF(YEAR('[11]COSTOS DEL PLAN'!$P97)=N$7,'[11]COSTOS DEL PLAN'!$O97,)</f>
        <v>0</v>
      </c>
      <c r="O119" s="66">
        <f t="shared" si="99"/>
        <v>0</v>
      </c>
      <c r="P119" s="63"/>
      <c r="Q119" s="82">
        <f>'[11]COSTOS DEL PLAN'!P97</f>
        <v>46022</v>
      </c>
      <c r="S119" s="82"/>
      <c r="T119" s="63"/>
      <c r="U119" s="155" t="str">
        <f t="shared" si="112"/>
        <v/>
      </c>
      <c r="V119" s="155" t="str">
        <f t="shared" si="112"/>
        <v/>
      </c>
      <c r="W119" s="155" t="str">
        <f t="shared" si="112"/>
        <v/>
      </c>
      <c r="X119" s="155" t="str">
        <f t="shared" si="112"/>
        <v/>
      </c>
      <c r="Y119" s="155">
        <f t="shared" si="112"/>
        <v>46022</v>
      </c>
      <c r="Z119" s="155" t="str">
        <f t="shared" si="112"/>
        <v/>
      </c>
      <c r="AA119" s="155" t="str">
        <f t="shared" si="112"/>
        <v/>
      </c>
      <c r="AB119" s="155" t="str">
        <f t="shared" si="112"/>
        <v/>
      </c>
      <c r="AC119" s="155" t="str">
        <f t="shared" si="112"/>
        <v/>
      </c>
      <c r="AD119" s="155" t="str">
        <f t="shared" si="112"/>
        <v/>
      </c>
      <c r="AE119" s="137">
        <f t="shared" si="113"/>
        <v>0</v>
      </c>
      <c r="AF119" s="137">
        <f t="shared" si="114"/>
        <v>0</v>
      </c>
      <c r="AG119" s="137">
        <f t="shared" si="115"/>
        <v>0</v>
      </c>
      <c r="AH119" s="137">
        <f t="shared" si="116"/>
        <v>0</v>
      </c>
      <c r="AI119" s="137">
        <f t="shared" si="117"/>
        <v>0</v>
      </c>
      <c r="AJ119" s="137">
        <f t="shared" si="118"/>
        <v>0</v>
      </c>
      <c r="AK119" s="137">
        <f t="shared" si="119"/>
        <v>0</v>
      </c>
      <c r="AL119" s="137">
        <f t="shared" si="120"/>
        <v>0</v>
      </c>
      <c r="AM119" s="137">
        <f t="shared" si="121"/>
        <v>0</v>
      </c>
      <c r="AN119" s="137">
        <f t="shared" si="122"/>
        <v>0</v>
      </c>
      <c r="AO119" s="1201">
        <f t="shared" si="101"/>
        <v>0</v>
      </c>
      <c r="AP119" s="1201">
        <f t="shared" si="102"/>
        <v>0</v>
      </c>
      <c r="AQ119" s="1201">
        <f t="shared" si="103"/>
        <v>0</v>
      </c>
      <c r="AR119" s="1201">
        <f t="shared" si="104"/>
        <v>0</v>
      </c>
      <c r="AS119" s="1201">
        <f t="shared" si="105"/>
        <v>0</v>
      </c>
      <c r="AT119" s="1201">
        <f t="shared" si="106"/>
        <v>0</v>
      </c>
      <c r="AU119" s="1201">
        <f t="shared" si="107"/>
        <v>0</v>
      </c>
      <c r="AV119" s="1201">
        <f t="shared" si="108"/>
        <v>0</v>
      </c>
      <c r="AW119" s="1201">
        <f t="shared" si="109"/>
        <v>0</v>
      </c>
      <c r="AX119" s="1201">
        <f t="shared" si="110"/>
        <v>0</v>
      </c>
    </row>
    <row r="120" spans="2:50" ht="15" outlineLevel="1" x14ac:dyDescent="0.25">
      <c r="B120" s="729" t="str">
        <f>'[11]COSTOS DEL PLAN'!B98</f>
        <v>EQUIPO MONITOREO EN LINEA DE TRANSFORMADORES</v>
      </c>
      <c r="C120" s="2"/>
      <c r="D120" s="2"/>
      <c r="E120" s="2"/>
      <c r="F120" s="2"/>
      <c r="G120" s="2"/>
      <c r="H120" s="1226">
        <v>0</v>
      </c>
      <c r="I120" s="1226">
        <v>0</v>
      </c>
      <c r="J120" s="1226">
        <f>IF(YEAR('[11]COSTOS DEL PLAN'!$P98)=J$7,'[11]COSTOS DEL PLAN'!$O98,)</f>
        <v>0</v>
      </c>
      <c r="K120" s="1226">
        <f>IF(YEAR('[11]COSTOS DEL PLAN'!$P98)=K$7,'[11]COSTOS DEL PLAN'!$O98,)</f>
        <v>0</v>
      </c>
      <c r="L120" s="1226">
        <f>IF(YEAR('[11]COSTOS DEL PLAN'!$P98)=L$7,'[11]COSTOS DEL PLAN'!$O98,)</f>
        <v>0</v>
      </c>
      <c r="M120" s="1226">
        <f>IF(YEAR('[11]COSTOS DEL PLAN'!$P98)=M$7,'[11]COSTOS DEL PLAN'!$O98,)</f>
        <v>0</v>
      </c>
      <c r="N120" s="1226">
        <f>IF(YEAR('[11]COSTOS DEL PLAN'!$P98)=N$7,'[11]COSTOS DEL PLAN'!$O98,)</f>
        <v>0</v>
      </c>
      <c r="O120" s="66">
        <f t="shared" si="99"/>
        <v>0</v>
      </c>
      <c r="P120" s="63"/>
      <c r="Q120" s="82">
        <f>'[11]COSTOS DEL PLAN'!P98</f>
        <v>46022</v>
      </c>
      <c r="S120" s="82"/>
      <c r="T120" s="63"/>
      <c r="U120" s="155" t="str">
        <f t="shared" si="112"/>
        <v/>
      </c>
      <c r="V120" s="155" t="str">
        <f t="shared" si="112"/>
        <v/>
      </c>
      <c r="W120" s="155" t="str">
        <f t="shared" si="112"/>
        <v/>
      </c>
      <c r="X120" s="155" t="str">
        <f t="shared" si="112"/>
        <v/>
      </c>
      <c r="Y120" s="155">
        <f t="shared" si="112"/>
        <v>46022</v>
      </c>
      <c r="Z120" s="155" t="str">
        <f t="shared" si="112"/>
        <v/>
      </c>
      <c r="AA120" s="155" t="str">
        <f t="shared" si="112"/>
        <v/>
      </c>
      <c r="AB120" s="155" t="str">
        <f t="shared" si="112"/>
        <v/>
      </c>
      <c r="AC120" s="155" t="str">
        <f t="shared" si="112"/>
        <v/>
      </c>
      <c r="AD120" s="155" t="str">
        <f t="shared" si="112"/>
        <v/>
      </c>
      <c r="AE120" s="137">
        <f t="shared" si="113"/>
        <v>0</v>
      </c>
      <c r="AF120" s="137">
        <f t="shared" si="114"/>
        <v>0</v>
      </c>
      <c r="AG120" s="137">
        <f t="shared" si="115"/>
        <v>0</v>
      </c>
      <c r="AH120" s="137">
        <f t="shared" si="116"/>
        <v>0</v>
      </c>
      <c r="AI120" s="137">
        <f t="shared" si="117"/>
        <v>0</v>
      </c>
      <c r="AJ120" s="137">
        <f t="shared" si="118"/>
        <v>0</v>
      </c>
      <c r="AK120" s="137">
        <f t="shared" si="119"/>
        <v>0</v>
      </c>
      <c r="AL120" s="137">
        <f t="shared" si="120"/>
        <v>0</v>
      </c>
      <c r="AM120" s="137">
        <f t="shared" si="121"/>
        <v>0</v>
      </c>
      <c r="AN120" s="137">
        <f t="shared" si="122"/>
        <v>0</v>
      </c>
      <c r="AO120" s="1201">
        <f t="shared" si="101"/>
        <v>0</v>
      </c>
      <c r="AP120" s="1201">
        <f t="shared" si="102"/>
        <v>0</v>
      </c>
      <c r="AQ120" s="1201">
        <f t="shared" si="103"/>
        <v>0</v>
      </c>
      <c r="AR120" s="1201">
        <f t="shared" si="104"/>
        <v>0</v>
      </c>
      <c r="AS120" s="1201">
        <f t="shared" si="105"/>
        <v>0</v>
      </c>
      <c r="AT120" s="1201">
        <f t="shared" si="106"/>
        <v>0</v>
      </c>
      <c r="AU120" s="1201">
        <f t="shared" si="107"/>
        <v>0</v>
      </c>
      <c r="AV120" s="1201">
        <f t="shared" si="108"/>
        <v>0</v>
      </c>
      <c r="AW120" s="1201">
        <f t="shared" si="109"/>
        <v>0</v>
      </c>
      <c r="AX120" s="1201">
        <f t="shared" si="110"/>
        <v>0</v>
      </c>
    </row>
    <row r="121" spans="2:50" ht="15" outlineLevel="1" x14ac:dyDescent="0.25">
      <c r="B121" s="729" t="str">
        <f>'[11]COSTOS DEL PLAN'!B99</f>
        <v>REEMPLAZO T1 S/E PANAMA 230/115 KV 350 MVA Y ADECUACION PANAMA 230 KV</v>
      </c>
      <c r="C121" s="2"/>
      <c r="D121" s="2"/>
      <c r="E121" s="2"/>
      <c r="F121" s="2"/>
      <c r="G121" s="2"/>
      <c r="H121" s="1226">
        <v>0</v>
      </c>
      <c r="I121" s="1226">
        <v>0</v>
      </c>
      <c r="J121" s="1226">
        <f>IF(YEAR('[11]COSTOS DEL PLAN'!$P99)=J$7,'[11]COSTOS DEL PLAN'!$O99,)</f>
        <v>0</v>
      </c>
      <c r="K121" s="1226">
        <f>IF(YEAR('[11]COSTOS DEL PLAN'!$P99)=K$7,'[11]COSTOS DEL PLAN'!$O99,)</f>
        <v>0</v>
      </c>
      <c r="L121" s="1226">
        <f>IF(YEAR('[11]COSTOS DEL PLAN'!$P99)=L$7,'[11]COSTOS DEL PLAN'!$O99,)</f>
        <v>0</v>
      </c>
      <c r="M121" s="1226">
        <f>IF(YEAR('[11]COSTOS DEL PLAN'!$P99)=M$7,'[11]COSTOS DEL PLAN'!$O99,)</f>
        <v>0</v>
      </c>
      <c r="N121" s="1226">
        <f>IF(YEAR('[11]COSTOS DEL PLAN'!$P99)=N$7,'[11]COSTOS DEL PLAN'!$O99,)</f>
        <v>0</v>
      </c>
      <c r="O121" s="66">
        <f t="shared" si="99"/>
        <v>0</v>
      </c>
      <c r="P121" s="63"/>
      <c r="Q121" s="82">
        <f>'[11]COSTOS DEL PLAN'!P99</f>
        <v>46022</v>
      </c>
      <c r="S121" s="82"/>
      <c r="T121" s="63"/>
      <c r="U121" s="155" t="str">
        <f t="shared" si="112"/>
        <v/>
      </c>
      <c r="V121" s="155" t="str">
        <f t="shared" si="112"/>
        <v/>
      </c>
      <c r="W121" s="155" t="str">
        <f t="shared" si="112"/>
        <v/>
      </c>
      <c r="X121" s="155" t="str">
        <f t="shared" si="112"/>
        <v/>
      </c>
      <c r="Y121" s="155">
        <f t="shared" si="112"/>
        <v>46022</v>
      </c>
      <c r="Z121" s="155" t="str">
        <f t="shared" si="112"/>
        <v/>
      </c>
      <c r="AA121" s="155" t="str">
        <f t="shared" si="112"/>
        <v/>
      </c>
      <c r="AB121" s="155" t="str">
        <f t="shared" si="112"/>
        <v/>
      </c>
      <c r="AC121" s="155" t="str">
        <f t="shared" si="112"/>
        <v/>
      </c>
      <c r="AD121" s="155" t="str">
        <f t="shared" si="112"/>
        <v/>
      </c>
      <c r="AE121" s="137">
        <f t="shared" si="113"/>
        <v>0</v>
      </c>
      <c r="AF121" s="137">
        <f t="shared" si="114"/>
        <v>0</v>
      </c>
      <c r="AG121" s="137">
        <f t="shared" si="115"/>
        <v>0</v>
      </c>
      <c r="AH121" s="137">
        <f t="shared" si="116"/>
        <v>0</v>
      </c>
      <c r="AI121" s="137">
        <f t="shared" si="117"/>
        <v>0</v>
      </c>
      <c r="AJ121" s="137">
        <f t="shared" si="118"/>
        <v>0</v>
      </c>
      <c r="AK121" s="137">
        <f t="shared" si="119"/>
        <v>0</v>
      </c>
      <c r="AL121" s="137">
        <f t="shared" si="120"/>
        <v>0</v>
      </c>
      <c r="AM121" s="137">
        <f t="shared" si="121"/>
        <v>0</v>
      </c>
      <c r="AN121" s="137">
        <f t="shared" si="122"/>
        <v>0</v>
      </c>
      <c r="AO121" s="1201">
        <f t="shared" si="101"/>
        <v>0</v>
      </c>
      <c r="AP121" s="1201">
        <f t="shared" si="102"/>
        <v>0</v>
      </c>
      <c r="AQ121" s="1201">
        <f t="shared" si="103"/>
        <v>0</v>
      </c>
      <c r="AR121" s="1201">
        <f t="shared" si="104"/>
        <v>0</v>
      </c>
      <c r="AS121" s="1201">
        <f t="shared" si="105"/>
        <v>0</v>
      </c>
      <c r="AT121" s="1201">
        <f t="shared" si="106"/>
        <v>0</v>
      </c>
      <c r="AU121" s="1201">
        <f t="shared" si="107"/>
        <v>0</v>
      </c>
      <c r="AV121" s="1201">
        <f t="shared" si="108"/>
        <v>0</v>
      </c>
      <c r="AW121" s="1201">
        <f t="shared" si="109"/>
        <v>0</v>
      </c>
      <c r="AX121" s="1201">
        <f t="shared" si="110"/>
        <v>0</v>
      </c>
    </row>
    <row r="122" spans="2:50" ht="15" outlineLevel="1" x14ac:dyDescent="0.25">
      <c r="B122" s="729" t="str">
        <f>'[11]COSTOS DEL PLAN'!B100</f>
        <v>REEMPLAZO PROTECCIONES S/E GUASQUITAS 230 KV</v>
      </c>
      <c r="C122" s="2"/>
      <c r="D122" s="2"/>
      <c r="E122" s="2"/>
      <c r="F122" s="2"/>
      <c r="G122" s="2"/>
      <c r="H122" s="1226">
        <v>0</v>
      </c>
      <c r="I122" s="1226">
        <v>0</v>
      </c>
      <c r="J122" s="1226">
        <v>0</v>
      </c>
      <c r="K122" s="1226">
        <f>IF(YEAR('[11]COSTOS DEL PLAN'!$P100)=K$7,'[11]COSTOS DEL PLAN'!$O100,)</f>
        <v>0</v>
      </c>
      <c r="L122" s="1226">
        <f>IF(YEAR('[11]COSTOS DEL PLAN'!$P100)=L$7,'[11]COSTOS DEL PLAN'!$O100,)</f>
        <v>0</v>
      </c>
      <c r="M122" s="1226">
        <f>IF(YEAR('[11]COSTOS DEL PLAN'!$P100)=M$7,'[11]COSTOS DEL PLAN'!$O100,)</f>
        <v>0</v>
      </c>
      <c r="N122" s="1226">
        <f>IF(YEAR('[11]COSTOS DEL PLAN'!$P100)=N$7,'[11]COSTOS DEL PLAN'!$O100,)</f>
        <v>0</v>
      </c>
      <c r="O122" s="66">
        <f t="shared" si="99"/>
        <v>0</v>
      </c>
      <c r="P122" s="63"/>
      <c r="Q122" s="82">
        <f>'[11]COSTOS DEL PLAN'!P100</f>
        <v>46387</v>
      </c>
      <c r="S122" s="82"/>
      <c r="T122" s="63"/>
      <c r="U122" s="155" t="str">
        <f t="shared" si="112"/>
        <v/>
      </c>
      <c r="V122" s="155" t="str">
        <f t="shared" si="112"/>
        <v/>
      </c>
      <c r="W122" s="155" t="str">
        <f t="shared" si="112"/>
        <v/>
      </c>
      <c r="X122" s="155" t="str">
        <f t="shared" si="112"/>
        <v/>
      </c>
      <c r="Y122" s="155" t="str">
        <f t="shared" si="112"/>
        <v/>
      </c>
      <c r="Z122" s="155">
        <f t="shared" si="112"/>
        <v>46387</v>
      </c>
      <c r="AA122" s="155" t="str">
        <f t="shared" si="112"/>
        <v/>
      </c>
      <c r="AB122" s="155" t="str">
        <f t="shared" si="112"/>
        <v/>
      </c>
      <c r="AC122" s="155" t="str">
        <f t="shared" si="112"/>
        <v/>
      </c>
      <c r="AD122" s="155" t="str">
        <f t="shared" si="112"/>
        <v/>
      </c>
      <c r="AE122" s="137">
        <f t="shared" si="113"/>
        <v>0</v>
      </c>
      <c r="AF122" s="137">
        <f t="shared" si="114"/>
        <v>0</v>
      </c>
      <c r="AG122" s="137">
        <f t="shared" si="115"/>
        <v>0</v>
      </c>
      <c r="AH122" s="137">
        <f t="shared" si="116"/>
        <v>0</v>
      </c>
      <c r="AI122" s="137">
        <f t="shared" si="117"/>
        <v>0</v>
      </c>
      <c r="AJ122" s="137">
        <f t="shared" si="118"/>
        <v>0</v>
      </c>
      <c r="AK122" s="137">
        <f t="shared" si="119"/>
        <v>0</v>
      </c>
      <c r="AL122" s="137">
        <f t="shared" si="120"/>
        <v>0</v>
      </c>
      <c r="AM122" s="137">
        <f t="shared" si="121"/>
        <v>0</v>
      </c>
      <c r="AN122" s="137">
        <f t="shared" si="122"/>
        <v>0</v>
      </c>
      <c r="AO122" s="1201">
        <f t="shared" si="101"/>
        <v>0</v>
      </c>
      <c r="AP122" s="1201">
        <f t="shared" si="102"/>
        <v>0</v>
      </c>
      <c r="AQ122" s="1201">
        <f t="shared" si="103"/>
        <v>0</v>
      </c>
      <c r="AR122" s="1201">
        <f t="shared" si="104"/>
        <v>0</v>
      </c>
      <c r="AS122" s="1201">
        <f t="shared" si="105"/>
        <v>0</v>
      </c>
      <c r="AT122" s="1201">
        <f t="shared" si="106"/>
        <v>0</v>
      </c>
      <c r="AU122" s="1201">
        <f t="shared" si="107"/>
        <v>0</v>
      </c>
      <c r="AV122" s="1201">
        <f t="shared" si="108"/>
        <v>0</v>
      </c>
      <c r="AW122" s="1201">
        <f t="shared" si="109"/>
        <v>0</v>
      </c>
      <c r="AX122" s="1201">
        <f t="shared" si="110"/>
        <v>0</v>
      </c>
    </row>
    <row r="123" spans="2:50" ht="15" outlineLevel="1" x14ac:dyDescent="0.25">
      <c r="B123" s="729" t="str">
        <f>'[11]COSTOS DEL PLAN'!B101</f>
        <v>REEMPLAZO PROTECCIONES S/E LLANO SÁNCHEZ 230 Y 115 KV</v>
      </c>
      <c r="C123" s="2"/>
      <c r="D123" s="2"/>
      <c r="E123" s="2"/>
      <c r="F123" s="2"/>
      <c r="G123" s="2"/>
      <c r="H123" s="1226">
        <v>0</v>
      </c>
      <c r="I123" s="1226">
        <v>0</v>
      </c>
      <c r="J123" s="1226">
        <v>0</v>
      </c>
      <c r="K123" s="1226">
        <v>0</v>
      </c>
      <c r="L123" s="1226">
        <v>0</v>
      </c>
      <c r="M123" s="1226">
        <v>0</v>
      </c>
      <c r="N123" s="1226">
        <v>0</v>
      </c>
      <c r="O123" s="66">
        <f t="shared" si="99"/>
        <v>0</v>
      </c>
      <c r="P123" s="63"/>
      <c r="Q123" s="82">
        <f>'[11]COSTOS DEL PLAN'!P101</f>
        <v>46387</v>
      </c>
      <c r="S123" s="82"/>
      <c r="T123" s="63"/>
      <c r="U123" s="155" t="str">
        <f t="shared" si="112"/>
        <v/>
      </c>
      <c r="V123" s="155" t="str">
        <f t="shared" si="112"/>
        <v/>
      </c>
      <c r="W123" s="155" t="str">
        <f t="shared" si="112"/>
        <v/>
      </c>
      <c r="X123" s="155" t="str">
        <f t="shared" si="112"/>
        <v/>
      </c>
      <c r="Y123" s="155" t="str">
        <f t="shared" si="112"/>
        <v/>
      </c>
      <c r="Z123" s="155">
        <f t="shared" si="112"/>
        <v>46387</v>
      </c>
      <c r="AA123" s="155" t="str">
        <f t="shared" si="112"/>
        <v/>
      </c>
      <c r="AB123" s="155" t="str">
        <f t="shared" si="112"/>
        <v/>
      </c>
      <c r="AC123" s="155" t="str">
        <f t="shared" si="112"/>
        <v/>
      </c>
      <c r="AD123" s="155" t="str">
        <f t="shared" si="112"/>
        <v/>
      </c>
      <c r="AE123" s="137">
        <f t="shared" si="113"/>
        <v>0</v>
      </c>
      <c r="AF123" s="137">
        <f t="shared" si="114"/>
        <v>0</v>
      </c>
      <c r="AG123" s="137">
        <f t="shared" si="115"/>
        <v>0</v>
      </c>
      <c r="AH123" s="137">
        <f t="shared" si="116"/>
        <v>0</v>
      </c>
      <c r="AI123" s="137">
        <f t="shared" si="117"/>
        <v>0</v>
      </c>
      <c r="AJ123" s="137">
        <f t="shared" si="118"/>
        <v>0</v>
      </c>
      <c r="AK123" s="137">
        <f t="shared" si="119"/>
        <v>0</v>
      </c>
      <c r="AL123" s="137">
        <f t="shared" si="120"/>
        <v>0</v>
      </c>
      <c r="AM123" s="137">
        <f t="shared" si="121"/>
        <v>0</v>
      </c>
      <c r="AN123" s="137">
        <f t="shared" si="122"/>
        <v>0</v>
      </c>
      <c r="AO123" s="1201">
        <f t="shared" si="101"/>
        <v>0</v>
      </c>
      <c r="AP123" s="1201">
        <f t="shared" si="102"/>
        <v>0</v>
      </c>
      <c r="AQ123" s="1201">
        <f t="shared" si="103"/>
        <v>0</v>
      </c>
      <c r="AR123" s="1201">
        <f t="shared" si="104"/>
        <v>0</v>
      </c>
      <c r="AS123" s="1201">
        <f t="shared" si="105"/>
        <v>0</v>
      </c>
      <c r="AT123" s="1201">
        <f t="shared" si="106"/>
        <v>0</v>
      </c>
      <c r="AU123" s="1201">
        <f t="shared" si="107"/>
        <v>0</v>
      </c>
      <c r="AV123" s="1201">
        <f t="shared" si="108"/>
        <v>0</v>
      </c>
      <c r="AW123" s="1201">
        <f t="shared" si="109"/>
        <v>0</v>
      </c>
      <c r="AX123" s="1201">
        <f t="shared" si="110"/>
        <v>0</v>
      </c>
    </row>
    <row r="124" spans="2:50" ht="15" outlineLevel="1" x14ac:dyDescent="0.25">
      <c r="B124" s="729" t="str">
        <f>'[11]COSTOS DEL PLAN'!B102</f>
        <v>REEMPLAZO PROTECCIONES S/E VELADERO 230 KV</v>
      </c>
      <c r="C124" s="2"/>
      <c r="D124" s="2"/>
      <c r="E124" s="2"/>
      <c r="F124" s="2"/>
      <c r="G124" s="2"/>
      <c r="H124" s="1226">
        <v>0</v>
      </c>
      <c r="I124" s="1226">
        <v>0</v>
      </c>
      <c r="J124" s="1226">
        <v>0</v>
      </c>
      <c r="K124" s="1226">
        <v>0</v>
      </c>
      <c r="L124" s="1226">
        <v>0</v>
      </c>
      <c r="M124" s="1226">
        <v>0</v>
      </c>
      <c r="N124" s="1226">
        <v>0</v>
      </c>
      <c r="O124" s="66">
        <f t="shared" si="99"/>
        <v>0</v>
      </c>
      <c r="P124" s="63"/>
      <c r="Q124" s="82">
        <f>'[11]COSTOS DEL PLAN'!P102</f>
        <v>46387</v>
      </c>
      <c r="S124" s="82"/>
      <c r="T124" s="63"/>
      <c r="U124" s="155" t="str">
        <f t="shared" si="112"/>
        <v/>
      </c>
      <c r="V124" s="155" t="str">
        <f t="shared" si="112"/>
        <v/>
      </c>
      <c r="W124" s="155" t="str">
        <f t="shared" si="112"/>
        <v/>
      </c>
      <c r="X124" s="155" t="str">
        <f t="shared" si="112"/>
        <v/>
      </c>
      <c r="Y124" s="155" t="str">
        <f t="shared" si="112"/>
        <v/>
      </c>
      <c r="Z124" s="155">
        <f t="shared" si="112"/>
        <v>46387</v>
      </c>
      <c r="AA124" s="155" t="str">
        <f t="shared" si="112"/>
        <v/>
      </c>
      <c r="AB124" s="155" t="str">
        <f t="shared" si="112"/>
        <v/>
      </c>
      <c r="AC124" s="155" t="str">
        <f t="shared" si="112"/>
        <v/>
      </c>
      <c r="AD124" s="155" t="str">
        <f t="shared" si="112"/>
        <v/>
      </c>
      <c r="AE124" s="137">
        <f t="shared" si="113"/>
        <v>0</v>
      </c>
      <c r="AF124" s="137">
        <f t="shared" si="114"/>
        <v>0</v>
      </c>
      <c r="AG124" s="137">
        <f t="shared" si="115"/>
        <v>0</v>
      </c>
      <c r="AH124" s="137">
        <f t="shared" si="116"/>
        <v>0</v>
      </c>
      <c r="AI124" s="137">
        <f t="shared" si="117"/>
        <v>0</v>
      </c>
      <c r="AJ124" s="137">
        <f t="shared" si="118"/>
        <v>0</v>
      </c>
      <c r="AK124" s="137">
        <f t="shared" si="119"/>
        <v>0</v>
      </c>
      <c r="AL124" s="137">
        <f t="shared" si="120"/>
        <v>0</v>
      </c>
      <c r="AM124" s="137">
        <f t="shared" si="121"/>
        <v>0</v>
      </c>
      <c r="AN124" s="137">
        <f t="shared" si="122"/>
        <v>0</v>
      </c>
      <c r="AO124" s="1201">
        <f t="shared" si="101"/>
        <v>0</v>
      </c>
      <c r="AP124" s="1201">
        <f t="shared" si="102"/>
        <v>0</v>
      </c>
      <c r="AQ124" s="1201">
        <f t="shared" si="103"/>
        <v>0</v>
      </c>
      <c r="AR124" s="1201">
        <f t="shared" si="104"/>
        <v>0</v>
      </c>
      <c r="AS124" s="1201">
        <f t="shared" si="105"/>
        <v>0</v>
      </c>
      <c r="AT124" s="1201">
        <f t="shared" si="106"/>
        <v>0</v>
      </c>
      <c r="AU124" s="1201">
        <f t="shared" si="107"/>
        <v>0</v>
      </c>
      <c r="AV124" s="1201">
        <f t="shared" si="108"/>
        <v>0</v>
      </c>
      <c r="AW124" s="1201">
        <f t="shared" si="109"/>
        <v>0</v>
      </c>
      <c r="AX124" s="1201">
        <f t="shared" si="110"/>
        <v>0</v>
      </c>
    </row>
    <row r="125" spans="2:50" ht="15" outlineLevel="1" x14ac:dyDescent="0.25">
      <c r="B125" s="729" t="str">
        <f>'[11]COSTOS DEL PLAN'!B103</f>
        <v>REEMPLAZO DE LAS PROTECCIONES EN LOS PATIOS 230 y 115 KV EN S/E PANAMÁ II</v>
      </c>
      <c r="C125" s="2"/>
      <c r="D125" s="2"/>
      <c r="E125" s="2"/>
      <c r="F125" s="2"/>
      <c r="G125" s="2"/>
      <c r="H125" s="1226">
        <v>0</v>
      </c>
      <c r="I125" s="1226">
        <v>0</v>
      </c>
      <c r="J125" s="1226">
        <v>0</v>
      </c>
      <c r="K125" s="1226">
        <v>0</v>
      </c>
      <c r="L125" s="1226">
        <v>0</v>
      </c>
      <c r="M125" s="1226">
        <v>0</v>
      </c>
      <c r="N125" s="1226">
        <v>0</v>
      </c>
      <c r="O125" s="66">
        <f t="shared" si="99"/>
        <v>0</v>
      </c>
      <c r="P125" s="63"/>
      <c r="R125" s="82" t="str">
        <f>'[11]COSTOS DEL PLAN'!P103</f>
        <v>2019-2024</v>
      </c>
      <c r="S125" s="82"/>
      <c r="T125" s="63"/>
      <c r="U125" s="155" t="str">
        <f t="shared" si="112"/>
        <v/>
      </c>
      <c r="V125" s="155" t="str">
        <f t="shared" si="112"/>
        <v/>
      </c>
      <c r="W125" s="155" t="str">
        <f t="shared" si="112"/>
        <v/>
      </c>
      <c r="X125" s="651">
        <v>45657</v>
      </c>
      <c r="Y125" s="651"/>
      <c r="Z125" s="651"/>
      <c r="AA125" s="155" t="str">
        <f t="shared" si="112"/>
        <v/>
      </c>
      <c r="AB125" s="155" t="str">
        <f t="shared" si="112"/>
        <v/>
      </c>
      <c r="AC125" s="155" t="str">
        <f t="shared" si="112"/>
        <v/>
      </c>
      <c r="AD125" s="155" t="str">
        <f t="shared" si="112"/>
        <v/>
      </c>
      <c r="AE125" s="137">
        <f t="shared" si="113"/>
        <v>0</v>
      </c>
      <c r="AF125" s="137">
        <f t="shared" si="114"/>
        <v>0</v>
      </c>
      <c r="AG125" s="137">
        <f t="shared" si="115"/>
        <v>0</v>
      </c>
      <c r="AH125" s="137">
        <f t="shared" si="116"/>
        <v>0</v>
      </c>
      <c r="AI125" s="137">
        <f t="shared" si="117"/>
        <v>0</v>
      </c>
      <c r="AJ125" s="137">
        <f t="shared" si="118"/>
        <v>0</v>
      </c>
      <c r="AK125" s="137">
        <f t="shared" si="119"/>
        <v>0</v>
      </c>
      <c r="AL125" s="137">
        <f t="shared" si="120"/>
        <v>0</v>
      </c>
      <c r="AM125" s="137">
        <f t="shared" si="121"/>
        <v>0</v>
      </c>
      <c r="AN125" s="137">
        <f t="shared" si="122"/>
        <v>0</v>
      </c>
      <c r="AO125" s="1201">
        <f t="shared" si="101"/>
        <v>0</v>
      </c>
      <c r="AP125" s="1201">
        <f t="shared" si="102"/>
        <v>0</v>
      </c>
      <c r="AQ125" s="1201">
        <f t="shared" si="103"/>
        <v>0</v>
      </c>
      <c r="AR125" s="1201">
        <f t="shared" si="104"/>
        <v>0</v>
      </c>
      <c r="AS125" s="1201">
        <f t="shared" si="105"/>
        <v>0</v>
      </c>
      <c r="AT125" s="1201">
        <f t="shared" si="106"/>
        <v>0</v>
      </c>
      <c r="AU125" s="1201">
        <f t="shared" si="107"/>
        <v>0</v>
      </c>
      <c r="AV125" s="1201">
        <f t="shared" si="108"/>
        <v>0</v>
      </c>
      <c r="AW125" s="1201">
        <f t="shared" si="109"/>
        <v>0</v>
      </c>
      <c r="AX125" s="1201">
        <f t="shared" si="110"/>
        <v>0</v>
      </c>
    </row>
    <row r="126" spans="2:50" ht="15" outlineLevel="1" x14ac:dyDescent="0.25">
      <c r="B126" s="729" t="str">
        <f>'[11]COSTOS DEL PLAN'!B104</f>
        <v>REEMPLAZO DE HILO DE GUARDA ZONAS 1 Y 3 LÍNEAS 230 KV Y 115 KV</v>
      </c>
      <c r="C126" s="2"/>
      <c r="D126" s="2"/>
      <c r="E126" s="2"/>
      <c r="F126" s="2"/>
      <c r="G126" s="2"/>
      <c r="H126" s="1226">
        <v>0</v>
      </c>
      <c r="I126" s="1226">
        <v>0</v>
      </c>
      <c r="J126" s="1226">
        <v>0</v>
      </c>
      <c r="K126" s="1226">
        <v>0</v>
      </c>
      <c r="L126" s="1226">
        <v>0</v>
      </c>
      <c r="M126" s="1226">
        <v>0</v>
      </c>
      <c r="N126" s="1226">
        <v>0</v>
      </c>
      <c r="O126" s="66">
        <f t="shared" si="99"/>
        <v>0</v>
      </c>
      <c r="P126" s="63"/>
      <c r="R126" s="82" t="str">
        <f>'[11]COSTOS DEL PLAN'!P104</f>
        <v>2021-2025</v>
      </c>
      <c r="S126" s="82"/>
      <c r="T126" s="63"/>
      <c r="U126" s="155" t="str">
        <f t="shared" si="112"/>
        <v/>
      </c>
      <c r="V126" s="155" t="str">
        <f t="shared" si="112"/>
        <v/>
      </c>
      <c r="W126" s="155" t="str">
        <f t="shared" si="112"/>
        <v/>
      </c>
      <c r="X126" s="651">
        <v>45657</v>
      </c>
      <c r="Y126" s="651">
        <v>46022</v>
      </c>
      <c r="Z126" s="651"/>
      <c r="AA126" s="155" t="str">
        <f t="shared" si="112"/>
        <v/>
      </c>
      <c r="AB126" s="155" t="str">
        <f t="shared" si="112"/>
        <v/>
      </c>
      <c r="AC126" s="155" t="str">
        <f t="shared" si="112"/>
        <v/>
      </c>
      <c r="AD126" s="155" t="str">
        <f t="shared" si="112"/>
        <v/>
      </c>
      <c r="AE126" s="137">
        <f t="shared" si="113"/>
        <v>0</v>
      </c>
      <c r="AF126" s="137">
        <f t="shared" si="114"/>
        <v>0</v>
      </c>
      <c r="AG126" s="137">
        <f t="shared" si="115"/>
        <v>0</v>
      </c>
      <c r="AH126" s="137">
        <f t="shared" si="116"/>
        <v>0</v>
      </c>
      <c r="AI126" s="137">
        <f t="shared" si="117"/>
        <v>0</v>
      </c>
      <c r="AJ126" s="137">
        <f t="shared" si="118"/>
        <v>0</v>
      </c>
      <c r="AK126" s="137">
        <f t="shared" si="119"/>
        <v>0</v>
      </c>
      <c r="AL126" s="137">
        <f t="shared" si="120"/>
        <v>0</v>
      </c>
      <c r="AM126" s="137">
        <f t="shared" si="121"/>
        <v>0</v>
      </c>
      <c r="AN126" s="137">
        <f t="shared" si="122"/>
        <v>0</v>
      </c>
      <c r="AO126" s="1201">
        <f t="shared" si="101"/>
        <v>0</v>
      </c>
      <c r="AP126" s="1201">
        <f t="shared" si="102"/>
        <v>0</v>
      </c>
      <c r="AQ126" s="1201">
        <f t="shared" si="103"/>
        <v>0</v>
      </c>
      <c r="AR126" s="1201">
        <f t="shared" si="104"/>
        <v>0</v>
      </c>
      <c r="AS126" s="1201">
        <f t="shared" si="105"/>
        <v>0</v>
      </c>
      <c r="AT126" s="1201">
        <f t="shared" si="106"/>
        <v>0</v>
      </c>
      <c r="AU126" s="1201">
        <f t="shared" si="107"/>
        <v>0</v>
      </c>
      <c r="AV126" s="1201">
        <f t="shared" si="108"/>
        <v>0</v>
      </c>
      <c r="AW126" s="1201">
        <f t="shared" si="109"/>
        <v>0</v>
      </c>
      <c r="AX126" s="1201">
        <f t="shared" si="110"/>
        <v>0</v>
      </c>
    </row>
    <row r="127" spans="2:50" ht="15" outlineLevel="1" x14ac:dyDescent="0.25">
      <c r="B127" s="729" t="str">
        <f>'[11]COSTOS DEL PLAN'!B105</f>
        <v>REEMPLAZO DE RTUs</v>
      </c>
      <c r="C127" s="2"/>
      <c r="D127" s="2"/>
      <c r="E127" s="2"/>
      <c r="F127" s="2"/>
      <c r="G127" s="2"/>
      <c r="H127" s="1226">
        <v>0</v>
      </c>
      <c r="I127" s="1226">
        <v>0</v>
      </c>
      <c r="J127" s="1226">
        <v>0</v>
      </c>
      <c r="K127" s="1226">
        <v>0</v>
      </c>
      <c r="L127" s="1226">
        <v>0</v>
      </c>
      <c r="M127" s="1226">
        <v>0</v>
      </c>
      <c r="N127" s="1226">
        <v>0</v>
      </c>
      <c r="O127" s="66">
        <f t="shared" si="99"/>
        <v>0</v>
      </c>
      <c r="P127" s="63"/>
      <c r="R127" s="82" t="str">
        <f>'[11]COSTOS DEL PLAN'!P105</f>
        <v>2022-2025</v>
      </c>
      <c r="S127" s="82"/>
      <c r="T127" s="63"/>
      <c r="U127" s="155" t="str">
        <f t="shared" si="112"/>
        <v/>
      </c>
      <c r="V127" s="155" t="str">
        <f t="shared" si="112"/>
        <v/>
      </c>
      <c r="W127" s="155" t="str">
        <f t="shared" si="112"/>
        <v/>
      </c>
      <c r="X127" s="651">
        <v>45657</v>
      </c>
      <c r="Y127" s="651">
        <v>46022</v>
      </c>
      <c r="Z127" s="155" t="str">
        <f t="shared" si="112"/>
        <v/>
      </c>
      <c r="AA127" s="155" t="str">
        <f t="shared" si="112"/>
        <v/>
      </c>
      <c r="AB127" s="155" t="str">
        <f t="shared" si="112"/>
        <v/>
      </c>
      <c r="AC127" s="155" t="str">
        <f t="shared" si="112"/>
        <v/>
      </c>
      <c r="AD127" s="155" t="str">
        <f t="shared" si="112"/>
        <v/>
      </c>
      <c r="AE127" s="137">
        <f t="shared" si="113"/>
        <v>0</v>
      </c>
      <c r="AF127" s="137">
        <f t="shared" si="114"/>
        <v>0</v>
      </c>
      <c r="AG127" s="137">
        <f t="shared" si="115"/>
        <v>0</v>
      </c>
      <c r="AH127" s="137">
        <f t="shared" si="116"/>
        <v>0</v>
      </c>
      <c r="AI127" s="137">
        <f t="shared" si="117"/>
        <v>0</v>
      </c>
      <c r="AJ127" s="137">
        <f t="shared" si="118"/>
        <v>0</v>
      </c>
      <c r="AK127" s="137">
        <f t="shared" si="119"/>
        <v>0</v>
      </c>
      <c r="AL127" s="137">
        <f t="shared" si="120"/>
        <v>0</v>
      </c>
      <c r="AM127" s="137">
        <f t="shared" si="121"/>
        <v>0</v>
      </c>
      <c r="AN127" s="137">
        <f t="shared" si="122"/>
        <v>0</v>
      </c>
      <c r="AO127" s="1201">
        <f t="shared" si="101"/>
        <v>0</v>
      </c>
      <c r="AP127" s="1201">
        <f t="shared" si="102"/>
        <v>0</v>
      </c>
      <c r="AQ127" s="1201">
        <f t="shared" si="103"/>
        <v>0</v>
      </c>
      <c r="AR127" s="1201">
        <f t="shared" si="104"/>
        <v>0</v>
      </c>
      <c r="AS127" s="1201">
        <f t="shared" si="105"/>
        <v>0</v>
      </c>
      <c r="AT127" s="1201">
        <f t="shared" si="106"/>
        <v>0</v>
      </c>
      <c r="AU127" s="1201">
        <f t="shared" si="107"/>
        <v>0</v>
      </c>
      <c r="AV127" s="1201">
        <f t="shared" si="108"/>
        <v>0</v>
      </c>
      <c r="AW127" s="1201">
        <f t="shared" si="109"/>
        <v>0</v>
      </c>
      <c r="AX127" s="1201">
        <f t="shared" si="110"/>
        <v>0</v>
      </c>
    </row>
    <row r="128" spans="2:50" ht="15" outlineLevel="1" x14ac:dyDescent="0.25">
      <c r="B128" s="729" t="str">
        <f>'[11]COSTOS DEL PLAN'!B106</f>
        <v>REEMPLAZO GATEWAY SISTEMAS AUTOMATIZADOS DE S/E (SAS)</v>
      </c>
      <c r="C128" s="2"/>
      <c r="D128" s="2"/>
      <c r="E128" s="2"/>
      <c r="F128" s="2"/>
      <c r="G128" s="2"/>
      <c r="H128" s="1226">
        <v>0</v>
      </c>
      <c r="I128" s="1226">
        <v>0</v>
      </c>
      <c r="J128" s="1226">
        <v>0</v>
      </c>
      <c r="K128" s="1226">
        <v>0</v>
      </c>
      <c r="L128" s="1226">
        <v>0</v>
      </c>
      <c r="M128" s="1226">
        <v>0</v>
      </c>
      <c r="N128" s="1226">
        <v>0</v>
      </c>
      <c r="O128" s="66">
        <f t="shared" si="99"/>
        <v>0</v>
      </c>
      <c r="P128" s="63"/>
      <c r="R128" s="82" t="str">
        <f>'[11]COSTOS DEL PLAN'!P106</f>
        <v>2022-2026</v>
      </c>
      <c r="S128" s="82"/>
      <c r="T128" s="63"/>
      <c r="U128" s="155" t="str">
        <f t="shared" si="112"/>
        <v/>
      </c>
      <c r="V128" s="155" t="str">
        <f t="shared" si="112"/>
        <v/>
      </c>
      <c r="W128" s="155" t="str">
        <f t="shared" si="112"/>
        <v/>
      </c>
      <c r="X128" s="651">
        <v>45657</v>
      </c>
      <c r="Y128" s="651">
        <v>46022</v>
      </c>
      <c r="Z128" s="651">
        <v>46387</v>
      </c>
      <c r="AA128" s="155" t="str">
        <f t="shared" si="112"/>
        <v/>
      </c>
      <c r="AB128" s="155" t="str">
        <f t="shared" si="112"/>
        <v/>
      </c>
      <c r="AC128" s="155" t="str">
        <f t="shared" si="112"/>
        <v/>
      </c>
      <c r="AD128" s="155" t="str">
        <f t="shared" si="112"/>
        <v/>
      </c>
      <c r="AE128" s="137">
        <f t="shared" si="113"/>
        <v>0</v>
      </c>
      <c r="AF128" s="137">
        <f t="shared" si="114"/>
        <v>0</v>
      </c>
      <c r="AG128" s="137">
        <f t="shared" si="115"/>
        <v>0</v>
      </c>
      <c r="AH128" s="137">
        <f t="shared" si="116"/>
        <v>0</v>
      </c>
      <c r="AI128" s="137">
        <f t="shared" si="117"/>
        <v>0</v>
      </c>
      <c r="AJ128" s="137">
        <f t="shared" si="118"/>
        <v>0</v>
      </c>
      <c r="AK128" s="137">
        <f t="shared" si="119"/>
        <v>0</v>
      </c>
      <c r="AL128" s="137">
        <f t="shared" si="120"/>
        <v>0</v>
      </c>
      <c r="AM128" s="137">
        <f t="shared" si="121"/>
        <v>0</v>
      </c>
      <c r="AN128" s="137">
        <f t="shared" si="122"/>
        <v>0</v>
      </c>
      <c r="AO128" s="1201">
        <f t="shared" si="101"/>
        <v>0</v>
      </c>
      <c r="AP128" s="1201">
        <f t="shared" si="102"/>
        <v>0</v>
      </c>
      <c r="AQ128" s="1201">
        <f t="shared" si="103"/>
        <v>0</v>
      </c>
      <c r="AR128" s="1201">
        <f t="shared" si="104"/>
        <v>0</v>
      </c>
      <c r="AS128" s="1201">
        <f t="shared" si="105"/>
        <v>0</v>
      </c>
      <c r="AT128" s="1201">
        <f t="shared" si="106"/>
        <v>0</v>
      </c>
      <c r="AU128" s="1201">
        <f t="shared" si="107"/>
        <v>0</v>
      </c>
      <c r="AV128" s="1201">
        <f t="shared" si="108"/>
        <v>0</v>
      </c>
      <c r="AW128" s="1201">
        <f t="shared" si="109"/>
        <v>0</v>
      </c>
      <c r="AX128" s="1201">
        <f t="shared" si="110"/>
        <v>0</v>
      </c>
    </row>
    <row r="129" spans="1:50" ht="15" outlineLevel="1" x14ac:dyDescent="0.25">
      <c r="B129" s="8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66">
        <f t="shared" si="99"/>
        <v>0</v>
      </c>
      <c r="P129" s="63"/>
      <c r="Q129" s="82"/>
      <c r="S129" s="82"/>
      <c r="T129" s="63"/>
      <c r="U129" s="158"/>
      <c r="V129" s="155"/>
      <c r="W129" s="155"/>
      <c r="X129" s="155"/>
      <c r="Y129" s="158"/>
      <c r="Z129" s="82"/>
      <c r="AA129" s="158"/>
      <c r="AB129" s="158"/>
      <c r="AC129" s="158"/>
      <c r="AD129" s="158"/>
      <c r="AE129" s="137">
        <f t="shared" si="113"/>
        <v>0</v>
      </c>
      <c r="AF129" s="137">
        <f t="shared" si="114"/>
        <v>0</v>
      </c>
      <c r="AG129" s="137">
        <f t="shared" si="115"/>
        <v>0</v>
      </c>
      <c r="AH129" s="137">
        <f t="shared" si="116"/>
        <v>0</v>
      </c>
      <c r="AI129" s="137">
        <f t="shared" si="117"/>
        <v>0</v>
      </c>
      <c r="AJ129" s="137">
        <f t="shared" si="118"/>
        <v>0</v>
      </c>
      <c r="AK129" s="137">
        <f t="shared" si="119"/>
        <v>0</v>
      </c>
      <c r="AL129" s="137">
        <f t="shared" si="120"/>
        <v>0</v>
      </c>
      <c r="AM129" s="137">
        <f t="shared" si="121"/>
        <v>0</v>
      </c>
      <c r="AN129" s="137">
        <f t="shared" si="122"/>
        <v>0</v>
      </c>
    </row>
    <row r="130" spans="1:50" s="514" customFormat="1" ht="15" x14ac:dyDescent="0.25">
      <c r="A130" s="511">
        <f>+A116+1</f>
        <v>1</v>
      </c>
      <c r="B130" s="505" t="s">
        <v>484</v>
      </c>
      <c r="C130" s="506"/>
      <c r="D130" s="506"/>
      <c r="E130" s="506"/>
      <c r="F130" s="506"/>
      <c r="G130" s="506"/>
      <c r="H130" s="506">
        <f t="shared" ref="H130:N130" si="123">+SUM(H131:H134)</f>
        <v>0</v>
      </c>
      <c r="I130" s="506">
        <f>+SUM(I131:I134)</f>
        <v>0</v>
      </c>
      <c r="J130" s="506">
        <f t="shared" si="123"/>
        <v>0</v>
      </c>
      <c r="K130" s="506">
        <f t="shared" si="123"/>
        <v>0</v>
      </c>
      <c r="L130" s="506">
        <f t="shared" si="123"/>
        <v>0</v>
      </c>
      <c r="M130" s="506">
        <f t="shared" si="123"/>
        <v>0</v>
      </c>
      <c r="N130" s="506">
        <f t="shared" si="123"/>
        <v>0</v>
      </c>
      <c r="O130" s="506">
        <f t="shared" si="82"/>
        <v>0</v>
      </c>
      <c r="P130" s="506"/>
      <c r="Q130" s="512"/>
      <c r="R130" s="511"/>
      <c r="S130" s="512"/>
      <c r="T130" s="506"/>
      <c r="U130" s="513"/>
      <c r="V130" s="513"/>
      <c r="W130" s="513"/>
      <c r="X130" s="513"/>
      <c r="Y130" s="513"/>
      <c r="Z130" s="513"/>
      <c r="AA130" s="513"/>
      <c r="AB130" s="513"/>
      <c r="AC130" s="513"/>
      <c r="AD130" s="513"/>
      <c r="AE130" s="137">
        <f t="shared" si="113"/>
        <v>0</v>
      </c>
      <c r="AF130" s="137">
        <f t="shared" si="114"/>
        <v>0</v>
      </c>
      <c r="AG130" s="137">
        <f t="shared" si="115"/>
        <v>0</v>
      </c>
      <c r="AH130" s="137">
        <f t="shared" si="116"/>
        <v>0</v>
      </c>
      <c r="AI130" s="137">
        <f t="shared" si="117"/>
        <v>0</v>
      </c>
      <c r="AJ130" s="137">
        <f t="shared" si="118"/>
        <v>0</v>
      </c>
      <c r="AK130" s="137">
        <f t="shared" si="119"/>
        <v>0</v>
      </c>
      <c r="AL130" s="137">
        <f t="shared" si="120"/>
        <v>0</v>
      </c>
      <c r="AM130" s="137">
        <f t="shared" si="121"/>
        <v>0</v>
      </c>
      <c r="AN130" s="137">
        <f t="shared" si="122"/>
        <v>0</v>
      </c>
    </row>
    <row r="131" spans="1:50" ht="15" outlineLevel="1" x14ac:dyDescent="0.25">
      <c r="B131" s="81" t="str">
        <f>'[11]COSTOS DEL PLAN'!B108</f>
        <v>REEMPLAZO REGISTRADORES DE OSCILOGRAFIAS</v>
      </c>
      <c r="C131" s="2"/>
      <c r="D131" s="2"/>
      <c r="E131" s="2"/>
      <c r="F131" s="2"/>
      <c r="G131" s="2"/>
      <c r="H131" s="1226">
        <f>IF(YEAR('[11]COSTOS DEL PLAN'!$P108)=H$7,'[11]COSTOS DEL PLAN'!$O108,)</f>
        <v>0</v>
      </c>
      <c r="I131" s="1226">
        <f>IF(YEAR('[11]COSTOS DEL PLAN'!$P108)=I$7,'[11]COSTOS DEL PLAN'!$O108,)</f>
        <v>0</v>
      </c>
      <c r="J131" s="1226">
        <v>0</v>
      </c>
      <c r="K131" s="1226">
        <v>0</v>
      </c>
      <c r="L131" s="1226">
        <v>0</v>
      </c>
      <c r="M131" s="1226">
        <v>0</v>
      </c>
      <c r="N131" s="1226">
        <f>IF(YEAR('[11]COSTOS DEL PLAN'!$P108)=N$7,'[11]COSTOS DEL PLAN'!$O108,)</f>
        <v>0</v>
      </c>
      <c r="O131" s="63">
        <f t="shared" si="82"/>
        <v>0</v>
      </c>
      <c r="P131" s="63"/>
      <c r="Q131" s="82">
        <f>'[11]COSTOS DEL PLAN'!P108</f>
        <v>46387</v>
      </c>
      <c r="R131" s="64"/>
      <c r="S131" s="82"/>
      <c r="T131" s="63"/>
      <c r="U131" s="155" t="str">
        <f t="shared" ref="U131:AD133" si="124">IF(U$6=YEAR($Q131),$Q131,"")</f>
        <v/>
      </c>
      <c r="V131" s="155" t="str">
        <f t="shared" si="124"/>
        <v/>
      </c>
      <c r="W131" s="155" t="str">
        <f t="shared" si="124"/>
        <v/>
      </c>
      <c r="X131" s="155" t="str">
        <f t="shared" si="124"/>
        <v/>
      </c>
      <c r="Y131" s="155" t="str">
        <f t="shared" si="124"/>
        <v/>
      </c>
      <c r="Z131" s="155">
        <f t="shared" si="124"/>
        <v>46387</v>
      </c>
      <c r="AA131" s="155" t="str">
        <f t="shared" si="124"/>
        <v/>
      </c>
      <c r="AB131" s="155" t="str">
        <f t="shared" si="124"/>
        <v/>
      </c>
      <c r="AC131" s="155" t="str">
        <f t="shared" si="124"/>
        <v/>
      </c>
      <c r="AD131" s="155" t="str">
        <f t="shared" si="124"/>
        <v/>
      </c>
      <c r="AE131" s="137">
        <f t="shared" si="113"/>
        <v>0</v>
      </c>
      <c r="AF131" s="137">
        <f t="shared" si="114"/>
        <v>0</v>
      </c>
      <c r="AG131" s="137">
        <f t="shared" si="115"/>
        <v>0</v>
      </c>
      <c r="AH131" s="137">
        <f t="shared" si="116"/>
        <v>0</v>
      </c>
      <c r="AI131" s="137">
        <f t="shared" si="117"/>
        <v>0</v>
      </c>
      <c r="AJ131" s="137">
        <f t="shared" si="118"/>
        <v>0</v>
      </c>
      <c r="AK131" s="137">
        <f t="shared" si="119"/>
        <v>0</v>
      </c>
      <c r="AL131" s="137">
        <f t="shared" si="120"/>
        <v>0</v>
      </c>
      <c r="AM131" s="137">
        <f t="shared" si="121"/>
        <v>0</v>
      </c>
      <c r="AN131" s="137">
        <f t="shared" si="122"/>
        <v>0</v>
      </c>
      <c r="AO131" s="1201">
        <f t="shared" ref="AO131:AO133" si="125">AE131*E131</f>
        <v>0</v>
      </c>
      <c r="AP131" s="1201">
        <f t="shared" ref="AP131:AP133" si="126">AF131*F131</f>
        <v>0</v>
      </c>
      <c r="AQ131" s="1201">
        <f t="shared" ref="AQ131:AQ133" si="127">AG131*G131</f>
        <v>0</v>
      </c>
      <c r="AR131" s="1201">
        <f t="shared" ref="AR131:AR133" si="128">AH131*H131</f>
        <v>0</v>
      </c>
      <c r="AS131" s="1201">
        <f t="shared" ref="AS131:AS133" si="129">AI131*I131</f>
        <v>0</v>
      </c>
      <c r="AT131" s="1201">
        <f t="shared" ref="AT131:AT133" si="130">AJ131*J131</f>
        <v>0</v>
      </c>
      <c r="AU131" s="1201">
        <f t="shared" ref="AU131:AU133" si="131">AK131*K131</f>
        <v>0</v>
      </c>
      <c r="AV131" s="1201">
        <f t="shared" ref="AV131:AV133" si="132">AL131*L131</f>
        <v>0</v>
      </c>
      <c r="AW131" s="1201">
        <f t="shared" ref="AW131:AW133" si="133">AM131*M131</f>
        <v>0</v>
      </c>
      <c r="AX131" s="1201">
        <f t="shared" ref="AX131:AX133" si="134">AN131*N131</f>
        <v>0</v>
      </c>
    </row>
    <row r="132" spans="1:50" ht="15" outlineLevel="1" x14ac:dyDescent="0.25">
      <c r="B132" s="81" t="str">
        <f>'[11]COSTOS DEL PLAN'!B109</f>
        <v>REEMPLAZO DE LAS PROTECCIONES EN EL PATIO 230 KV EN S/E SAN BARTOLO Y S/E EL HIGO Y SUS COLATERALES</v>
      </c>
      <c r="C132" s="2"/>
      <c r="D132" s="2"/>
      <c r="E132" s="2"/>
      <c r="F132" s="2"/>
      <c r="G132" s="2"/>
      <c r="H132" s="1226">
        <f>IF(YEAR('[11]COSTOS DEL PLAN'!$P109)=H$7,'[11]COSTOS DEL PLAN'!$O109,)</f>
        <v>0</v>
      </c>
      <c r="I132" s="1226">
        <f>IF(YEAR('[11]COSTOS DEL PLAN'!$P109)=I$7,'[11]COSTOS DEL PLAN'!$O109,)</f>
        <v>0</v>
      </c>
      <c r="J132" s="1226">
        <v>0</v>
      </c>
      <c r="K132" s="1226">
        <v>0</v>
      </c>
      <c r="L132" s="1226">
        <v>0</v>
      </c>
      <c r="M132" s="1226">
        <v>0</v>
      </c>
      <c r="N132" s="1226">
        <f>IF(YEAR('[11]COSTOS DEL PLAN'!$P109)=N$7,'[11]COSTOS DEL PLAN'!$O109,)</f>
        <v>0</v>
      </c>
      <c r="O132" s="63">
        <f t="shared" si="82"/>
        <v>0</v>
      </c>
      <c r="P132" s="63"/>
      <c r="Q132" s="82">
        <f>'[11]COSTOS DEL PLAN'!P109</f>
        <v>46752</v>
      </c>
      <c r="R132" s="64"/>
      <c r="S132" s="82"/>
      <c r="T132" s="63"/>
      <c r="U132" s="155" t="str">
        <f t="shared" si="124"/>
        <v/>
      </c>
      <c r="V132" s="155" t="str">
        <f t="shared" si="124"/>
        <v/>
      </c>
      <c r="W132" s="155" t="str">
        <f t="shared" si="124"/>
        <v/>
      </c>
      <c r="X132" s="155" t="str">
        <f t="shared" si="124"/>
        <v/>
      </c>
      <c r="Y132" s="155" t="str">
        <f t="shared" si="124"/>
        <v/>
      </c>
      <c r="Z132" s="155" t="str">
        <f t="shared" si="124"/>
        <v/>
      </c>
      <c r="AA132" s="155">
        <f t="shared" si="124"/>
        <v>46752</v>
      </c>
      <c r="AB132" s="155" t="str">
        <f t="shared" si="124"/>
        <v/>
      </c>
      <c r="AC132" s="155" t="str">
        <f t="shared" si="124"/>
        <v/>
      </c>
      <c r="AD132" s="155" t="str">
        <f t="shared" si="124"/>
        <v/>
      </c>
      <c r="AE132" s="137">
        <f t="shared" si="113"/>
        <v>0</v>
      </c>
      <c r="AF132" s="137">
        <f t="shared" si="114"/>
        <v>0</v>
      </c>
      <c r="AG132" s="137">
        <f t="shared" si="115"/>
        <v>0</v>
      </c>
      <c r="AH132" s="137">
        <f t="shared" si="116"/>
        <v>0</v>
      </c>
      <c r="AI132" s="137">
        <f t="shared" si="117"/>
        <v>0</v>
      </c>
      <c r="AJ132" s="137">
        <f t="shared" si="118"/>
        <v>0</v>
      </c>
      <c r="AK132" s="137">
        <f t="shared" si="119"/>
        <v>0</v>
      </c>
      <c r="AL132" s="137">
        <f t="shared" si="120"/>
        <v>0</v>
      </c>
      <c r="AM132" s="137">
        <f t="shared" si="121"/>
        <v>0</v>
      </c>
      <c r="AN132" s="137">
        <f t="shared" si="122"/>
        <v>0</v>
      </c>
      <c r="AO132" s="1201">
        <f t="shared" si="125"/>
        <v>0</v>
      </c>
      <c r="AP132" s="1201">
        <f t="shared" si="126"/>
        <v>0</v>
      </c>
      <c r="AQ132" s="1201">
        <f t="shared" si="127"/>
        <v>0</v>
      </c>
      <c r="AR132" s="1201">
        <f t="shared" si="128"/>
        <v>0</v>
      </c>
      <c r="AS132" s="1201">
        <f t="shared" si="129"/>
        <v>0</v>
      </c>
      <c r="AT132" s="1201">
        <f t="shared" si="130"/>
        <v>0</v>
      </c>
      <c r="AU132" s="1201">
        <f t="shared" si="131"/>
        <v>0</v>
      </c>
      <c r="AV132" s="1201">
        <f t="shared" si="132"/>
        <v>0</v>
      </c>
      <c r="AW132" s="1201">
        <f t="shared" si="133"/>
        <v>0</v>
      </c>
      <c r="AX132" s="1201">
        <f t="shared" si="134"/>
        <v>0</v>
      </c>
    </row>
    <row r="133" spans="1:50" ht="15" outlineLevel="1" x14ac:dyDescent="0.25">
      <c r="B133" s="81" t="str">
        <f>'[11]COSTOS DEL PLAN'!B110</f>
        <v>REEMPLAZO PROTECCIONES S/E SANTA RITA 115 KV</v>
      </c>
      <c r="C133" s="2"/>
      <c r="D133" s="2"/>
      <c r="E133" s="2"/>
      <c r="F133" s="2"/>
      <c r="G133" s="2"/>
      <c r="H133" s="1226">
        <f>IF(YEAR('[11]COSTOS DEL PLAN'!$P110)=H$7,'[11]COSTOS DEL PLAN'!$O110,)</f>
        <v>0</v>
      </c>
      <c r="I133" s="1226">
        <f>IF(YEAR('[11]COSTOS DEL PLAN'!$P110)=I$7,'[11]COSTOS DEL PLAN'!$O110,)</f>
        <v>0</v>
      </c>
      <c r="J133" s="1226">
        <v>0</v>
      </c>
      <c r="K133" s="1226">
        <v>0</v>
      </c>
      <c r="L133" s="1226">
        <v>0</v>
      </c>
      <c r="M133" s="1226">
        <v>0</v>
      </c>
      <c r="N133" s="1226">
        <f>IF(YEAR('[11]COSTOS DEL PLAN'!$P110)=N$7,'[11]COSTOS DEL PLAN'!$O110,)</f>
        <v>0</v>
      </c>
      <c r="O133" s="63">
        <f t="shared" si="82"/>
        <v>0</v>
      </c>
      <c r="P133" s="63"/>
      <c r="Q133" s="82">
        <f>'[11]COSTOS DEL PLAN'!P110</f>
        <v>47483</v>
      </c>
      <c r="R133" s="64"/>
      <c r="S133" s="82"/>
      <c r="T133" s="63"/>
      <c r="U133" s="155" t="str">
        <f t="shared" si="124"/>
        <v/>
      </c>
      <c r="V133" s="155" t="str">
        <f t="shared" si="124"/>
        <v/>
      </c>
      <c r="W133" s="155" t="str">
        <f t="shared" si="124"/>
        <v/>
      </c>
      <c r="X133" s="155" t="str">
        <f t="shared" si="124"/>
        <v/>
      </c>
      <c r="Y133" s="155" t="str">
        <f t="shared" si="124"/>
        <v/>
      </c>
      <c r="Z133" s="155" t="str">
        <f t="shared" si="124"/>
        <v/>
      </c>
      <c r="AA133" s="155" t="str">
        <f t="shared" si="124"/>
        <v/>
      </c>
      <c r="AB133" s="155" t="str">
        <f t="shared" si="124"/>
        <v/>
      </c>
      <c r="AC133" s="155">
        <f t="shared" si="124"/>
        <v>47483</v>
      </c>
      <c r="AD133" s="155" t="str">
        <f t="shared" si="124"/>
        <v/>
      </c>
      <c r="AE133" s="137">
        <f t="shared" si="113"/>
        <v>0</v>
      </c>
      <c r="AF133" s="137">
        <f t="shared" si="114"/>
        <v>0</v>
      </c>
      <c r="AG133" s="137">
        <f t="shared" si="115"/>
        <v>0</v>
      </c>
      <c r="AH133" s="137">
        <f t="shared" si="116"/>
        <v>0</v>
      </c>
      <c r="AI133" s="137">
        <f t="shared" si="117"/>
        <v>0</v>
      </c>
      <c r="AJ133" s="137">
        <f t="shared" si="118"/>
        <v>0</v>
      </c>
      <c r="AK133" s="137">
        <f t="shared" si="119"/>
        <v>0</v>
      </c>
      <c r="AL133" s="137">
        <f t="shared" si="120"/>
        <v>0</v>
      </c>
      <c r="AM133" s="137">
        <f t="shared" si="121"/>
        <v>0</v>
      </c>
      <c r="AN133" s="137">
        <f t="shared" si="122"/>
        <v>0</v>
      </c>
      <c r="AO133" s="1201">
        <f t="shared" si="125"/>
        <v>0</v>
      </c>
      <c r="AP133" s="1201">
        <f t="shared" si="126"/>
        <v>0</v>
      </c>
      <c r="AQ133" s="1201">
        <f t="shared" si="127"/>
        <v>0</v>
      </c>
      <c r="AR133" s="1201">
        <f t="shared" si="128"/>
        <v>0</v>
      </c>
      <c r="AS133" s="1201">
        <f t="shared" si="129"/>
        <v>0</v>
      </c>
      <c r="AT133" s="1201">
        <f t="shared" si="130"/>
        <v>0</v>
      </c>
      <c r="AU133" s="1201">
        <f t="shared" si="131"/>
        <v>0</v>
      </c>
      <c r="AV133" s="1201">
        <f t="shared" si="132"/>
        <v>0</v>
      </c>
      <c r="AW133" s="1201">
        <f t="shared" si="133"/>
        <v>0</v>
      </c>
      <c r="AX133" s="1201">
        <f t="shared" si="134"/>
        <v>0</v>
      </c>
    </row>
    <row r="134" spans="1:50" ht="15" customHeight="1" outlineLevel="1" x14ac:dyDescent="0.2">
      <c r="B134" s="81"/>
      <c r="C134" s="144"/>
      <c r="D134" s="144"/>
      <c r="E134" s="144"/>
      <c r="F134" s="144"/>
      <c r="G134" s="144"/>
      <c r="H134" s="322"/>
      <c r="I134" s="322"/>
      <c r="J134" s="322"/>
      <c r="K134" s="322"/>
      <c r="L134" s="144"/>
      <c r="M134" s="144"/>
      <c r="N134" s="144"/>
      <c r="O134" s="63">
        <f t="shared" si="82"/>
        <v>0</v>
      </c>
      <c r="P134" s="63"/>
      <c r="Q134" s="82"/>
      <c r="R134" s="64"/>
      <c r="S134" s="82"/>
      <c r="T134" s="63"/>
      <c r="U134" s="158"/>
      <c r="V134" s="158"/>
      <c r="W134" s="155"/>
      <c r="X134" s="155"/>
      <c r="Y134" s="155"/>
      <c r="Z134" s="158"/>
      <c r="AA134" s="158"/>
      <c r="AB134" s="158"/>
      <c r="AC134" s="158"/>
      <c r="AD134" s="158"/>
      <c r="AE134" s="137">
        <f t="shared" si="113"/>
        <v>0</v>
      </c>
      <c r="AF134" s="137">
        <f t="shared" si="114"/>
        <v>0</v>
      </c>
      <c r="AG134" s="137">
        <f t="shared" si="115"/>
        <v>0</v>
      </c>
      <c r="AH134" s="137">
        <f t="shared" si="116"/>
        <v>0</v>
      </c>
      <c r="AI134" s="137">
        <f t="shared" si="117"/>
        <v>0</v>
      </c>
      <c r="AJ134" s="137">
        <f t="shared" si="118"/>
        <v>0</v>
      </c>
      <c r="AK134" s="137">
        <f t="shared" si="119"/>
        <v>0</v>
      </c>
      <c r="AL134" s="137">
        <f t="shared" si="120"/>
        <v>0</v>
      </c>
      <c r="AM134" s="137">
        <f t="shared" si="121"/>
        <v>0</v>
      </c>
      <c r="AN134" s="137">
        <f t="shared" si="122"/>
        <v>0</v>
      </c>
    </row>
    <row r="135" spans="1:50" outlineLevel="1" x14ac:dyDescent="0.2">
      <c r="B135" s="81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63">
        <f t="shared" si="82"/>
        <v>0</v>
      </c>
      <c r="P135" s="63"/>
      <c r="Q135" s="82"/>
      <c r="R135" s="64"/>
      <c r="S135" s="82"/>
      <c r="T135" s="63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37">
        <f t="shared" si="113"/>
        <v>0</v>
      </c>
      <c r="AF135" s="137">
        <f t="shared" si="114"/>
        <v>0</v>
      </c>
      <c r="AG135" s="137">
        <f t="shared" si="115"/>
        <v>0</v>
      </c>
      <c r="AH135" s="137">
        <f t="shared" si="116"/>
        <v>0</v>
      </c>
      <c r="AI135" s="137">
        <f t="shared" si="117"/>
        <v>0</v>
      </c>
      <c r="AJ135" s="137">
        <f t="shared" si="118"/>
        <v>0</v>
      </c>
      <c r="AK135" s="137">
        <f t="shared" si="119"/>
        <v>0</v>
      </c>
      <c r="AL135" s="137">
        <f t="shared" si="120"/>
        <v>0</v>
      </c>
      <c r="AM135" s="137">
        <f t="shared" si="121"/>
        <v>0</v>
      </c>
      <c r="AN135" s="137">
        <f t="shared" si="122"/>
        <v>0</v>
      </c>
    </row>
    <row r="136" spans="1:50" s="509" customFormat="1" ht="15" x14ac:dyDescent="0.25">
      <c r="A136" s="504">
        <f>+A135+1</f>
        <v>1</v>
      </c>
      <c r="B136" s="511" t="s">
        <v>485</v>
      </c>
      <c r="C136" s="506"/>
      <c r="D136" s="506"/>
      <c r="E136" s="506"/>
      <c r="F136" s="506"/>
      <c r="G136" s="506"/>
      <c r="H136" s="506">
        <f t="shared" ref="H136:N136" si="135">SUM(H137:H149)</f>
        <v>0</v>
      </c>
      <c r="I136" s="506">
        <f t="shared" si="135"/>
        <v>12687.898440000001</v>
      </c>
      <c r="J136" s="506">
        <f t="shared" si="135"/>
        <v>0</v>
      </c>
      <c r="K136" s="506">
        <f t="shared" si="135"/>
        <v>5129.0559999999996</v>
      </c>
      <c r="L136" s="506">
        <f t="shared" si="135"/>
        <v>0</v>
      </c>
      <c r="M136" s="506">
        <f t="shared" si="135"/>
        <v>0</v>
      </c>
      <c r="N136" s="506">
        <f t="shared" si="135"/>
        <v>0</v>
      </c>
      <c r="O136" s="506">
        <f t="shared" si="82"/>
        <v>17816.954440000001</v>
      </c>
      <c r="P136" s="507"/>
      <c r="Q136" s="508"/>
      <c r="S136" s="508"/>
      <c r="T136" s="507"/>
      <c r="U136" s="510"/>
      <c r="V136" s="510"/>
      <c r="W136" s="510"/>
      <c r="X136" s="510"/>
      <c r="Y136" s="510"/>
      <c r="Z136" s="510"/>
      <c r="AA136" s="510"/>
      <c r="AB136" s="510"/>
      <c r="AC136" s="510"/>
      <c r="AD136" s="510"/>
      <c r="AE136" s="137">
        <f t="shared" si="113"/>
        <v>0</v>
      </c>
      <c r="AF136" s="137">
        <f t="shared" si="114"/>
        <v>0</v>
      </c>
      <c r="AG136" s="137">
        <f t="shared" si="115"/>
        <v>0</v>
      </c>
      <c r="AH136" s="137">
        <f t="shared" si="116"/>
        <v>0</v>
      </c>
      <c r="AI136" s="137">
        <f t="shared" si="117"/>
        <v>0</v>
      </c>
      <c r="AJ136" s="137">
        <f t="shared" si="118"/>
        <v>0</v>
      </c>
      <c r="AK136" s="137">
        <f t="shared" si="119"/>
        <v>0</v>
      </c>
      <c r="AL136" s="137">
        <f t="shared" si="120"/>
        <v>0</v>
      </c>
      <c r="AM136" s="137">
        <f t="shared" si="121"/>
        <v>0</v>
      </c>
      <c r="AN136" s="137">
        <f t="shared" si="122"/>
        <v>0</v>
      </c>
    </row>
    <row r="137" spans="1:50" ht="15" outlineLevel="1" x14ac:dyDescent="0.25">
      <c r="A137" s="64">
        <v>1</v>
      </c>
      <c r="B137" s="730" t="str">
        <f>'[11]COSTOS DEL PLAN'!B127</f>
        <v>REEMPLAZO CUCHILLAS MANUALES Y MOTORIZADAS S/E LLANO SÁNCHEZ 115 KV</v>
      </c>
      <c r="C137" s="2"/>
      <c r="D137" s="2"/>
      <c r="E137" s="2"/>
      <c r="F137" s="2"/>
      <c r="G137" s="2"/>
      <c r="H137" s="1226">
        <v>0</v>
      </c>
      <c r="I137" s="1226">
        <v>0</v>
      </c>
      <c r="J137" s="1226">
        <v>0</v>
      </c>
      <c r="K137" s="1226">
        <v>0</v>
      </c>
      <c r="L137" s="1226">
        <v>0</v>
      </c>
      <c r="M137" s="1226">
        <v>0</v>
      </c>
      <c r="N137" s="1226">
        <v>0</v>
      </c>
      <c r="O137" s="66">
        <f t="shared" ref="O137:O145" si="136">SUM(C137:N137)</f>
        <v>0</v>
      </c>
      <c r="P137" s="63"/>
      <c r="Q137" s="82">
        <f>'[11]COSTOS DEL PLAN'!P127</f>
        <v>45291</v>
      </c>
      <c r="R137" s="64"/>
      <c r="S137" s="82"/>
      <c r="T137" s="63"/>
      <c r="U137" s="155" t="str">
        <f t="shared" ref="U137:AD145" si="137">IF(U$6=YEAR($Q137),$Q137,"")</f>
        <v/>
      </c>
      <c r="V137" s="155" t="str">
        <f t="shared" si="137"/>
        <v/>
      </c>
      <c r="W137" s="155">
        <f t="shared" si="137"/>
        <v>45291</v>
      </c>
      <c r="X137" s="155" t="str">
        <f t="shared" si="137"/>
        <v/>
      </c>
      <c r="Y137" s="155" t="str">
        <f t="shared" si="137"/>
        <v/>
      </c>
      <c r="Z137" s="155" t="str">
        <f t="shared" si="137"/>
        <v/>
      </c>
      <c r="AA137" s="155" t="str">
        <f t="shared" si="137"/>
        <v/>
      </c>
      <c r="AB137" s="155" t="str">
        <f t="shared" si="137"/>
        <v/>
      </c>
      <c r="AC137" s="155" t="str">
        <f t="shared" si="137"/>
        <v/>
      </c>
      <c r="AD137" s="155" t="str">
        <f t="shared" si="137"/>
        <v/>
      </c>
      <c r="AE137" s="137">
        <f t="shared" si="113"/>
        <v>0</v>
      </c>
      <c r="AF137" s="137">
        <f t="shared" si="114"/>
        <v>0</v>
      </c>
      <c r="AG137" s="137">
        <f t="shared" si="115"/>
        <v>0</v>
      </c>
      <c r="AH137" s="137">
        <f t="shared" si="116"/>
        <v>0</v>
      </c>
      <c r="AI137" s="137">
        <f t="shared" si="117"/>
        <v>0</v>
      </c>
      <c r="AJ137" s="137">
        <f t="shared" si="118"/>
        <v>0</v>
      </c>
      <c r="AK137" s="137">
        <f t="shared" si="119"/>
        <v>0</v>
      </c>
      <c r="AL137" s="137">
        <f t="shared" si="120"/>
        <v>0</v>
      </c>
      <c r="AM137" s="137">
        <f t="shared" si="121"/>
        <v>0</v>
      </c>
      <c r="AN137" s="137">
        <f t="shared" si="122"/>
        <v>0</v>
      </c>
    </row>
    <row r="138" spans="1:50" ht="15" outlineLevel="1" x14ac:dyDescent="0.25">
      <c r="A138" s="64">
        <v>2</v>
      </c>
      <c r="B138" s="730" t="str">
        <f>'[11]COSTOS DEL PLAN'!B128</f>
        <v>REEMPLAZO PTs S/E LLANO SANCHEZ 34.5 KV</v>
      </c>
      <c r="C138" s="2"/>
      <c r="D138" s="2"/>
      <c r="E138" s="2"/>
      <c r="F138" s="2"/>
      <c r="G138" s="2"/>
      <c r="H138" s="1226">
        <v>0</v>
      </c>
      <c r="I138" s="1226">
        <v>0</v>
      </c>
      <c r="J138" s="1226">
        <v>0</v>
      </c>
      <c r="K138" s="1226">
        <v>0</v>
      </c>
      <c r="L138" s="1226">
        <v>0</v>
      </c>
      <c r="M138" s="1226">
        <v>0</v>
      </c>
      <c r="N138" s="1226">
        <v>0</v>
      </c>
      <c r="O138" s="66">
        <f t="shared" si="136"/>
        <v>0</v>
      </c>
      <c r="P138" s="63"/>
      <c r="Q138" s="82">
        <f>'[11]COSTOS DEL PLAN'!P128</f>
        <v>45291</v>
      </c>
      <c r="R138" s="64"/>
      <c r="S138" s="82"/>
      <c r="T138" s="63"/>
      <c r="U138" s="155" t="str">
        <f t="shared" si="137"/>
        <v/>
      </c>
      <c r="V138" s="155" t="str">
        <f t="shared" si="137"/>
        <v/>
      </c>
      <c r="W138" s="155">
        <f t="shared" si="137"/>
        <v>45291</v>
      </c>
      <c r="X138" s="155" t="str">
        <f t="shared" si="137"/>
        <v/>
      </c>
      <c r="Y138" s="155" t="str">
        <f t="shared" si="137"/>
        <v/>
      </c>
      <c r="Z138" s="155" t="str">
        <f t="shared" si="137"/>
        <v/>
      </c>
      <c r="AA138" s="155" t="str">
        <f t="shared" si="137"/>
        <v/>
      </c>
      <c r="AB138" s="155" t="str">
        <f t="shared" si="137"/>
        <v/>
      </c>
      <c r="AC138" s="155" t="str">
        <f t="shared" si="137"/>
        <v/>
      </c>
      <c r="AD138" s="155" t="str">
        <f t="shared" si="137"/>
        <v/>
      </c>
      <c r="AE138" s="137">
        <f t="shared" si="113"/>
        <v>0</v>
      </c>
      <c r="AF138" s="137">
        <f t="shared" si="114"/>
        <v>0</v>
      </c>
      <c r="AG138" s="137">
        <f t="shared" si="115"/>
        <v>0</v>
      </c>
      <c r="AH138" s="137">
        <f t="shared" si="116"/>
        <v>0</v>
      </c>
      <c r="AI138" s="137">
        <f t="shared" si="117"/>
        <v>0</v>
      </c>
      <c r="AJ138" s="137">
        <f t="shared" si="118"/>
        <v>0</v>
      </c>
      <c r="AK138" s="137">
        <f t="shared" si="119"/>
        <v>0</v>
      </c>
      <c r="AL138" s="137">
        <f t="shared" si="120"/>
        <v>0</v>
      </c>
      <c r="AM138" s="137">
        <f t="shared" si="121"/>
        <v>0</v>
      </c>
      <c r="AN138" s="137">
        <f t="shared" si="122"/>
        <v>0</v>
      </c>
    </row>
    <row r="139" spans="1:50" ht="15" outlineLevel="1" x14ac:dyDescent="0.25">
      <c r="A139" s="64">
        <v>3</v>
      </c>
      <c r="B139" s="730" t="str">
        <f>'[11]COSTOS DEL PLAN'!B129</f>
        <v>REEMPLAZO PTs S/E MATA DE NANCE 34.5 KV</v>
      </c>
      <c r="C139" s="2"/>
      <c r="D139" s="2"/>
      <c r="E139" s="2"/>
      <c r="F139" s="2"/>
      <c r="G139" s="2"/>
      <c r="H139" s="1226">
        <v>0</v>
      </c>
      <c r="I139" s="1226">
        <v>0</v>
      </c>
      <c r="J139" s="1226">
        <v>0</v>
      </c>
      <c r="K139" s="1226">
        <v>0</v>
      </c>
      <c r="L139" s="1226">
        <v>0</v>
      </c>
      <c r="M139" s="1226">
        <v>0</v>
      </c>
      <c r="N139" s="1226">
        <v>0</v>
      </c>
      <c r="O139" s="66">
        <f t="shared" si="136"/>
        <v>0</v>
      </c>
      <c r="P139" s="63"/>
      <c r="Q139" s="82">
        <f>'[11]COSTOS DEL PLAN'!P129</f>
        <v>45291</v>
      </c>
      <c r="R139" s="64"/>
      <c r="S139" s="82"/>
      <c r="T139" s="63"/>
      <c r="U139" s="155" t="str">
        <f t="shared" si="137"/>
        <v/>
      </c>
      <c r="V139" s="155" t="str">
        <f t="shared" si="137"/>
        <v/>
      </c>
      <c r="W139" s="155">
        <f t="shared" si="137"/>
        <v>45291</v>
      </c>
      <c r="X139" s="155" t="str">
        <f t="shared" si="137"/>
        <v/>
      </c>
      <c r="Y139" s="155" t="str">
        <f t="shared" si="137"/>
        <v/>
      </c>
      <c r="Z139" s="155" t="str">
        <f t="shared" si="137"/>
        <v/>
      </c>
      <c r="AA139" s="155" t="str">
        <f t="shared" si="137"/>
        <v/>
      </c>
      <c r="AB139" s="155" t="str">
        <f t="shared" si="137"/>
        <v/>
      </c>
      <c r="AC139" s="155" t="str">
        <f t="shared" si="137"/>
        <v/>
      </c>
      <c r="AD139" s="155" t="str">
        <f t="shared" si="137"/>
        <v/>
      </c>
      <c r="AE139" s="137">
        <f t="shared" si="113"/>
        <v>0</v>
      </c>
      <c r="AF139" s="137">
        <f t="shared" si="114"/>
        <v>0</v>
      </c>
      <c r="AG139" s="137">
        <f t="shared" si="115"/>
        <v>0</v>
      </c>
      <c r="AH139" s="137">
        <f t="shared" si="116"/>
        <v>0</v>
      </c>
      <c r="AI139" s="137">
        <f t="shared" si="117"/>
        <v>0</v>
      </c>
      <c r="AJ139" s="137">
        <f t="shared" si="118"/>
        <v>0</v>
      </c>
      <c r="AK139" s="137">
        <f t="shared" si="119"/>
        <v>0</v>
      </c>
      <c r="AL139" s="137">
        <f t="shared" si="120"/>
        <v>0</v>
      </c>
      <c r="AM139" s="137">
        <f t="shared" si="121"/>
        <v>0</v>
      </c>
      <c r="AN139" s="137">
        <f t="shared" si="122"/>
        <v>0</v>
      </c>
    </row>
    <row r="140" spans="1:50" ht="15" outlineLevel="1" x14ac:dyDescent="0.25">
      <c r="A140" s="64">
        <v>4</v>
      </c>
      <c r="B140" s="730" t="str">
        <f>'[11]COSTOS DEL PLAN'!B130</f>
        <v>REEMPLAZO PTs S/E PROGRESO 34.5 KV</v>
      </c>
      <c r="C140" s="2"/>
      <c r="D140" s="2"/>
      <c r="E140" s="2"/>
      <c r="F140" s="2"/>
      <c r="G140" s="2"/>
      <c r="H140" s="1226">
        <v>0</v>
      </c>
      <c r="I140" s="1226">
        <v>0</v>
      </c>
      <c r="J140" s="1226">
        <v>0</v>
      </c>
      <c r="K140" s="1226">
        <v>0</v>
      </c>
      <c r="L140" s="1226">
        <v>0</v>
      </c>
      <c r="M140" s="1226">
        <v>0</v>
      </c>
      <c r="N140" s="1226">
        <v>0</v>
      </c>
      <c r="O140" s="66">
        <f t="shared" si="136"/>
        <v>0</v>
      </c>
      <c r="P140" s="63"/>
      <c r="Q140" s="82">
        <f>'[11]COSTOS DEL PLAN'!P130</f>
        <v>45291</v>
      </c>
      <c r="R140" s="64"/>
      <c r="S140" s="82"/>
      <c r="T140" s="63"/>
      <c r="U140" s="155" t="str">
        <f t="shared" si="137"/>
        <v/>
      </c>
      <c r="V140" s="155" t="str">
        <f t="shared" si="137"/>
        <v/>
      </c>
      <c r="W140" s="155">
        <f t="shared" si="137"/>
        <v>45291</v>
      </c>
      <c r="X140" s="155" t="str">
        <f t="shared" si="137"/>
        <v/>
      </c>
      <c r="Y140" s="155" t="str">
        <f t="shared" si="137"/>
        <v/>
      </c>
      <c r="Z140" s="155" t="str">
        <f t="shared" si="137"/>
        <v/>
      </c>
      <c r="AA140" s="155" t="str">
        <f t="shared" si="137"/>
        <v/>
      </c>
      <c r="AB140" s="155" t="str">
        <f t="shared" si="137"/>
        <v/>
      </c>
      <c r="AC140" s="155" t="str">
        <f t="shared" si="137"/>
        <v/>
      </c>
      <c r="AD140" s="155" t="str">
        <f t="shared" si="137"/>
        <v/>
      </c>
      <c r="AE140" s="137">
        <f t="shared" si="113"/>
        <v>0</v>
      </c>
      <c r="AF140" s="137">
        <f t="shared" si="114"/>
        <v>0</v>
      </c>
      <c r="AG140" s="137">
        <f t="shared" si="115"/>
        <v>0</v>
      </c>
      <c r="AH140" s="137">
        <f t="shared" si="116"/>
        <v>0</v>
      </c>
      <c r="AI140" s="137">
        <f t="shared" si="117"/>
        <v>0</v>
      </c>
      <c r="AJ140" s="137">
        <f t="shared" si="118"/>
        <v>0</v>
      </c>
      <c r="AK140" s="137">
        <f t="shared" si="119"/>
        <v>0</v>
      </c>
      <c r="AL140" s="137">
        <f t="shared" si="120"/>
        <v>0</v>
      </c>
      <c r="AM140" s="137">
        <f t="shared" si="121"/>
        <v>0</v>
      </c>
      <c r="AN140" s="137">
        <f t="shared" si="122"/>
        <v>0</v>
      </c>
    </row>
    <row r="141" spans="1:50" ht="15" outlineLevel="1" x14ac:dyDescent="0.25">
      <c r="A141" s="64">
        <v>5</v>
      </c>
      <c r="B141" s="730" t="str">
        <f>'[11]COSTOS DEL PLAN'!B131</f>
        <v>S/E EL COCO 230 KV 2 NAVES</v>
      </c>
      <c r="C141" s="2"/>
      <c r="D141" s="2"/>
      <c r="E141" s="2"/>
      <c r="F141" s="2"/>
      <c r="G141" s="2"/>
      <c r="H141" s="1226">
        <v>0</v>
      </c>
      <c r="I141" s="1226">
        <v>0</v>
      </c>
      <c r="J141" s="1226">
        <v>0</v>
      </c>
      <c r="K141" s="1226">
        <v>0</v>
      </c>
      <c r="L141" s="1226">
        <v>0</v>
      </c>
      <c r="M141" s="1226">
        <v>0</v>
      </c>
      <c r="N141" s="1226">
        <v>0</v>
      </c>
      <c r="O141" s="66">
        <f t="shared" si="136"/>
        <v>0</v>
      </c>
      <c r="P141" s="63"/>
      <c r="Q141" s="82">
        <f>'[11]COSTOS DEL PLAN'!P131</f>
        <v>45291</v>
      </c>
      <c r="R141" s="64"/>
      <c r="S141" s="82"/>
      <c r="T141" s="63"/>
      <c r="U141" s="155" t="str">
        <f t="shared" si="137"/>
        <v/>
      </c>
      <c r="V141" s="155" t="str">
        <f t="shared" si="137"/>
        <v/>
      </c>
      <c r="W141" s="155">
        <f t="shared" si="137"/>
        <v>45291</v>
      </c>
      <c r="X141" s="155" t="str">
        <f t="shared" si="137"/>
        <v/>
      </c>
      <c r="Y141" s="155" t="str">
        <f t="shared" si="137"/>
        <v/>
      </c>
      <c r="Z141" s="155" t="str">
        <f t="shared" si="137"/>
        <v/>
      </c>
      <c r="AA141" s="155" t="str">
        <f t="shared" si="137"/>
        <v/>
      </c>
      <c r="AB141" s="155" t="str">
        <f t="shared" si="137"/>
        <v/>
      </c>
      <c r="AC141" s="155" t="str">
        <f t="shared" si="137"/>
        <v/>
      </c>
      <c r="AD141" s="155" t="str">
        <f t="shared" si="137"/>
        <v/>
      </c>
      <c r="AE141" s="137">
        <f t="shared" si="113"/>
        <v>0</v>
      </c>
      <c r="AF141" s="137">
        <f t="shared" si="114"/>
        <v>0</v>
      </c>
      <c r="AG141" s="137">
        <f t="shared" si="115"/>
        <v>0</v>
      </c>
      <c r="AH141" s="137">
        <f t="shared" si="116"/>
        <v>0</v>
      </c>
      <c r="AI141" s="137">
        <f t="shared" si="117"/>
        <v>0</v>
      </c>
      <c r="AJ141" s="137">
        <f t="shared" si="118"/>
        <v>0</v>
      </c>
      <c r="AK141" s="137">
        <f t="shared" si="119"/>
        <v>0</v>
      </c>
      <c r="AL141" s="137">
        <f t="shared" si="120"/>
        <v>0</v>
      </c>
      <c r="AM141" s="137">
        <f t="shared" si="121"/>
        <v>0</v>
      </c>
      <c r="AN141" s="137">
        <f t="shared" si="122"/>
        <v>0</v>
      </c>
    </row>
    <row r="142" spans="1:50" ht="15" outlineLevel="1" x14ac:dyDescent="0.25">
      <c r="A142" s="64">
        <v>6</v>
      </c>
      <c r="B142" s="730" t="str">
        <f>'[11]COSTOS DEL PLAN'!B132</f>
        <v>S/E PACORA 230 KV 1 NAVE</v>
      </c>
      <c r="C142" s="2"/>
      <c r="D142" s="2"/>
      <c r="E142" s="2"/>
      <c r="F142" s="2"/>
      <c r="G142" s="2"/>
      <c r="H142" s="1226">
        <v>0</v>
      </c>
      <c r="I142" s="1226">
        <v>0</v>
      </c>
      <c r="J142" s="1226">
        <v>0</v>
      </c>
      <c r="K142" s="1226">
        <v>0</v>
      </c>
      <c r="L142" s="1226">
        <v>0</v>
      </c>
      <c r="M142" s="1226">
        <v>0</v>
      </c>
      <c r="N142" s="1226">
        <v>0</v>
      </c>
      <c r="O142" s="66">
        <f t="shared" si="136"/>
        <v>0</v>
      </c>
      <c r="P142" s="63"/>
      <c r="Q142" s="82">
        <f>'[11]COSTOS DEL PLAN'!P132</f>
        <v>45291</v>
      </c>
      <c r="R142" s="64"/>
      <c r="S142" s="82"/>
      <c r="T142" s="63"/>
      <c r="U142" s="155" t="str">
        <f t="shared" si="137"/>
        <v/>
      </c>
      <c r="V142" s="155" t="str">
        <f t="shared" si="137"/>
        <v/>
      </c>
      <c r="W142" s="155">
        <f t="shared" si="137"/>
        <v>45291</v>
      </c>
      <c r="X142" s="155" t="str">
        <f t="shared" si="137"/>
        <v/>
      </c>
      <c r="Y142" s="155" t="str">
        <f t="shared" si="137"/>
        <v/>
      </c>
      <c r="Z142" s="155" t="str">
        <f t="shared" si="137"/>
        <v/>
      </c>
      <c r="AA142" s="155" t="str">
        <f t="shared" si="137"/>
        <v/>
      </c>
      <c r="AB142" s="155" t="str">
        <f t="shared" si="137"/>
        <v/>
      </c>
      <c r="AC142" s="155" t="str">
        <f t="shared" si="137"/>
        <v/>
      </c>
      <c r="AD142" s="155" t="str">
        <f t="shared" si="137"/>
        <v/>
      </c>
      <c r="AE142" s="137">
        <f t="shared" si="113"/>
        <v>0</v>
      </c>
      <c r="AF142" s="137">
        <f t="shared" si="114"/>
        <v>0</v>
      </c>
      <c r="AG142" s="137">
        <f t="shared" si="115"/>
        <v>0</v>
      </c>
      <c r="AH142" s="137">
        <f t="shared" si="116"/>
        <v>0</v>
      </c>
      <c r="AI142" s="137">
        <f t="shared" si="117"/>
        <v>0</v>
      </c>
      <c r="AJ142" s="137">
        <f t="shared" si="118"/>
        <v>0</v>
      </c>
      <c r="AK142" s="137">
        <f t="shared" si="119"/>
        <v>0</v>
      </c>
      <c r="AL142" s="137">
        <f t="shared" si="120"/>
        <v>0</v>
      </c>
      <c r="AM142" s="137">
        <f t="shared" si="121"/>
        <v>0</v>
      </c>
      <c r="AN142" s="137">
        <f t="shared" si="122"/>
        <v>0</v>
      </c>
    </row>
    <row r="143" spans="1:50" ht="15" outlineLevel="1" x14ac:dyDescent="0.25">
      <c r="A143" s="64">
        <v>7</v>
      </c>
      <c r="B143" s="730" t="str">
        <f>'[11]COSTOS DEL PLAN'!B133</f>
        <v xml:space="preserve">NUEVA SUBESTACION BURUNGA 230 KV </v>
      </c>
      <c r="C143" s="2"/>
      <c r="D143" s="2"/>
      <c r="E143" s="2"/>
      <c r="F143" s="2"/>
      <c r="G143" s="2"/>
      <c r="H143" s="1233"/>
      <c r="I143" s="1233">
        <v>12687.898440000001</v>
      </c>
      <c r="J143" s="1226">
        <v>0</v>
      </c>
      <c r="K143" s="1226">
        <v>0</v>
      </c>
      <c r="L143" s="1226">
        <v>0</v>
      </c>
      <c r="M143" s="1226">
        <v>0</v>
      </c>
      <c r="N143" s="1226">
        <v>0</v>
      </c>
      <c r="O143" s="66">
        <f t="shared" si="136"/>
        <v>12687.898440000001</v>
      </c>
      <c r="P143" s="63"/>
      <c r="Q143" s="1234">
        <v>45868</v>
      </c>
      <c r="R143" s="64"/>
      <c r="S143" s="82"/>
      <c r="T143" s="63"/>
      <c r="U143" s="155" t="str">
        <f t="shared" si="137"/>
        <v/>
      </c>
      <c r="V143" s="155" t="str">
        <f t="shared" si="137"/>
        <v/>
      </c>
      <c r="W143" s="155" t="str">
        <f t="shared" si="137"/>
        <v/>
      </c>
      <c r="X143" s="155" t="str">
        <f t="shared" si="137"/>
        <v/>
      </c>
      <c r="Y143" s="155">
        <f t="shared" si="137"/>
        <v>45868</v>
      </c>
      <c r="Z143" s="155" t="str">
        <f t="shared" si="137"/>
        <v/>
      </c>
      <c r="AA143" s="155" t="str">
        <f t="shared" si="137"/>
        <v/>
      </c>
      <c r="AB143" s="155" t="str">
        <f t="shared" si="137"/>
        <v/>
      </c>
      <c r="AC143" s="155" t="str">
        <f t="shared" si="137"/>
        <v/>
      </c>
      <c r="AD143" s="155" t="str">
        <f t="shared" si="137"/>
        <v/>
      </c>
      <c r="AE143" s="137">
        <f t="shared" si="113"/>
        <v>0</v>
      </c>
      <c r="AF143" s="137">
        <f t="shared" si="114"/>
        <v>0</v>
      </c>
      <c r="AG143" s="137">
        <f t="shared" si="115"/>
        <v>0</v>
      </c>
      <c r="AH143" s="137">
        <f t="shared" si="116"/>
        <v>0</v>
      </c>
      <c r="AI143" s="137">
        <f t="shared" si="117"/>
        <v>0.42191780821917807</v>
      </c>
      <c r="AJ143" s="137">
        <f t="shared" si="118"/>
        <v>0</v>
      </c>
      <c r="AK143" s="137">
        <f t="shared" si="119"/>
        <v>0</v>
      </c>
      <c r="AL143" s="137">
        <f t="shared" si="120"/>
        <v>0</v>
      </c>
      <c r="AM143" s="137">
        <f t="shared" si="121"/>
        <v>0</v>
      </c>
      <c r="AN143" s="137">
        <f t="shared" si="122"/>
        <v>0</v>
      </c>
    </row>
    <row r="144" spans="1:50" ht="15" outlineLevel="1" x14ac:dyDescent="0.25">
      <c r="B144" s="730" t="str">
        <f>'[11]COSTOS DEL PLAN'!B134</f>
        <v>S/E 24 DE DICIEMBRE 230 KV 1 NAVE</v>
      </c>
      <c r="C144" s="2"/>
      <c r="D144" s="2"/>
      <c r="E144" s="2"/>
      <c r="F144" s="2"/>
      <c r="G144" s="2"/>
      <c r="H144" s="1226">
        <v>0</v>
      </c>
      <c r="I144" s="1226">
        <v>0</v>
      </c>
      <c r="J144" s="1226">
        <v>0</v>
      </c>
      <c r="K144" s="1226">
        <v>5129.0559999999996</v>
      </c>
      <c r="L144" s="1226">
        <v>0</v>
      </c>
      <c r="M144" s="1226">
        <v>0</v>
      </c>
      <c r="N144" s="1226">
        <v>0</v>
      </c>
      <c r="O144" s="66">
        <f t="shared" si="136"/>
        <v>5129.0559999999996</v>
      </c>
      <c r="P144" s="63"/>
      <c r="Q144" s="82">
        <f>'[11]COSTOS DEL PLAN'!P134</f>
        <v>46752</v>
      </c>
      <c r="R144" s="64"/>
      <c r="S144" s="82"/>
      <c r="T144" s="63"/>
      <c r="U144" s="155" t="str">
        <f t="shared" si="137"/>
        <v/>
      </c>
      <c r="V144" s="155" t="str">
        <f t="shared" si="137"/>
        <v/>
      </c>
      <c r="W144" s="155" t="str">
        <f t="shared" si="137"/>
        <v/>
      </c>
      <c r="X144" s="155" t="str">
        <f t="shared" si="137"/>
        <v/>
      </c>
      <c r="Y144" s="155" t="str">
        <f t="shared" si="137"/>
        <v/>
      </c>
      <c r="Z144" s="155" t="str">
        <f t="shared" si="137"/>
        <v/>
      </c>
      <c r="AA144" s="155">
        <f t="shared" si="137"/>
        <v>46752</v>
      </c>
      <c r="AB144" s="155" t="str">
        <f t="shared" si="137"/>
        <v/>
      </c>
      <c r="AC144" s="155" t="str">
        <f t="shared" si="137"/>
        <v/>
      </c>
      <c r="AD144" s="155" t="str">
        <f t="shared" si="137"/>
        <v/>
      </c>
      <c r="AE144" s="137">
        <f t="shared" si="113"/>
        <v>0</v>
      </c>
      <c r="AF144" s="137">
        <f t="shared" si="114"/>
        <v>0</v>
      </c>
      <c r="AG144" s="137">
        <f t="shared" si="115"/>
        <v>0</v>
      </c>
      <c r="AH144" s="137">
        <f t="shared" si="116"/>
        <v>0</v>
      </c>
      <c r="AI144" s="137">
        <f t="shared" si="117"/>
        <v>0</v>
      </c>
      <c r="AJ144" s="137">
        <f t="shared" si="118"/>
        <v>0</v>
      </c>
      <c r="AK144" s="137">
        <f t="shared" si="119"/>
        <v>0</v>
      </c>
      <c r="AL144" s="137">
        <f t="shared" si="120"/>
        <v>0</v>
      </c>
      <c r="AM144" s="137">
        <f t="shared" si="121"/>
        <v>0</v>
      </c>
      <c r="AN144" s="137">
        <f t="shared" si="122"/>
        <v>0</v>
      </c>
    </row>
    <row r="145" spans="1:50" ht="15" outlineLevel="1" x14ac:dyDescent="0.25">
      <c r="B145" s="730" t="str">
        <f>'[11]COSTOS DEL PLAN'!B135</f>
        <v>LINEA CRISTOBAL - TORRE 4 230 KV</v>
      </c>
      <c r="C145" s="2"/>
      <c r="D145" s="2"/>
      <c r="E145" s="2"/>
      <c r="F145" s="2"/>
      <c r="G145" s="144"/>
      <c r="H145" s="1226">
        <v>0</v>
      </c>
      <c r="I145" s="1226">
        <v>0</v>
      </c>
      <c r="J145" s="1226">
        <v>0</v>
      </c>
      <c r="K145" s="1226">
        <v>0</v>
      </c>
      <c r="L145" s="1226">
        <v>0</v>
      </c>
      <c r="M145" s="1226">
        <v>0</v>
      </c>
      <c r="N145" s="1226">
        <v>0</v>
      </c>
      <c r="O145" s="66">
        <f t="shared" si="136"/>
        <v>0</v>
      </c>
      <c r="P145" s="63"/>
      <c r="Q145" s="82"/>
      <c r="R145" s="64" t="s">
        <v>1611</v>
      </c>
      <c r="S145" s="82"/>
      <c r="T145" s="63"/>
      <c r="U145" s="155" t="str">
        <f t="shared" si="137"/>
        <v/>
      </c>
      <c r="V145" s="155" t="str">
        <f t="shared" si="137"/>
        <v/>
      </c>
      <c r="W145" s="155" t="str">
        <f t="shared" si="137"/>
        <v/>
      </c>
      <c r="X145" s="155" t="str">
        <f t="shared" si="137"/>
        <v/>
      </c>
      <c r="Y145" s="155" t="str">
        <f t="shared" si="137"/>
        <v/>
      </c>
      <c r="Z145" s="155" t="str">
        <f t="shared" si="137"/>
        <v/>
      </c>
      <c r="AA145" s="155" t="str">
        <f t="shared" si="137"/>
        <v/>
      </c>
      <c r="AB145" s="155" t="str">
        <f t="shared" si="137"/>
        <v/>
      </c>
      <c r="AC145" s="155" t="str">
        <f t="shared" si="137"/>
        <v/>
      </c>
      <c r="AD145" s="155" t="str">
        <f t="shared" si="137"/>
        <v/>
      </c>
      <c r="AE145" s="137">
        <f t="shared" si="113"/>
        <v>0</v>
      </c>
      <c r="AF145" s="137">
        <f t="shared" si="114"/>
        <v>0</v>
      </c>
      <c r="AG145" s="137">
        <f t="shared" si="115"/>
        <v>0</v>
      </c>
      <c r="AH145" s="137">
        <f t="shared" si="116"/>
        <v>0</v>
      </c>
      <c r="AI145" s="137">
        <f t="shared" si="117"/>
        <v>0</v>
      </c>
      <c r="AJ145" s="137">
        <f t="shared" si="118"/>
        <v>0</v>
      </c>
      <c r="AK145" s="137">
        <f t="shared" si="119"/>
        <v>0</v>
      </c>
      <c r="AL145" s="137">
        <f t="shared" si="120"/>
        <v>0</v>
      </c>
      <c r="AM145" s="137">
        <f t="shared" si="121"/>
        <v>0</v>
      </c>
      <c r="AN145" s="137">
        <f t="shared" si="122"/>
        <v>0</v>
      </c>
    </row>
    <row r="146" spans="1:50" ht="15" outlineLevel="1" x14ac:dyDescent="0.25">
      <c r="B146" s="81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66"/>
      <c r="P146" s="63"/>
      <c r="Q146" s="82"/>
      <c r="R146" s="64"/>
      <c r="S146" s="82"/>
      <c r="T146" s="63"/>
      <c r="U146" s="158"/>
      <c r="W146" s="155"/>
      <c r="X146" s="158"/>
      <c r="Y146" s="158"/>
      <c r="Z146" s="158"/>
      <c r="AA146" s="82"/>
      <c r="AB146" s="158"/>
      <c r="AC146" s="158"/>
      <c r="AD146" s="158"/>
      <c r="AE146" s="137">
        <f t="shared" si="113"/>
        <v>0</v>
      </c>
      <c r="AF146" s="137">
        <f t="shared" si="114"/>
        <v>0</v>
      </c>
      <c r="AG146" s="137">
        <f t="shared" si="115"/>
        <v>0</v>
      </c>
      <c r="AH146" s="137">
        <f t="shared" si="116"/>
        <v>0</v>
      </c>
      <c r="AI146" s="137">
        <f t="shared" si="117"/>
        <v>0</v>
      </c>
      <c r="AJ146" s="137">
        <f t="shared" si="118"/>
        <v>0</v>
      </c>
      <c r="AK146" s="137">
        <f t="shared" si="119"/>
        <v>0</v>
      </c>
      <c r="AL146" s="137">
        <f t="shared" si="120"/>
        <v>0</v>
      </c>
      <c r="AM146" s="137">
        <f t="shared" si="121"/>
        <v>0</v>
      </c>
      <c r="AN146" s="137">
        <f t="shared" si="122"/>
        <v>0</v>
      </c>
    </row>
    <row r="147" spans="1:50" ht="15" hidden="1" outlineLevel="1" x14ac:dyDescent="0.25">
      <c r="B147" s="81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66"/>
      <c r="P147" s="63"/>
      <c r="Q147" s="82"/>
      <c r="R147" s="64"/>
      <c r="S147" s="82"/>
      <c r="T147" s="63"/>
      <c r="U147" s="158"/>
      <c r="W147" s="155"/>
      <c r="X147" s="158"/>
      <c r="Y147" s="158"/>
      <c r="Z147" s="675"/>
      <c r="AA147" s="82"/>
      <c r="AB147" s="158"/>
      <c r="AC147" s="158"/>
      <c r="AD147" s="158"/>
      <c r="AE147" s="137">
        <f t="shared" si="113"/>
        <v>0</v>
      </c>
      <c r="AF147" s="137">
        <f t="shared" si="114"/>
        <v>0</v>
      </c>
      <c r="AG147" s="137">
        <f t="shared" si="115"/>
        <v>0</v>
      </c>
      <c r="AH147" s="137">
        <f t="shared" si="116"/>
        <v>0</v>
      </c>
      <c r="AI147" s="137">
        <f t="shared" si="117"/>
        <v>0</v>
      </c>
      <c r="AJ147" s="137">
        <f t="shared" si="118"/>
        <v>0</v>
      </c>
      <c r="AK147" s="137">
        <f t="shared" si="119"/>
        <v>0</v>
      </c>
      <c r="AL147" s="137">
        <f t="shared" si="120"/>
        <v>0</v>
      </c>
      <c r="AM147" s="137">
        <f t="shared" si="121"/>
        <v>0</v>
      </c>
      <c r="AN147" s="137">
        <f t="shared" si="122"/>
        <v>0</v>
      </c>
    </row>
    <row r="148" spans="1:50" ht="15" hidden="1" outlineLevel="1" x14ac:dyDescent="0.25">
      <c r="B148" s="81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66"/>
      <c r="P148" s="63"/>
      <c r="Q148" s="82"/>
      <c r="R148" s="64"/>
      <c r="S148" s="82"/>
      <c r="T148" s="63"/>
      <c r="U148" s="158"/>
      <c r="W148" s="155"/>
      <c r="X148" s="158"/>
      <c r="Y148" s="675"/>
      <c r="Z148" s="158"/>
      <c r="AA148" s="82"/>
      <c r="AB148" s="158"/>
      <c r="AC148" s="158"/>
      <c r="AD148" s="158"/>
      <c r="AE148" s="137">
        <f t="shared" si="113"/>
        <v>0</v>
      </c>
      <c r="AF148" s="137">
        <f t="shared" si="114"/>
        <v>0</v>
      </c>
      <c r="AG148" s="137">
        <f t="shared" si="115"/>
        <v>0</v>
      </c>
      <c r="AH148" s="137">
        <f t="shared" si="116"/>
        <v>0</v>
      </c>
      <c r="AI148" s="137">
        <f t="shared" si="117"/>
        <v>0</v>
      </c>
      <c r="AJ148" s="137">
        <f t="shared" si="118"/>
        <v>0</v>
      </c>
      <c r="AK148" s="137">
        <f t="shared" si="119"/>
        <v>0</v>
      </c>
      <c r="AL148" s="137">
        <f t="shared" si="120"/>
        <v>0</v>
      </c>
      <c r="AM148" s="137">
        <f t="shared" si="121"/>
        <v>0</v>
      </c>
      <c r="AN148" s="137">
        <f t="shared" si="122"/>
        <v>0</v>
      </c>
    </row>
    <row r="149" spans="1:50" ht="15" hidden="1" outlineLevel="1" x14ac:dyDescent="0.25">
      <c r="B149" s="81"/>
      <c r="C149" s="145"/>
      <c r="D149" s="144"/>
      <c r="E149" s="144"/>
      <c r="F149" s="144"/>
      <c r="G149" s="144"/>
      <c r="H149" s="145"/>
      <c r="I149" s="144"/>
      <c r="J149" s="144"/>
      <c r="K149" s="144"/>
      <c r="L149" s="144"/>
      <c r="M149" s="144"/>
      <c r="N149" s="144"/>
      <c r="O149" s="66"/>
      <c r="P149" s="63"/>
      <c r="Q149" s="82"/>
      <c r="R149" s="64"/>
      <c r="S149" s="82"/>
      <c r="T149" s="63"/>
      <c r="U149" s="158"/>
      <c r="W149" s="155"/>
      <c r="X149" s="155"/>
      <c r="Y149" s="158"/>
      <c r="Z149" s="675"/>
      <c r="AA149" s="82"/>
      <c r="AB149" s="158"/>
      <c r="AC149" s="158"/>
      <c r="AD149" s="158"/>
      <c r="AE149" s="137">
        <f t="shared" si="113"/>
        <v>0</v>
      </c>
      <c r="AF149" s="137">
        <f t="shared" si="114"/>
        <v>0</v>
      </c>
      <c r="AG149" s="137">
        <f t="shared" si="115"/>
        <v>0</v>
      </c>
      <c r="AH149" s="137">
        <f t="shared" si="116"/>
        <v>0</v>
      </c>
      <c r="AI149" s="137">
        <f t="shared" si="117"/>
        <v>0</v>
      </c>
      <c r="AJ149" s="137">
        <f t="shared" si="118"/>
        <v>0</v>
      </c>
      <c r="AK149" s="137">
        <f t="shared" si="119"/>
        <v>0</v>
      </c>
      <c r="AL149" s="137">
        <f t="shared" si="120"/>
        <v>0</v>
      </c>
      <c r="AM149" s="137">
        <f t="shared" si="121"/>
        <v>0</v>
      </c>
      <c r="AN149" s="137">
        <f t="shared" si="122"/>
        <v>0</v>
      </c>
    </row>
    <row r="150" spans="1:50" outlineLevel="1" x14ac:dyDescent="0.2">
      <c r="B150" s="81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82"/>
      <c r="R150" s="64"/>
      <c r="S150" s="82"/>
      <c r="T150" s="63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37">
        <f t="shared" si="113"/>
        <v>0</v>
      </c>
      <c r="AF150" s="137">
        <f t="shared" si="114"/>
        <v>0</v>
      </c>
      <c r="AG150" s="137">
        <f t="shared" si="115"/>
        <v>0</v>
      </c>
      <c r="AH150" s="137">
        <f t="shared" si="116"/>
        <v>0</v>
      </c>
      <c r="AI150" s="137">
        <f t="shared" si="117"/>
        <v>0</v>
      </c>
      <c r="AJ150" s="137">
        <f t="shared" si="118"/>
        <v>0</v>
      </c>
      <c r="AK150" s="137">
        <f t="shared" si="119"/>
        <v>0</v>
      </c>
      <c r="AL150" s="137">
        <f t="shared" si="120"/>
        <v>0</v>
      </c>
      <c r="AM150" s="137">
        <f t="shared" si="121"/>
        <v>0</v>
      </c>
      <c r="AN150" s="137">
        <f t="shared" si="122"/>
        <v>0</v>
      </c>
    </row>
    <row r="151" spans="1:50" s="493" customFormat="1" ht="15" x14ac:dyDescent="0.25">
      <c r="A151" s="494">
        <f>+A150+1</f>
        <v>1</v>
      </c>
      <c r="B151" s="490" t="s">
        <v>491</v>
      </c>
      <c r="C151" s="497"/>
      <c r="D151" s="497"/>
      <c r="E151" s="497"/>
      <c r="F151" s="497"/>
      <c r="G151" s="497"/>
      <c r="H151" s="497">
        <f>SUM(H152:H161)</f>
        <v>0</v>
      </c>
      <c r="I151" s="497">
        <f t="shared" ref="I151:N151" si="138">SUM(I152:I161)</f>
        <v>0</v>
      </c>
      <c r="J151" s="497">
        <f t="shared" si="138"/>
        <v>0</v>
      </c>
      <c r="K151" s="497">
        <f t="shared" si="138"/>
        <v>0</v>
      </c>
      <c r="L151" s="497">
        <f t="shared" si="138"/>
        <v>0</v>
      </c>
      <c r="M151" s="497">
        <f t="shared" si="138"/>
        <v>0</v>
      </c>
      <c r="N151" s="497">
        <f t="shared" si="138"/>
        <v>0</v>
      </c>
      <c r="O151" s="497">
        <f t="shared" ref="O151:O164" si="139">SUM(D151:N151)</f>
        <v>0</v>
      </c>
      <c r="P151" s="498"/>
      <c r="Q151" s="499"/>
      <c r="S151" s="499"/>
      <c r="T151" s="498"/>
      <c r="AE151" s="137">
        <f t="shared" si="113"/>
        <v>0</v>
      </c>
      <c r="AF151" s="137">
        <f t="shared" si="114"/>
        <v>0</v>
      </c>
      <c r="AG151" s="137">
        <f t="shared" si="115"/>
        <v>0</v>
      </c>
      <c r="AH151" s="137">
        <f t="shared" si="116"/>
        <v>0</v>
      </c>
      <c r="AI151" s="137">
        <f t="shared" si="117"/>
        <v>0</v>
      </c>
      <c r="AJ151" s="137">
        <f t="shared" si="118"/>
        <v>0</v>
      </c>
      <c r="AK151" s="137">
        <f t="shared" si="119"/>
        <v>0</v>
      </c>
      <c r="AL151" s="137">
        <f t="shared" si="120"/>
        <v>0</v>
      </c>
      <c r="AM151" s="137">
        <f t="shared" si="121"/>
        <v>0</v>
      </c>
      <c r="AN151" s="137">
        <f t="shared" si="122"/>
        <v>0</v>
      </c>
    </row>
    <row r="152" spans="1:50" ht="15" outlineLevel="1" x14ac:dyDescent="0.25">
      <c r="A152" s="64">
        <v>1</v>
      </c>
      <c r="B152" s="81" t="str">
        <f>'[11]COSTOS DEL PLAN'!B112</f>
        <v>EQUIPO DE INFORMATICA</v>
      </c>
      <c r="C152" s="2"/>
      <c r="D152" s="2"/>
      <c r="E152" s="2"/>
      <c r="F152" s="2"/>
      <c r="G152" s="678"/>
      <c r="H152" s="678">
        <v>0</v>
      </c>
      <c r="I152" s="678">
        <v>0</v>
      </c>
      <c r="J152" s="678">
        <v>0</v>
      </c>
      <c r="K152" s="678">
        <v>0</v>
      </c>
      <c r="L152" s="678">
        <v>0</v>
      </c>
      <c r="M152" s="678">
        <v>0</v>
      </c>
      <c r="N152" s="678">
        <v>0</v>
      </c>
      <c r="O152" s="66">
        <f t="shared" ref="O152:O160" si="140">SUM(C152:N152)</f>
        <v>0</v>
      </c>
      <c r="P152" s="63"/>
      <c r="Q152" s="82"/>
      <c r="R152" s="960" t="str">
        <f>'[11]COSTOS DEL PLAN'!$P$112</f>
        <v>2021-2025</v>
      </c>
      <c r="S152" s="82"/>
      <c r="T152" s="63"/>
      <c r="U152" s="155" t="str">
        <f t="shared" ref="U152:AD160" si="141">IF(U$6=YEAR($Q152),$Q152,"")</f>
        <v/>
      </c>
      <c r="V152" s="155" t="str">
        <f t="shared" si="141"/>
        <v/>
      </c>
      <c r="W152" s="155" t="str">
        <f t="shared" si="141"/>
        <v/>
      </c>
      <c r="X152" s="651">
        <v>45657</v>
      </c>
      <c r="Y152" s="651">
        <v>46022</v>
      </c>
      <c r="Z152" s="155" t="str">
        <f t="shared" si="141"/>
        <v/>
      </c>
      <c r="AA152" s="155" t="str">
        <f t="shared" si="141"/>
        <v/>
      </c>
      <c r="AB152" s="155" t="str">
        <f t="shared" si="141"/>
        <v/>
      </c>
      <c r="AC152" s="155" t="str">
        <f t="shared" si="141"/>
        <v/>
      </c>
      <c r="AD152" s="155" t="str">
        <f t="shared" si="141"/>
        <v/>
      </c>
      <c r="AE152" s="137">
        <f t="shared" si="113"/>
        <v>0</v>
      </c>
      <c r="AF152" s="137">
        <f t="shared" si="114"/>
        <v>0</v>
      </c>
      <c r="AG152" s="137">
        <f t="shared" si="115"/>
        <v>0</v>
      </c>
      <c r="AH152" s="137">
        <f t="shared" si="116"/>
        <v>0</v>
      </c>
      <c r="AI152" s="137">
        <f t="shared" si="117"/>
        <v>0</v>
      </c>
      <c r="AJ152" s="137">
        <f t="shared" si="118"/>
        <v>0</v>
      </c>
      <c r="AK152" s="137">
        <f t="shared" si="119"/>
        <v>0</v>
      </c>
      <c r="AL152" s="137">
        <f t="shared" si="120"/>
        <v>0</v>
      </c>
      <c r="AM152" s="137">
        <f t="shared" si="121"/>
        <v>0</v>
      </c>
      <c r="AN152" s="137">
        <f t="shared" si="122"/>
        <v>0</v>
      </c>
      <c r="AO152" s="1201">
        <f t="shared" ref="AO152:AO160" si="142">AE152*E152</f>
        <v>0</v>
      </c>
      <c r="AP152" s="1201">
        <f t="shared" ref="AP152:AP160" si="143">AF152*F152</f>
        <v>0</v>
      </c>
      <c r="AQ152" s="1201">
        <f t="shared" ref="AQ152:AQ160" si="144">AG152*G152</f>
        <v>0</v>
      </c>
      <c r="AR152" s="1201">
        <f t="shared" ref="AR152:AR160" si="145">AH152*H152</f>
        <v>0</v>
      </c>
      <c r="AS152" s="1201">
        <f t="shared" ref="AS152:AS160" si="146">AI152*I152</f>
        <v>0</v>
      </c>
      <c r="AT152" s="1201">
        <f t="shared" ref="AT152:AT160" si="147">AJ152*J152</f>
        <v>0</v>
      </c>
      <c r="AU152" s="1201">
        <f t="shared" ref="AU152:AU160" si="148">AK152*K152</f>
        <v>0</v>
      </c>
      <c r="AV152" s="1201">
        <f t="shared" ref="AV152:AV160" si="149">AL152*L152</f>
        <v>0</v>
      </c>
      <c r="AW152" s="1201">
        <f t="shared" ref="AW152:AW160" si="150">AM152*M152</f>
        <v>0</v>
      </c>
      <c r="AX152" s="1201">
        <f t="shared" ref="AX152:AX160" si="151">AN152*N152</f>
        <v>0</v>
      </c>
    </row>
    <row r="153" spans="1:50" ht="15" outlineLevel="1" x14ac:dyDescent="0.25">
      <c r="A153" s="64">
        <v>2</v>
      </c>
      <c r="B153" s="81" t="str">
        <f>'[11]COSTOS DEL PLAN'!B118</f>
        <v>CERCAS PERIMETRALES PARA SUBESTACIONES</v>
      </c>
      <c r="C153" s="2"/>
      <c r="D153" s="2"/>
      <c r="E153" s="2"/>
      <c r="F153" s="2"/>
      <c r="G153" s="678"/>
      <c r="H153" s="678">
        <v>0</v>
      </c>
      <c r="I153" s="678">
        <v>0</v>
      </c>
      <c r="J153" s="678">
        <v>0</v>
      </c>
      <c r="K153" s="678">
        <v>0</v>
      </c>
      <c r="L153" s="678">
        <v>0</v>
      </c>
      <c r="M153" s="678">
        <v>0</v>
      </c>
      <c r="N153" s="678">
        <v>0</v>
      </c>
      <c r="O153" s="66">
        <f t="shared" si="140"/>
        <v>0</v>
      </c>
      <c r="P153" s="63"/>
      <c r="Q153" s="82"/>
      <c r="R153" s="960" t="str">
        <f>'[11]COSTOS DEL PLAN'!P118</f>
        <v>2021-2025</v>
      </c>
      <c r="S153" s="82"/>
      <c r="T153" s="63"/>
      <c r="U153" s="155" t="str">
        <f t="shared" si="141"/>
        <v/>
      </c>
      <c r="V153" s="155" t="str">
        <f t="shared" si="141"/>
        <v/>
      </c>
      <c r="W153" s="155" t="str">
        <f t="shared" si="141"/>
        <v/>
      </c>
      <c r="X153" s="651">
        <v>45657</v>
      </c>
      <c r="Y153" s="651">
        <v>46022</v>
      </c>
      <c r="Z153" s="155" t="str">
        <f t="shared" si="141"/>
        <v/>
      </c>
      <c r="AA153" s="155" t="str">
        <f t="shared" si="141"/>
        <v/>
      </c>
      <c r="AB153" s="155" t="str">
        <f t="shared" si="141"/>
        <v/>
      </c>
      <c r="AC153" s="155" t="str">
        <f t="shared" si="141"/>
        <v/>
      </c>
      <c r="AD153" s="155" t="str">
        <f t="shared" si="141"/>
        <v/>
      </c>
      <c r="AE153" s="137">
        <f t="shared" si="113"/>
        <v>0</v>
      </c>
      <c r="AF153" s="137">
        <f t="shared" si="114"/>
        <v>0</v>
      </c>
      <c r="AG153" s="137">
        <f t="shared" si="115"/>
        <v>0</v>
      </c>
      <c r="AH153" s="137">
        <f t="shared" si="116"/>
        <v>0</v>
      </c>
      <c r="AI153" s="137">
        <f t="shared" si="117"/>
        <v>0</v>
      </c>
      <c r="AJ153" s="137">
        <f t="shared" si="118"/>
        <v>0</v>
      </c>
      <c r="AK153" s="137">
        <f t="shared" si="119"/>
        <v>0</v>
      </c>
      <c r="AL153" s="137">
        <f t="shared" si="120"/>
        <v>0</v>
      </c>
      <c r="AM153" s="137">
        <f t="shared" si="121"/>
        <v>0</v>
      </c>
      <c r="AN153" s="137">
        <f t="shared" si="122"/>
        <v>0</v>
      </c>
      <c r="AO153" s="1201">
        <f t="shared" si="142"/>
        <v>0</v>
      </c>
      <c r="AP153" s="1201">
        <f t="shared" si="143"/>
        <v>0</v>
      </c>
      <c r="AQ153" s="1201">
        <f t="shared" si="144"/>
        <v>0</v>
      </c>
      <c r="AR153" s="1201">
        <f t="shared" si="145"/>
        <v>0</v>
      </c>
      <c r="AS153" s="1201">
        <f t="shared" si="146"/>
        <v>0</v>
      </c>
      <c r="AT153" s="1201">
        <f t="shared" si="147"/>
        <v>0</v>
      </c>
      <c r="AU153" s="1201">
        <f t="shared" si="148"/>
        <v>0</v>
      </c>
      <c r="AV153" s="1201">
        <f t="shared" si="149"/>
        <v>0</v>
      </c>
      <c r="AW153" s="1201">
        <f t="shared" si="150"/>
        <v>0</v>
      </c>
      <c r="AX153" s="1201">
        <f t="shared" si="151"/>
        <v>0</v>
      </c>
    </row>
    <row r="154" spans="1:50" ht="15" outlineLevel="1" x14ac:dyDescent="0.25">
      <c r="A154" s="64">
        <v>3</v>
      </c>
      <c r="B154" s="81" t="str">
        <f>'[11]COSTOS DEL PLAN'!B119</f>
        <v>SISTEMA DE VIDEO VIGILANCIA DE SUBESTACIONES</v>
      </c>
      <c r="C154" s="2"/>
      <c r="D154" s="2"/>
      <c r="E154" s="2"/>
      <c r="F154" s="2"/>
      <c r="G154" s="678"/>
      <c r="H154" s="678">
        <v>0</v>
      </c>
      <c r="I154" s="678">
        <v>0</v>
      </c>
      <c r="J154" s="678">
        <v>0</v>
      </c>
      <c r="K154" s="678">
        <v>0</v>
      </c>
      <c r="L154" s="678">
        <v>0</v>
      </c>
      <c r="M154" s="678">
        <v>0</v>
      </c>
      <c r="N154" s="678">
        <v>0</v>
      </c>
      <c r="O154" s="66">
        <f t="shared" si="140"/>
        <v>0</v>
      </c>
      <c r="P154" s="63"/>
      <c r="Q154" s="82"/>
      <c r="R154" s="960" t="str">
        <f>'[11]COSTOS DEL PLAN'!P119</f>
        <v>2021-2026</v>
      </c>
      <c r="S154" s="82"/>
      <c r="T154" s="63"/>
      <c r="U154" s="155" t="str">
        <f t="shared" si="141"/>
        <v/>
      </c>
      <c r="V154" s="155" t="str">
        <f t="shared" si="141"/>
        <v/>
      </c>
      <c r="W154" s="155" t="str">
        <f t="shared" si="141"/>
        <v/>
      </c>
      <c r="X154" s="651">
        <v>45657</v>
      </c>
      <c r="Y154" s="651">
        <v>46022</v>
      </c>
      <c r="Z154" s="651">
        <v>46387</v>
      </c>
      <c r="AA154" s="155" t="str">
        <f t="shared" si="141"/>
        <v/>
      </c>
      <c r="AB154" s="155" t="str">
        <f t="shared" si="141"/>
        <v/>
      </c>
      <c r="AC154" s="155" t="str">
        <f t="shared" si="141"/>
        <v/>
      </c>
      <c r="AD154" s="155" t="str">
        <f t="shared" si="141"/>
        <v/>
      </c>
      <c r="AE154" s="137">
        <f t="shared" si="113"/>
        <v>0</v>
      </c>
      <c r="AF154" s="137">
        <f t="shared" si="114"/>
        <v>0</v>
      </c>
      <c r="AG154" s="137">
        <f t="shared" si="115"/>
        <v>0</v>
      </c>
      <c r="AH154" s="137">
        <f t="shared" si="116"/>
        <v>0</v>
      </c>
      <c r="AI154" s="137">
        <f t="shared" si="117"/>
        <v>0</v>
      </c>
      <c r="AJ154" s="137">
        <f t="shared" si="118"/>
        <v>0</v>
      </c>
      <c r="AK154" s="137">
        <f t="shared" si="119"/>
        <v>0</v>
      </c>
      <c r="AL154" s="137">
        <f t="shared" si="120"/>
        <v>0</v>
      </c>
      <c r="AM154" s="137">
        <f t="shared" si="121"/>
        <v>0</v>
      </c>
      <c r="AN154" s="137">
        <f t="shared" si="122"/>
        <v>0</v>
      </c>
      <c r="AO154" s="1201">
        <f t="shared" si="142"/>
        <v>0</v>
      </c>
      <c r="AP154" s="1201">
        <f t="shared" si="143"/>
        <v>0</v>
      </c>
      <c r="AQ154" s="1201">
        <f t="shared" si="144"/>
        <v>0</v>
      </c>
      <c r="AR154" s="1201">
        <f t="shared" si="145"/>
        <v>0</v>
      </c>
      <c r="AS154" s="1201">
        <f t="shared" si="146"/>
        <v>0</v>
      </c>
      <c r="AT154" s="1201">
        <f t="shared" si="147"/>
        <v>0</v>
      </c>
      <c r="AU154" s="1201">
        <f t="shared" si="148"/>
        <v>0</v>
      </c>
      <c r="AV154" s="1201">
        <f t="shared" si="149"/>
        <v>0</v>
      </c>
      <c r="AW154" s="1201">
        <f t="shared" si="150"/>
        <v>0</v>
      </c>
      <c r="AX154" s="1201">
        <f t="shared" si="151"/>
        <v>0</v>
      </c>
    </row>
    <row r="155" spans="1:50" ht="15" outlineLevel="1" x14ac:dyDescent="0.25">
      <c r="A155" s="64">
        <v>5</v>
      </c>
      <c r="B155" s="81" t="str">
        <f>'[11]COSTOS DEL PLAN'!B120</f>
        <v>REEMPLAZO FLOTA VEHICULAR</v>
      </c>
      <c r="C155" s="2"/>
      <c r="D155" s="2"/>
      <c r="E155" s="2"/>
      <c r="F155" s="2"/>
      <c r="G155" s="678"/>
      <c r="H155" s="678">
        <v>0</v>
      </c>
      <c r="I155" s="678">
        <v>0</v>
      </c>
      <c r="J155" s="678">
        <v>0</v>
      </c>
      <c r="K155" s="678">
        <v>0</v>
      </c>
      <c r="L155" s="678">
        <v>0</v>
      </c>
      <c r="M155" s="678">
        <v>0</v>
      </c>
      <c r="N155" s="678">
        <v>0</v>
      </c>
      <c r="O155" s="66">
        <f t="shared" si="140"/>
        <v>0</v>
      </c>
      <c r="P155" s="63"/>
      <c r="Q155" s="82"/>
      <c r="R155" s="960" t="str">
        <f>'[11]COSTOS DEL PLAN'!P120</f>
        <v>2021-2024</v>
      </c>
      <c r="S155" s="82"/>
      <c r="T155" s="63"/>
      <c r="U155" s="155" t="str">
        <f t="shared" si="141"/>
        <v/>
      </c>
      <c r="V155" s="155" t="str">
        <f t="shared" si="141"/>
        <v/>
      </c>
      <c r="W155" s="155" t="str">
        <f t="shared" si="141"/>
        <v/>
      </c>
      <c r="X155" s="651">
        <v>45657</v>
      </c>
      <c r="Y155" s="155" t="str">
        <f t="shared" si="141"/>
        <v/>
      </c>
      <c r="Z155" s="155" t="str">
        <f t="shared" si="141"/>
        <v/>
      </c>
      <c r="AA155" s="155" t="str">
        <f t="shared" si="141"/>
        <v/>
      </c>
      <c r="AB155" s="155" t="str">
        <f t="shared" si="141"/>
        <v/>
      </c>
      <c r="AC155" s="155" t="str">
        <f t="shared" si="141"/>
        <v/>
      </c>
      <c r="AD155" s="155" t="str">
        <f t="shared" si="141"/>
        <v/>
      </c>
      <c r="AE155" s="137">
        <f t="shared" si="113"/>
        <v>0</v>
      </c>
      <c r="AF155" s="137">
        <f t="shared" si="114"/>
        <v>0</v>
      </c>
      <c r="AG155" s="137">
        <f t="shared" si="115"/>
        <v>0</v>
      </c>
      <c r="AH155" s="137">
        <f t="shared" si="116"/>
        <v>0</v>
      </c>
      <c r="AI155" s="137">
        <f t="shared" si="117"/>
        <v>0</v>
      </c>
      <c r="AJ155" s="137">
        <f t="shared" si="118"/>
        <v>0</v>
      </c>
      <c r="AK155" s="137">
        <f t="shared" si="119"/>
        <v>0</v>
      </c>
      <c r="AL155" s="137">
        <f t="shared" si="120"/>
        <v>0</v>
      </c>
      <c r="AM155" s="137">
        <f t="shared" si="121"/>
        <v>0</v>
      </c>
      <c r="AN155" s="137">
        <f t="shared" si="122"/>
        <v>0</v>
      </c>
      <c r="AO155" s="1201">
        <f t="shared" si="142"/>
        <v>0</v>
      </c>
      <c r="AP155" s="1201">
        <f t="shared" si="143"/>
        <v>0</v>
      </c>
      <c r="AQ155" s="1201">
        <f t="shared" si="144"/>
        <v>0</v>
      </c>
      <c r="AR155" s="1201">
        <f t="shared" si="145"/>
        <v>0</v>
      </c>
      <c r="AS155" s="1201">
        <f t="shared" si="146"/>
        <v>0</v>
      </c>
      <c r="AT155" s="1201">
        <f t="shared" si="147"/>
        <v>0</v>
      </c>
      <c r="AU155" s="1201">
        <f t="shared" si="148"/>
        <v>0</v>
      </c>
      <c r="AV155" s="1201">
        <f t="shared" si="149"/>
        <v>0</v>
      </c>
      <c r="AW155" s="1201">
        <f t="shared" si="150"/>
        <v>0</v>
      </c>
      <c r="AX155" s="1201">
        <f t="shared" si="151"/>
        <v>0</v>
      </c>
    </row>
    <row r="156" spans="1:50" ht="15" outlineLevel="1" x14ac:dyDescent="0.25">
      <c r="A156" s="64">
        <v>6</v>
      </c>
      <c r="B156" s="81" t="str">
        <f>'[11]COSTOS DEL PLAN'!B121</f>
        <v>AMPLIACIÓN EN ZONA 2, COCLÉ, LLANO SÁNCHEZ</v>
      </c>
      <c r="C156" s="2"/>
      <c r="D156" s="2"/>
      <c r="E156" s="2"/>
      <c r="F156" s="2"/>
      <c r="G156" s="2"/>
      <c r="H156" s="1226">
        <v>0</v>
      </c>
      <c r="I156" s="1226">
        <v>0</v>
      </c>
      <c r="J156" s="1226">
        <v>0</v>
      </c>
      <c r="K156" s="1226">
        <v>0</v>
      </c>
      <c r="L156" s="1226">
        <v>0</v>
      </c>
      <c r="M156" s="1226">
        <v>0</v>
      </c>
      <c r="N156" s="1226">
        <v>0</v>
      </c>
      <c r="O156" s="66">
        <f t="shared" si="140"/>
        <v>0</v>
      </c>
      <c r="P156" s="63"/>
      <c r="Q156" s="82">
        <f>'[11]COSTOS DEL PLAN'!P121</f>
        <v>45291</v>
      </c>
      <c r="S156" s="82"/>
      <c r="T156" s="63"/>
      <c r="U156" s="155" t="str">
        <f t="shared" si="141"/>
        <v/>
      </c>
      <c r="V156" s="155" t="str">
        <f t="shared" si="141"/>
        <v/>
      </c>
      <c r="W156" s="155">
        <f t="shared" si="141"/>
        <v>45291</v>
      </c>
      <c r="X156" s="155" t="str">
        <f t="shared" si="141"/>
        <v/>
      </c>
      <c r="Y156" s="155" t="str">
        <f t="shared" si="141"/>
        <v/>
      </c>
      <c r="Z156" s="155" t="str">
        <f t="shared" si="141"/>
        <v/>
      </c>
      <c r="AA156" s="155" t="str">
        <f t="shared" si="141"/>
        <v/>
      </c>
      <c r="AB156" s="155" t="str">
        <f t="shared" si="141"/>
        <v/>
      </c>
      <c r="AC156" s="155" t="str">
        <f t="shared" si="141"/>
        <v/>
      </c>
      <c r="AD156" s="155" t="str">
        <f t="shared" si="141"/>
        <v/>
      </c>
      <c r="AE156" s="137">
        <f t="shared" si="113"/>
        <v>0</v>
      </c>
      <c r="AF156" s="137">
        <f t="shared" si="114"/>
        <v>0</v>
      </c>
      <c r="AG156" s="137">
        <f t="shared" si="115"/>
        <v>0</v>
      </c>
      <c r="AH156" s="137">
        <f t="shared" si="116"/>
        <v>0</v>
      </c>
      <c r="AI156" s="137">
        <f t="shared" si="117"/>
        <v>0</v>
      </c>
      <c r="AJ156" s="137">
        <f t="shared" si="118"/>
        <v>0</v>
      </c>
      <c r="AK156" s="137">
        <f t="shared" si="119"/>
        <v>0</v>
      </c>
      <c r="AL156" s="137">
        <f t="shared" si="120"/>
        <v>0</v>
      </c>
      <c r="AM156" s="137">
        <f t="shared" si="121"/>
        <v>0</v>
      </c>
      <c r="AN156" s="137">
        <f t="shared" si="122"/>
        <v>0</v>
      </c>
      <c r="AO156" s="1201">
        <f t="shared" si="142"/>
        <v>0</v>
      </c>
      <c r="AP156" s="1201">
        <f t="shared" si="143"/>
        <v>0</v>
      </c>
      <c r="AQ156" s="1201">
        <f t="shared" si="144"/>
        <v>0</v>
      </c>
      <c r="AR156" s="1201">
        <f t="shared" si="145"/>
        <v>0</v>
      </c>
      <c r="AS156" s="1201">
        <f t="shared" si="146"/>
        <v>0</v>
      </c>
      <c r="AT156" s="1201">
        <f t="shared" si="147"/>
        <v>0</v>
      </c>
      <c r="AU156" s="1201">
        <f t="shared" si="148"/>
        <v>0</v>
      </c>
      <c r="AV156" s="1201">
        <f t="shared" si="149"/>
        <v>0</v>
      </c>
      <c r="AW156" s="1201">
        <f t="shared" si="150"/>
        <v>0</v>
      </c>
      <c r="AX156" s="1201">
        <f t="shared" si="151"/>
        <v>0</v>
      </c>
    </row>
    <row r="157" spans="1:50" ht="15" outlineLevel="1" x14ac:dyDescent="0.25">
      <c r="B157" s="81" t="str">
        <f>'[11]COSTOS DEL PLAN'!B122</f>
        <v>TERRENO NUEVA SEDE DE ETESA</v>
      </c>
      <c r="C157" s="2"/>
      <c r="D157" s="2"/>
      <c r="E157" s="2"/>
      <c r="F157" s="2"/>
      <c r="G157" s="2"/>
      <c r="H157" s="1226">
        <v>0</v>
      </c>
      <c r="I157" s="1226">
        <v>0</v>
      </c>
      <c r="J157" s="1226">
        <v>0</v>
      </c>
      <c r="K157" s="1226">
        <v>0</v>
      </c>
      <c r="L157" s="1226">
        <v>0</v>
      </c>
      <c r="M157" s="1226">
        <v>0</v>
      </c>
      <c r="N157" s="1226">
        <v>0</v>
      </c>
      <c r="O157" s="66">
        <f t="shared" si="140"/>
        <v>0</v>
      </c>
      <c r="P157" s="63"/>
      <c r="Q157" s="82">
        <f>'[11]COSTOS DEL PLAN'!P122</f>
        <v>45291</v>
      </c>
      <c r="S157" s="82"/>
      <c r="T157" s="63"/>
      <c r="U157" s="155" t="str">
        <f t="shared" si="141"/>
        <v/>
      </c>
      <c r="V157" s="155" t="str">
        <f t="shared" si="141"/>
        <v/>
      </c>
      <c r="W157" s="155">
        <f t="shared" si="141"/>
        <v>45291</v>
      </c>
      <c r="X157" s="155" t="str">
        <f t="shared" si="141"/>
        <v/>
      </c>
      <c r="Y157" s="155" t="str">
        <f t="shared" si="141"/>
        <v/>
      </c>
      <c r="Z157" s="155" t="str">
        <f t="shared" si="141"/>
        <v/>
      </c>
      <c r="AA157" s="155" t="str">
        <f t="shared" si="141"/>
        <v/>
      </c>
      <c r="AB157" s="155" t="str">
        <f t="shared" si="141"/>
        <v/>
      </c>
      <c r="AC157" s="155" t="str">
        <f t="shared" si="141"/>
        <v/>
      </c>
      <c r="AD157" s="155" t="str">
        <f t="shared" si="141"/>
        <v/>
      </c>
      <c r="AE157" s="137">
        <f t="shared" si="113"/>
        <v>0</v>
      </c>
      <c r="AF157" s="137">
        <f t="shared" si="114"/>
        <v>0</v>
      </c>
      <c r="AG157" s="137">
        <f t="shared" si="115"/>
        <v>0</v>
      </c>
      <c r="AH157" s="137">
        <f t="shared" si="116"/>
        <v>0</v>
      </c>
      <c r="AI157" s="137">
        <f t="shared" si="117"/>
        <v>0</v>
      </c>
      <c r="AJ157" s="137">
        <f t="shared" si="118"/>
        <v>0</v>
      </c>
      <c r="AK157" s="137">
        <f t="shared" si="119"/>
        <v>0</v>
      </c>
      <c r="AL157" s="137">
        <f t="shared" si="120"/>
        <v>0</v>
      </c>
      <c r="AM157" s="137">
        <f t="shared" si="121"/>
        <v>0</v>
      </c>
      <c r="AN157" s="137">
        <f t="shared" si="122"/>
        <v>0</v>
      </c>
      <c r="AO157" s="1201">
        <f t="shared" si="142"/>
        <v>0</v>
      </c>
      <c r="AP157" s="1201">
        <f t="shared" si="143"/>
        <v>0</v>
      </c>
      <c r="AQ157" s="1201">
        <f t="shared" si="144"/>
        <v>0</v>
      </c>
      <c r="AR157" s="1201">
        <f t="shared" si="145"/>
        <v>0</v>
      </c>
      <c r="AS157" s="1201">
        <f t="shared" si="146"/>
        <v>0</v>
      </c>
      <c r="AT157" s="1201">
        <f t="shared" si="147"/>
        <v>0</v>
      </c>
      <c r="AU157" s="1201">
        <f t="shared" si="148"/>
        <v>0</v>
      </c>
      <c r="AV157" s="1201">
        <f t="shared" si="149"/>
        <v>0</v>
      </c>
      <c r="AW157" s="1201">
        <f t="shared" si="150"/>
        <v>0</v>
      </c>
      <c r="AX157" s="1201">
        <f t="shared" si="151"/>
        <v>0</v>
      </c>
    </row>
    <row r="158" spans="1:50" ht="15" outlineLevel="1" x14ac:dyDescent="0.25">
      <c r="B158" s="81" t="str">
        <f>'[11]COSTOS DEL PLAN'!B123</f>
        <v>GALERAS PARA EL ALMACENAMIENTO TEMPORAL DE LOS DESECHOS PELIGROSOS</v>
      </c>
      <c r="C158" s="2"/>
      <c r="D158" s="2"/>
      <c r="E158" s="2"/>
      <c r="F158" s="2"/>
      <c r="G158" s="2"/>
      <c r="H158" s="678">
        <v>0</v>
      </c>
      <c r="I158" s="678">
        <v>0</v>
      </c>
      <c r="J158" s="678">
        <v>0</v>
      </c>
      <c r="K158" s="678">
        <v>0</v>
      </c>
      <c r="L158" s="678">
        <v>0</v>
      </c>
      <c r="M158" s="678">
        <v>0</v>
      </c>
      <c r="N158" s="678">
        <v>0</v>
      </c>
      <c r="O158" s="66">
        <f t="shared" si="140"/>
        <v>0</v>
      </c>
      <c r="P158" s="63"/>
      <c r="Q158" s="82"/>
      <c r="R158" s="960" t="str">
        <f>'[11]COSTOS DEL PLAN'!P123</f>
        <v>2024-2027</v>
      </c>
      <c r="S158" s="82"/>
      <c r="T158" s="63"/>
      <c r="U158" s="155" t="str">
        <f t="shared" si="141"/>
        <v/>
      </c>
      <c r="V158" s="155" t="str">
        <f t="shared" si="141"/>
        <v/>
      </c>
      <c r="W158" s="155" t="str">
        <f t="shared" si="141"/>
        <v/>
      </c>
      <c r="X158" s="651">
        <v>45657</v>
      </c>
      <c r="Y158" s="651">
        <v>46022</v>
      </c>
      <c r="Z158" s="651">
        <v>46387</v>
      </c>
      <c r="AA158" s="651">
        <v>46752</v>
      </c>
      <c r="AB158" s="155" t="str">
        <f t="shared" si="141"/>
        <v/>
      </c>
      <c r="AC158" s="155" t="str">
        <f t="shared" si="141"/>
        <v/>
      </c>
      <c r="AD158" s="155" t="str">
        <f t="shared" si="141"/>
        <v/>
      </c>
      <c r="AE158" s="137">
        <f t="shared" si="113"/>
        <v>0</v>
      </c>
      <c r="AF158" s="137">
        <f t="shared" si="114"/>
        <v>0</v>
      </c>
      <c r="AG158" s="137">
        <f t="shared" si="115"/>
        <v>0</v>
      </c>
      <c r="AH158" s="137">
        <f t="shared" si="116"/>
        <v>0</v>
      </c>
      <c r="AI158" s="137">
        <f t="shared" si="117"/>
        <v>0</v>
      </c>
      <c r="AJ158" s="137">
        <f t="shared" si="118"/>
        <v>0</v>
      </c>
      <c r="AK158" s="137">
        <f t="shared" si="119"/>
        <v>0</v>
      </c>
      <c r="AL158" s="137">
        <f t="shared" si="120"/>
        <v>0</v>
      </c>
      <c r="AM158" s="137">
        <f t="shared" si="121"/>
        <v>0</v>
      </c>
      <c r="AN158" s="137">
        <f t="shared" si="122"/>
        <v>0</v>
      </c>
      <c r="AO158" s="1201">
        <f t="shared" si="142"/>
        <v>0</v>
      </c>
      <c r="AP158" s="1201">
        <f t="shared" si="143"/>
        <v>0</v>
      </c>
      <c r="AQ158" s="1201">
        <f t="shared" si="144"/>
        <v>0</v>
      </c>
      <c r="AR158" s="1201">
        <f t="shared" si="145"/>
        <v>0</v>
      </c>
      <c r="AS158" s="1201">
        <f t="shared" si="146"/>
        <v>0</v>
      </c>
      <c r="AT158" s="1201">
        <f t="shared" si="147"/>
        <v>0</v>
      </c>
      <c r="AU158" s="1201">
        <f t="shared" si="148"/>
        <v>0</v>
      </c>
      <c r="AV158" s="1201">
        <f t="shared" si="149"/>
        <v>0</v>
      </c>
      <c r="AW158" s="1201">
        <f t="shared" si="150"/>
        <v>0</v>
      </c>
      <c r="AX158" s="1201">
        <f t="shared" si="151"/>
        <v>0</v>
      </c>
    </row>
    <row r="159" spans="1:50" ht="15" outlineLevel="1" x14ac:dyDescent="0.25">
      <c r="A159" s="64">
        <v>7</v>
      </c>
      <c r="B159" s="81" t="str">
        <f>'[11]COSTOS DEL PLAN'!B124</f>
        <v xml:space="preserve">TALLER DE S/E VELADERO Y PANAMA II </v>
      </c>
      <c r="C159" s="2"/>
      <c r="D159" s="2"/>
      <c r="E159" s="2"/>
      <c r="F159" s="2"/>
      <c r="G159" s="2"/>
      <c r="H159" s="678">
        <v>0</v>
      </c>
      <c r="I159" s="678">
        <v>0</v>
      </c>
      <c r="J159" s="678">
        <v>0</v>
      </c>
      <c r="K159" s="678">
        <v>0</v>
      </c>
      <c r="L159" s="678">
        <v>0</v>
      </c>
      <c r="M159" s="678">
        <v>0</v>
      </c>
      <c r="N159" s="678">
        <v>0</v>
      </c>
      <c r="O159" s="66">
        <f t="shared" si="140"/>
        <v>0</v>
      </c>
      <c r="P159" s="63"/>
      <c r="Q159" s="82"/>
      <c r="R159" s="960" t="str">
        <f>'[11]COSTOS DEL PLAN'!P124</f>
        <v>2022-2023</v>
      </c>
      <c r="S159" s="82"/>
      <c r="T159" s="63"/>
      <c r="U159" s="155" t="str">
        <f t="shared" si="141"/>
        <v/>
      </c>
      <c r="V159" s="155" t="str">
        <f t="shared" si="141"/>
        <v/>
      </c>
      <c r="W159" s="155" t="str">
        <f t="shared" si="141"/>
        <v/>
      </c>
      <c r="X159" s="155" t="str">
        <f t="shared" si="141"/>
        <v/>
      </c>
      <c r="Y159" s="155" t="str">
        <f t="shared" si="141"/>
        <v/>
      </c>
      <c r="Z159" s="155" t="str">
        <f t="shared" si="141"/>
        <v/>
      </c>
      <c r="AA159" s="155" t="str">
        <f t="shared" si="141"/>
        <v/>
      </c>
      <c r="AB159" s="155" t="str">
        <f t="shared" si="141"/>
        <v/>
      </c>
      <c r="AC159" s="155" t="str">
        <f t="shared" si="141"/>
        <v/>
      </c>
      <c r="AD159" s="155" t="str">
        <f t="shared" si="141"/>
        <v/>
      </c>
      <c r="AE159" s="137">
        <f t="shared" si="113"/>
        <v>0</v>
      </c>
      <c r="AF159" s="137">
        <f t="shared" si="114"/>
        <v>0</v>
      </c>
      <c r="AG159" s="137">
        <f t="shared" si="115"/>
        <v>0</v>
      </c>
      <c r="AH159" s="137">
        <f t="shared" si="116"/>
        <v>0</v>
      </c>
      <c r="AI159" s="137">
        <f t="shared" si="117"/>
        <v>0</v>
      </c>
      <c r="AJ159" s="137">
        <f t="shared" si="118"/>
        <v>0</v>
      </c>
      <c r="AK159" s="137">
        <f t="shared" si="119"/>
        <v>0</v>
      </c>
      <c r="AL159" s="137">
        <f t="shared" si="120"/>
        <v>0</v>
      </c>
      <c r="AM159" s="137">
        <f t="shared" si="121"/>
        <v>0</v>
      </c>
      <c r="AN159" s="137">
        <f t="shared" si="122"/>
        <v>0</v>
      </c>
      <c r="AO159" s="1201">
        <f t="shared" si="142"/>
        <v>0</v>
      </c>
      <c r="AP159" s="1201">
        <f t="shared" si="143"/>
        <v>0</v>
      </c>
      <c r="AQ159" s="1201">
        <f t="shared" si="144"/>
        <v>0</v>
      </c>
      <c r="AR159" s="1201">
        <f t="shared" si="145"/>
        <v>0</v>
      </c>
      <c r="AS159" s="1201">
        <f t="shared" si="146"/>
        <v>0</v>
      </c>
      <c r="AT159" s="1201">
        <f t="shared" si="147"/>
        <v>0</v>
      </c>
      <c r="AU159" s="1201">
        <f t="shared" si="148"/>
        <v>0</v>
      </c>
      <c r="AV159" s="1201">
        <f t="shared" si="149"/>
        <v>0</v>
      </c>
      <c r="AW159" s="1201">
        <f t="shared" si="150"/>
        <v>0</v>
      </c>
      <c r="AX159" s="1201">
        <f t="shared" si="151"/>
        <v>0</v>
      </c>
    </row>
    <row r="160" spans="1:50" ht="15" outlineLevel="1" x14ac:dyDescent="0.25">
      <c r="B160" s="81" t="str">
        <f>'[11]COSTOS DEL PLAN'!B125</f>
        <v>NUEVA SEDE DE LA EMPRESA DE TRANSMISIÓN ELÉCTRICA, S.A.</v>
      </c>
      <c r="C160" s="2"/>
      <c r="D160" s="2"/>
      <c r="E160" s="2"/>
      <c r="F160" s="2"/>
      <c r="G160" s="2"/>
      <c r="H160" s="678">
        <v>0</v>
      </c>
      <c r="I160" s="678">
        <v>0</v>
      </c>
      <c r="J160" s="678">
        <v>0</v>
      </c>
      <c r="K160" s="678">
        <v>0</v>
      </c>
      <c r="L160" s="678">
        <v>0</v>
      </c>
      <c r="M160" s="678">
        <v>0</v>
      </c>
      <c r="N160" s="678">
        <v>0</v>
      </c>
      <c r="O160" s="66">
        <f t="shared" si="140"/>
        <v>0</v>
      </c>
      <c r="P160" s="63"/>
      <c r="Q160" s="82"/>
      <c r="R160" s="960" t="str">
        <f>'[11]COSTOS DEL PLAN'!P125</f>
        <v>2024-2027</v>
      </c>
      <c r="S160" s="82"/>
      <c r="T160" s="63"/>
      <c r="U160" s="155" t="str">
        <f t="shared" si="141"/>
        <v/>
      </c>
      <c r="V160" s="155" t="str">
        <f t="shared" si="141"/>
        <v/>
      </c>
      <c r="W160" s="155" t="str">
        <f t="shared" si="141"/>
        <v/>
      </c>
      <c r="X160" s="651">
        <v>45657</v>
      </c>
      <c r="Y160" s="651">
        <v>46022</v>
      </c>
      <c r="Z160" s="651">
        <v>46387</v>
      </c>
      <c r="AA160" s="651">
        <v>46752</v>
      </c>
      <c r="AB160" s="155" t="str">
        <f t="shared" si="141"/>
        <v/>
      </c>
      <c r="AC160" s="155" t="str">
        <f t="shared" si="141"/>
        <v/>
      </c>
      <c r="AD160" s="155" t="str">
        <f t="shared" si="141"/>
        <v/>
      </c>
      <c r="AE160" s="137">
        <f t="shared" si="113"/>
        <v>0</v>
      </c>
      <c r="AF160" s="137">
        <f t="shared" si="114"/>
        <v>0</v>
      </c>
      <c r="AG160" s="137">
        <f t="shared" si="115"/>
        <v>0</v>
      </c>
      <c r="AH160" s="137">
        <f t="shared" si="116"/>
        <v>0</v>
      </c>
      <c r="AI160" s="137">
        <f t="shared" si="117"/>
        <v>0</v>
      </c>
      <c r="AJ160" s="137">
        <f t="shared" si="118"/>
        <v>0</v>
      </c>
      <c r="AK160" s="137">
        <f t="shared" si="119"/>
        <v>0</v>
      </c>
      <c r="AL160" s="137">
        <f t="shared" si="120"/>
        <v>0</v>
      </c>
      <c r="AM160" s="137">
        <f t="shared" si="121"/>
        <v>0</v>
      </c>
      <c r="AN160" s="137">
        <f t="shared" si="122"/>
        <v>0</v>
      </c>
      <c r="AO160" s="1201">
        <f t="shared" si="142"/>
        <v>0</v>
      </c>
      <c r="AP160" s="1201">
        <f t="shared" si="143"/>
        <v>0</v>
      </c>
      <c r="AQ160" s="1201">
        <f t="shared" si="144"/>
        <v>0</v>
      </c>
      <c r="AR160" s="1201">
        <f t="shared" si="145"/>
        <v>0</v>
      </c>
      <c r="AS160" s="1201">
        <f t="shared" si="146"/>
        <v>0</v>
      </c>
      <c r="AT160" s="1201">
        <f t="shared" si="147"/>
        <v>0</v>
      </c>
      <c r="AU160" s="1201">
        <f t="shared" si="148"/>
        <v>0</v>
      </c>
      <c r="AV160" s="1201">
        <f t="shared" si="149"/>
        <v>0</v>
      </c>
      <c r="AW160" s="1201">
        <f t="shared" si="150"/>
        <v>0</v>
      </c>
      <c r="AX160" s="1201">
        <f t="shared" si="151"/>
        <v>0</v>
      </c>
    </row>
    <row r="161" spans="1:40" outlineLevel="1" x14ac:dyDescent="0.2">
      <c r="B161" s="81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82"/>
      <c r="S161" s="82"/>
      <c r="T161" s="63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58"/>
      <c r="AE161" s="137">
        <f t="shared" si="113"/>
        <v>0</v>
      </c>
      <c r="AF161" s="137">
        <f t="shared" si="114"/>
        <v>0</v>
      </c>
      <c r="AG161" s="137">
        <f t="shared" si="115"/>
        <v>0</v>
      </c>
      <c r="AH161" s="137">
        <f t="shared" si="116"/>
        <v>0</v>
      </c>
      <c r="AI161" s="137">
        <f t="shared" si="117"/>
        <v>0</v>
      </c>
      <c r="AJ161" s="137">
        <f t="shared" si="118"/>
        <v>0</v>
      </c>
      <c r="AK161" s="137">
        <f t="shared" si="119"/>
        <v>0</v>
      </c>
      <c r="AL161" s="137">
        <f t="shared" si="120"/>
        <v>0</v>
      </c>
      <c r="AM161" s="137">
        <f t="shared" si="121"/>
        <v>0</v>
      </c>
      <c r="AN161" s="137">
        <f t="shared" si="122"/>
        <v>0</v>
      </c>
    </row>
    <row r="162" spans="1:40" s="493" customFormat="1" ht="15" hidden="1" x14ac:dyDescent="0.25">
      <c r="A162" s="494">
        <f>+A161+1</f>
        <v>1</v>
      </c>
      <c r="B162" s="490" t="s">
        <v>492</v>
      </c>
      <c r="C162" s="497"/>
      <c r="D162" s="497"/>
      <c r="E162" s="497"/>
      <c r="F162" s="497"/>
      <c r="G162" s="497"/>
      <c r="H162" s="497">
        <f t="shared" ref="H162:N162" si="152">+SUM(H163:H165)</f>
        <v>0</v>
      </c>
      <c r="I162" s="497">
        <f t="shared" si="152"/>
        <v>0</v>
      </c>
      <c r="J162" s="497">
        <f t="shared" si="152"/>
        <v>0</v>
      </c>
      <c r="K162" s="497">
        <f t="shared" si="152"/>
        <v>0</v>
      </c>
      <c r="L162" s="497">
        <f t="shared" si="152"/>
        <v>0</v>
      </c>
      <c r="M162" s="497">
        <f t="shared" si="152"/>
        <v>0</v>
      </c>
      <c r="N162" s="497">
        <f t="shared" si="152"/>
        <v>0</v>
      </c>
      <c r="O162" s="497">
        <f>+SUM(O163:O165)</f>
        <v>0</v>
      </c>
      <c r="P162" s="498"/>
      <c r="Q162" s="499"/>
      <c r="S162" s="499"/>
      <c r="T162" s="498"/>
      <c r="AE162" s="137">
        <f t="shared" si="113"/>
        <v>0</v>
      </c>
      <c r="AF162" s="137">
        <f t="shared" si="114"/>
        <v>0</v>
      </c>
      <c r="AG162" s="137">
        <f t="shared" si="115"/>
        <v>0</v>
      </c>
      <c r="AH162" s="137">
        <f t="shared" si="116"/>
        <v>0</v>
      </c>
      <c r="AI162" s="137">
        <f t="shared" si="117"/>
        <v>0</v>
      </c>
      <c r="AJ162" s="137">
        <f t="shared" si="118"/>
        <v>0</v>
      </c>
      <c r="AK162" s="137">
        <f t="shared" si="119"/>
        <v>0</v>
      </c>
      <c r="AL162" s="137">
        <f t="shared" si="120"/>
        <v>0</v>
      </c>
      <c r="AM162" s="137">
        <f t="shared" si="121"/>
        <v>0</v>
      </c>
      <c r="AN162" s="137">
        <f t="shared" si="122"/>
        <v>0</v>
      </c>
    </row>
    <row r="163" spans="1:40" ht="15" hidden="1" x14ac:dyDescent="0.25">
      <c r="A163" s="64">
        <v>1</v>
      </c>
      <c r="B163" s="729"/>
      <c r="C163" s="144"/>
      <c r="D163" s="144"/>
      <c r="E163" s="144"/>
      <c r="F163" s="144"/>
      <c r="G163" s="144"/>
      <c r="H163" s="731"/>
      <c r="I163" s="144"/>
      <c r="J163" s="144"/>
      <c r="K163" s="144"/>
      <c r="L163" s="144"/>
      <c r="M163" s="322"/>
      <c r="N163" s="144"/>
      <c r="O163" s="66">
        <f>SUM(C163:N163)</f>
        <v>0</v>
      </c>
      <c r="P163" s="63"/>
      <c r="Q163" s="82"/>
      <c r="R163" s="64"/>
      <c r="S163" s="82"/>
      <c r="T163" s="63"/>
      <c r="U163" s="158"/>
      <c r="V163" s="158"/>
      <c r="W163" s="155"/>
      <c r="X163" s="155"/>
      <c r="Y163" s="158"/>
      <c r="Z163" s="158"/>
      <c r="AA163" s="82"/>
      <c r="AB163" s="82"/>
      <c r="AC163" s="155"/>
      <c r="AD163" s="158"/>
      <c r="AE163" s="137">
        <f t="shared" si="113"/>
        <v>0</v>
      </c>
      <c r="AF163" s="137">
        <f t="shared" si="114"/>
        <v>0</v>
      </c>
      <c r="AG163" s="137">
        <f t="shared" si="115"/>
        <v>0</v>
      </c>
      <c r="AH163" s="137">
        <f t="shared" si="116"/>
        <v>0</v>
      </c>
      <c r="AI163" s="137">
        <f t="shared" si="117"/>
        <v>0</v>
      </c>
      <c r="AJ163" s="137">
        <f t="shared" si="118"/>
        <v>0</v>
      </c>
      <c r="AK163" s="137">
        <f t="shared" si="119"/>
        <v>0</v>
      </c>
      <c r="AL163" s="137">
        <f t="shared" si="120"/>
        <v>0</v>
      </c>
      <c r="AM163" s="137">
        <f t="shared" si="121"/>
        <v>0</v>
      </c>
      <c r="AN163" s="137">
        <f t="shared" si="122"/>
        <v>0</v>
      </c>
    </row>
    <row r="164" spans="1:40" hidden="1" x14ac:dyDescent="0.2">
      <c r="A164" s="64">
        <v>2</v>
      </c>
      <c r="B164" s="729"/>
      <c r="C164" s="144"/>
      <c r="D164" s="144"/>
      <c r="E164" s="144"/>
      <c r="F164" s="144"/>
      <c r="G164" s="731"/>
      <c r="H164" s="322"/>
      <c r="I164" s="144"/>
      <c r="J164" s="144"/>
      <c r="K164" s="144"/>
      <c r="L164" s="144"/>
      <c r="M164" s="144"/>
      <c r="N164" s="144"/>
      <c r="O164" s="63">
        <f t="shared" si="139"/>
        <v>0</v>
      </c>
      <c r="S164" s="82"/>
      <c r="U164" s="158"/>
      <c r="V164" s="158"/>
      <c r="W164" s="155"/>
      <c r="X164" s="155"/>
      <c r="Y164" s="158"/>
      <c r="Z164" s="158"/>
      <c r="AA164" s="82"/>
      <c r="AB164" s="158"/>
      <c r="AC164" s="158"/>
      <c r="AD164" s="158"/>
      <c r="AE164" s="137">
        <f t="shared" si="113"/>
        <v>0</v>
      </c>
      <c r="AF164" s="137">
        <f t="shared" si="114"/>
        <v>0</v>
      </c>
      <c r="AG164" s="137">
        <f t="shared" si="115"/>
        <v>0</v>
      </c>
      <c r="AH164" s="137">
        <f t="shared" si="116"/>
        <v>0</v>
      </c>
      <c r="AI164" s="137">
        <f t="shared" si="117"/>
        <v>0</v>
      </c>
      <c r="AJ164" s="137">
        <f t="shared" si="118"/>
        <v>0</v>
      </c>
      <c r="AK164" s="137">
        <f t="shared" si="119"/>
        <v>0</v>
      </c>
      <c r="AL164" s="137">
        <f t="shared" si="120"/>
        <v>0</v>
      </c>
      <c r="AM164" s="137">
        <f t="shared" si="121"/>
        <v>0</v>
      </c>
      <c r="AN164" s="137">
        <f t="shared" si="122"/>
        <v>0</v>
      </c>
    </row>
    <row r="165" spans="1:40" hidden="1" x14ac:dyDescent="0.2">
      <c r="A165" s="64">
        <v>3</v>
      </c>
      <c r="B165" s="732"/>
      <c r="E165" s="732"/>
      <c r="S165" s="82"/>
      <c r="Y165" s="82"/>
      <c r="AB165" s="82"/>
      <c r="AE165" s="137">
        <f t="shared" si="113"/>
        <v>0</v>
      </c>
      <c r="AF165" s="137">
        <f t="shared" si="114"/>
        <v>0</v>
      </c>
      <c r="AG165" s="137">
        <f t="shared" si="115"/>
        <v>0</v>
      </c>
      <c r="AH165" s="137">
        <f t="shared" si="116"/>
        <v>0</v>
      </c>
      <c r="AI165" s="137">
        <f t="shared" si="117"/>
        <v>0</v>
      </c>
      <c r="AJ165" s="137">
        <f t="shared" si="118"/>
        <v>0</v>
      </c>
      <c r="AK165" s="137">
        <f t="shared" si="119"/>
        <v>0</v>
      </c>
      <c r="AL165" s="137">
        <f t="shared" si="120"/>
        <v>0</v>
      </c>
      <c r="AM165" s="137">
        <f t="shared" si="121"/>
        <v>0</v>
      </c>
      <c r="AN165" s="137">
        <f t="shared" si="122"/>
        <v>0</v>
      </c>
    </row>
    <row r="166" spans="1:40" hidden="1" x14ac:dyDescent="0.2"/>
    <row r="167" spans="1:40" ht="15" thickBot="1" x14ac:dyDescent="0.25"/>
    <row r="168" spans="1:40" ht="15.75" thickBot="1" x14ac:dyDescent="0.3">
      <c r="B168" s="515" t="s">
        <v>494</v>
      </c>
      <c r="C168" s="516"/>
      <c r="D168" s="516"/>
      <c r="E168" s="517"/>
      <c r="F168" s="517"/>
      <c r="G168" s="517"/>
      <c r="H168" s="517">
        <f t="shared" ref="H168:N168" si="153">SUMPRODUCT(H12:H164,AH12:AH164)</f>
        <v>10130.557935140823</v>
      </c>
      <c r="I168" s="517">
        <f t="shared" si="153"/>
        <v>112504.07087047232</v>
      </c>
      <c r="J168" s="517">
        <f t="shared" si="153"/>
        <v>28020.970458664389</v>
      </c>
      <c r="K168" s="517">
        <f t="shared" si="153"/>
        <v>0</v>
      </c>
      <c r="L168" s="517">
        <f t="shared" si="153"/>
        <v>0</v>
      </c>
      <c r="M168" s="517">
        <f t="shared" si="153"/>
        <v>0</v>
      </c>
      <c r="N168" s="517">
        <f t="shared" si="153"/>
        <v>0</v>
      </c>
    </row>
    <row r="169" spans="1:40" ht="15" x14ac:dyDescent="0.25">
      <c r="B169" s="281" t="s">
        <v>495</v>
      </c>
      <c r="C169" s="67"/>
      <c r="D169" s="67"/>
      <c r="E169" s="961"/>
      <c r="F169" s="961"/>
      <c r="G169" s="961"/>
      <c r="H169" s="63"/>
      <c r="I169" s="63"/>
      <c r="J169" s="63"/>
      <c r="K169" s="63"/>
      <c r="L169" s="63"/>
      <c r="M169" s="961"/>
      <c r="N169" s="961"/>
      <c r="O169" s="63">
        <f>+SUM(E169:N169)</f>
        <v>0</v>
      </c>
    </row>
    <row r="170" spans="1:40" x14ac:dyDescent="0.2">
      <c r="B170" s="281" t="s">
        <v>496</v>
      </c>
      <c r="E170" s="63"/>
      <c r="F170" s="63"/>
      <c r="G170" s="63"/>
      <c r="H170" s="63">
        <f>SUMPRODUCT(H12:H57,AH12:AH57)+SUMPRODUCT(H81:H134,AH81:AH134)</f>
        <v>10130.557935140823</v>
      </c>
      <c r="I170" s="63">
        <f t="shared" ref="I170:N170" si="154">SUMPRODUCT(I12:I57,AI12:AI57)+SUMPRODUCT(I81:I134,AI81:AI134)</f>
        <v>107150.82056975999</v>
      </c>
      <c r="J170" s="63">
        <f t="shared" si="154"/>
        <v>28020.970458664389</v>
      </c>
      <c r="K170" s="63">
        <f t="shared" si="154"/>
        <v>0</v>
      </c>
      <c r="L170" s="63">
        <f t="shared" si="154"/>
        <v>0</v>
      </c>
      <c r="M170" s="63">
        <f t="shared" si="154"/>
        <v>0</v>
      </c>
      <c r="N170" s="63">
        <f t="shared" si="154"/>
        <v>0</v>
      </c>
      <c r="O170" s="63">
        <f t="shared" ref="O170:O174" si="155">+SUM(E170:N170)</f>
        <v>145302.34896356519</v>
      </c>
    </row>
    <row r="171" spans="1:40" x14ac:dyDescent="0.2">
      <c r="B171" s="281" t="s">
        <v>497</v>
      </c>
      <c r="E171" s="63"/>
      <c r="F171" s="63"/>
      <c r="G171" s="63"/>
      <c r="H171" s="63">
        <f t="shared" ref="H171:N171" si="156">SUMPRODUCT(H65:H76,AH65:AH76)</f>
        <v>0</v>
      </c>
      <c r="I171" s="63">
        <f>SUMPRODUCT(I65:I76,AI65:AI76)</f>
        <v>0</v>
      </c>
      <c r="J171" s="63">
        <f t="shared" si="156"/>
        <v>0</v>
      </c>
      <c r="K171" s="63">
        <f t="shared" si="156"/>
        <v>0</v>
      </c>
      <c r="L171" s="63">
        <f t="shared" si="156"/>
        <v>0</v>
      </c>
      <c r="M171" s="63">
        <f t="shared" si="156"/>
        <v>0</v>
      </c>
      <c r="N171" s="63">
        <f t="shared" si="156"/>
        <v>0</v>
      </c>
      <c r="O171" s="63">
        <f t="shared" si="155"/>
        <v>0</v>
      </c>
    </row>
    <row r="172" spans="1:40" x14ac:dyDescent="0.2">
      <c r="B172" s="281" t="s">
        <v>498</v>
      </c>
      <c r="E172" s="63"/>
      <c r="F172" s="63"/>
      <c r="G172" s="63"/>
      <c r="H172" s="63">
        <f t="shared" ref="H172:N172" si="157">+SUMPRODUCT(H163:H165,AL163:AL165)</f>
        <v>0</v>
      </c>
      <c r="I172" s="63">
        <f t="shared" si="157"/>
        <v>0</v>
      </c>
      <c r="J172" s="63">
        <f t="shared" si="157"/>
        <v>0</v>
      </c>
      <c r="K172" s="63">
        <f t="shared" si="157"/>
        <v>0</v>
      </c>
      <c r="L172" s="63">
        <f t="shared" si="157"/>
        <v>0</v>
      </c>
      <c r="M172" s="63">
        <f t="shared" si="157"/>
        <v>0</v>
      </c>
      <c r="N172" s="63">
        <f t="shared" si="157"/>
        <v>0</v>
      </c>
      <c r="O172" s="63">
        <f t="shared" si="155"/>
        <v>0</v>
      </c>
    </row>
    <row r="173" spans="1:40" x14ac:dyDescent="0.2">
      <c r="B173" s="281" t="s">
        <v>228</v>
      </c>
      <c r="E173" s="63"/>
      <c r="F173" s="63"/>
      <c r="G173" s="63"/>
      <c r="H173" s="63">
        <f t="shared" ref="H173:N173" si="158">SUMPRODUCT(H152:H161,AH152:AH161)</f>
        <v>0</v>
      </c>
      <c r="I173" s="63">
        <f t="shared" si="158"/>
        <v>0</v>
      </c>
      <c r="J173" s="63">
        <f t="shared" si="158"/>
        <v>0</v>
      </c>
      <c r="K173" s="63">
        <f t="shared" si="158"/>
        <v>0</v>
      </c>
      <c r="L173" s="63">
        <f t="shared" si="158"/>
        <v>0</v>
      </c>
      <c r="M173" s="63">
        <f t="shared" si="158"/>
        <v>0</v>
      </c>
      <c r="N173" s="63">
        <f t="shared" si="158"/>
        <v>0</v>
      </c>
      <c r="O173" s="63">
        <f t="shared" si="155"/>
        <v>0</v>
      </c>
    </row>
    <row r="174" spans="1:40" x14ac:dyDescent="0.2">
      <c r="B174" s="282" t="s">
        <v>52</v>
      </c>
      <c r="C174" s="138"/>
      <c r="D174" s="138"/>
      <c r="E174" s="139"/>
      <c r="F174" s="139"/>
      <c r="G174" s="139"/>
      <c r="H174" s="139">
        <f t="shared" ref="H174:N174" si="159">SUMPRODUCT(H137:H150,AH137:AH150)</f>
        <v>0</v>
      </c>
      <c r="I174" s="139">
        <f t="shared" si="159"/>
        <v>5353.2503007123287</v>
      </c>
      <c r="J174" s="139">
        <f t="shared" si="159"/>
        <v>0</v>
      </c>
      <c r="K174" s="139">
        <f t="shared" si="159"/>
        <v>0</v>
      </c>
      <c r="L174" s="139">
        <f t="shared" si="159"/>
        <v>0</v>
      </c>
      <c r="M174" s="139">
        <f t="shared" si="159"/>
        <v>0</v>
      </c>
      <c r="N174" s="139">
        <f t="shared" si="159"/>
        <v>0</v>
      </c>
      <c r="O174" s="63">
        <f t="shared" si="155"/>
        <v>5353.2503007123287</v>
      </c>
    </row>
    <row r="175" spans="1:40" ht="15" x14ac:dyDescent="0.25">
      <c r="B175" s="518" t="s">
        <v>499</v>
      </c>
      <c r="C175" s="519"/>
      <c r="D175" s="519"/>
      <c r="E175" s="520">
        <f>E168-SUM(E169:E174)</f>
        <v>0</v>
      </c>
      <c r="F175" s="520">
        <f t="shared" ref="F175:N175" si="160">F168-SUM(F169:F174)</f>
        <v>0</v>
      </c>
      <c r="G175" s="520">
        <f t="shared" si="160"/>
        <v>0</v>
      </c>
      <c r="H175" s="520">
        <f>H168-SUM(H169:H174)</f>
        <v>0</v>
      </c>
      <c r="I175" s="520">
        <f t="shared" si="160"/>
        <v>0</v>
      </c>
      <c r="J175" s="520">
        <f t="shared" si="160"/>
        <v>0</v>
      </c>
      <c r="K175" s="520">
        <f t="shared" si="160"/>
        <v>0</v>
      </c>
      <c r="L175" s="520">
        <f t="shared" si="160"/>
        <v>0</v>
      </c>
      <c r="M175" s="520">
        <f t="shared" si="160"/>
        <v>0</v>
      </c>
      <c r="N175" s="521">
        <f t="shared" si="160"/>
        <v>0</v>
      </c>
    </row>
  </sheetData>
  <mergeCells count="7">
    <mergeCell ref="Q6:Q7"/>
    <mergeCell ref="R6:R7"/>
    <mergeCell ref="S4:S5"/>
    <mergeCell ref="A1:O1"/>
    <mergeCell ref="A2:O2"/>
    <mergeCell ref="A3:O3"/>
    <mergeCell ref="A4:O4"/>
  </mergeCells>
  <conditionalFormatting sqref="D23:M28">
    <cfRule type="cellIs" dxfId="10" priority="2" operator="notEqual">
      <formula>0</formula>
    </cfRule>
  </conditionalFormatting>
  <printOptions horizontalCentered="1"/>
  <pageMargins left="0" right="0" top="0" bottom="0" header="0" footer="0"/>
  <pageSetup scale="57" orientation="landscape" r:id="rId1"/>
  <rowBreaks count="2" manualBreakCount="2">
    <brk id="48" max="17" man="1"/>
    <brk id="80" max="17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4"/>
  <sheetViews>
    <sheetView workbookViewId="0">
      <selection activeCell="J58" sqref="J58"/>
    </sheetView>
  </sheetViews>
  <sheetFormatPr baseColWidth="10" defaultRowHeight="15" x14ac:dyDescent="0.25"/>
  <cols>
    <col min="1" max="1" width="30.85546875" customWidth="1"/>
  </cols>
  <sheetData>
    <row r="1" spans="1:7" ht="9" customHeight="1" x14ac:dyDescent="0.25"/>
    <row r="2" spans="1:7" ht="18.75" x14ac:dyDescent="0.3">
      <c r="A2" s="299" t="s">
        <v>333</v>
      </c>
    </row>
    <row r="3" spans="1:7" x14ac:dyDescent="0.25">
      <c r="A3" s="110" t="s">
        <v>1398</v>
      </c>
    </row>
    <row r="5" spans="1:7" x14ac:dyDescent="0.25">
      <c r="A5" s="955" t="s">
        <v>348</v>
      </c>
      <c r="B5" s="955" t="s">
        <v>1394</v>
      </c>
      <c r="C5" s="955">
        <v>2021</v>
      </c>
      <c r="D5" s="955">
        <v>2022</v>
      </c>
      <c r="E5" s="955">
        <v>2023</v>
      </c>
      <c r="F5" s="955">
        <v>2024</v>
      </c>
      <c r="G5" s="955" t="s">
        <v>28</v>
      </c>
    </row>
    <row r="6" spans="1:7" x14ac:dyDescent="0.25">
      <c r="A6" s="1618" t="s">
        <v>1387</v>
      </c>
      <c r="B6" s="293" t="s">
        <v>505</v>
      </c>
      <c r="C6" s="654">
        <f>Adiciones!G299</f>
        <v>69873626.480000004</v>
      </c>
      <c r="D6" s="654">
        <f>Adiciones!H299</f>
        <v>101808108.57999998</v>
      </c>
      <c r="E6" s="654">
        <f>Adiciones!I299</f>
        <v>25949598.129999951</v>
      </c>
      <c r="F6" s="654">
        <f>Adiciones!J299</f>
        <v>107299980.41000006</v>
      </c>
      <c r="G6" s="654">
        <f>SUM(C6:F6)</f>
        <v>304931313.60000002</v>
      </c>
    </row>
    <row r="7" spans="1:7" x14ac:dyDescent="0.25">
      <c r="A7" s="1618"/>
      <c r="B7" s="293" t="s">
        <v>1392</v>
      </c>
      <c r="C7" s="654">
        <f>Adiciones!U463</f>
        <v>55438982</v>
      </c>
      <c r="D7" s="654">
        <f>Adiciones!V463</f>
        <v>87364880</v>
      </c>
      <c r="E7" s="654">
        <f>Adiciones!W463</f>
        <v>26186904</v>
      </c>
      <c r="F7" s="654">
        <f>Adiciones!X463</f>
        <v>96394878.500000015</v>
      </c>
      <c r="G7" s="654">
        <f t="shared" ref="G7:G26" si="0">SUM(C7:F7)</f>
        <v>265385644.5</v>
      </c>
    </row>
    <row r="8" spans="1:7" x14ac:dyDescent="0.25">
      <c r="A8" s="1618"/>
      <c r="B8" s="293" t="s">
        <v>1400</v>
      </c>
      <c r="C8" s="654">
        <f>SUM(Adiciones!B97:B145)</f>
        <v>71023277.609999999</v>
      </c>
      <c r="D8" s="654">
        <f>SUM(Adiciones!C97:C145)</f>
        <v>113793590.07999997</v>
      </c>
      <c r="E8" s="654">
        <f>SUM(Adiciones!D97:D145)</f>
        <v>10124679.770000001</v>
      </c>
      <c r="F8" s="654">
        <f>SUM(Adiciones!E97:E145)</f>
        <v>125548242.68999988</v>
      </c>
      <c r="G8" s="654">
        <f>SUM(C8:F8)</f>
        <v>320489790.14999986</v>
      </c>
    </row>
    <row r="9" spans="1:7" x14ac:dyDescent="0.25">
      <c r="A9" s="1618"/>
      <c r="B9" s="293" t="s">
        <v>1401</v>
      </c>
      <c r="C9" s="654">
        <f>SUM(Adiciones!H97:H148)</f>
        <v>70920181.779997319</v>
      </c>
      <c r="D9" s="654">
        <f>SUM(Adiciones!I97:I148)</f>
        <v>108870385.94999976</v>
      </c>
      <c r="E9" s="654">
        <f>SUM(Adiciones!J97:J148)</f>
        <v>16858593.040000014</v>
      </c>
      <c r="F9" s="654">
        <f>SUM(Adiciones!K97:K148)</f>
        <v>127903742.91999991</v>
      </c>
      <c r="G9" s="654">
        <f t="shared" si="0"/>
        <v>324552903.68999702</v>
      </c>
    </row>
    <row r="10" spans="1:7" x14ac:dyDescent="0.25">
      <c r="A10" s="1618" t="s">
        <v>1388</v>
      </c>
      <c r="B10" s="293" t="str">
        <f t="shared" ref="B10:B21" si="1">B6</f>
        <v>BS-01</v>
      </c>
      <c r="C10" s="654">
        <f>Adiciones!G300</f>
        <v>3684852.6899999985</v>
      </c>
      <c r="D10" s="654">
        <f>Adiciones!H300</f>
        <v>1406318.7400000019</v>
      </c>
      <c r="E10" s="654">
        <f>Adiciones!I300</f>
        <v>4970947.42</v>
      </c>
      <c r="F10" s="654">
        <f>Adiciones!J300</f>
        <v>14013734.149999999</v>
      </c>
      <c r="G10" s="654">
        <f t="shared" si="0"/>
        <v>24075853</v>
      </c>
    </row>
    <row r="11" spans="1:7" x14ac:dyDescent="0.25">
      <c r="A11" s="1618"/>
      <c r="B11" s="293" t="str">
        <f t="shared" si="1"/>
        <v>EEFF</v>
      </c>
      <c r="C11" s="654">
        <f>Adiciones!U464</f>
        <v>10007999</v>
      </c>
      <c r="D11" s="654">
        <f>Adiciones!V464</f>
        <v>13828792</v>
      </c>
      <c r="E11" s="654">
        <f>Adiciones!W464</f>
        <v>5276130</v>
      </c>
      <c r="F11" s="654">
        <f>Adiciones!X464</f>
        <v>21937554.460000001</v>
      </c>
      <c r="G11" s="654">
        <f t="shared" si="0"/>
        <v>51050475.460000001</v>
      </c>
    </row>
    <row r="12" spans="1:7" x14ac:dyDescent="0.25">
      <c r="A12" s="1618"/>
      <c r="B12" s="293" t="str">
        <f t="shared" si="1"/>
        <v>Pto. 02</v>
      </c>
      <c r="C12" s="654">
        <f>SUM(Adiciones!B149:B162)</f>
        <v>3695592.5600000015</v>
      </c>
      <c r="D12" s="654">
        <f>SUM(Adiciones!C149:C162)</f>
        <v>1836049.2800000003</v>
      </c>
      <c r="E12" s="654">
        <f>SUM(Adiciones!D149:D162)</f>
        <v>4967785.5700000012</v>
      </c>
      <c r="F12" s="654">
        <f>SUM(Adiciones!E149:E163)</f>
        <v>14205985.179999959</v>
      </c>
      <c r="G12" s="654">
        <f t="shared" si="0"/>
        <v>24705412.589999963</v>
      </c>
    </row>
    <row r="13" spans="1:7" x14ac:dyDescent="0.25">
      <c r="A13" s="1618"/>
      <c r="B13" s="293" t="str">
        <f t="shared" si="1"/>
        <v>Pto. 03</v>
      </c>
      <c r="C13" s="654">
        <f>SUM(Adiciones!H149:H164)</f>
        <v>3542128.4099998465</v>
      </c>
      <c r="D13" s="654">
        <f>SUM(Adiciones!I149:I164)</f>
        <v>1407637.9999999458</v>
      </c>
      <c r="E13" s="654">
        <f>SUM(Adiciones!J149:J164)</f>
        <v>2090407.8100000161</v>
      </c>
      <c r="F13" s="654">
        <f>SUM(Adiciones!K149:K164)</f>
        <v>8190223.2599998415</v>
      </c>
      <c r="G13" s="654">
        <f t="shared" si="0"/>
        <v>15230397.47999965</v>
      </c>
    </row>
    <row r="14" spans="1:7" x14ac:dyDescent="0.25">
      <c r="A14" s="1618" t="s">
        <v>1389</v>
      </c>
      <c r="B14" s="293" t="str">
        <f t="shared" si="1"/>
        <v>BS-01</v>
      </c>
      <c r="C14" s="654">
        <f>Adiciones!G301</f>
        <v>865808.90000000596</v>
      </c>
      <c r="D14" s="654">
        <f>Adiciones!H301</f>
        <v>13248268.599999994</v>
      </c>
      <c r="E14" s="654">
        <f>Adiciones!I301</f>
        <v>17662388.74000001</v>
      </c>
      <c r="F14" s="654">
        <f>Adiciones!J301</f>
        <v>20723610.75999999</v>
      </c>
      <c r="G14" s="654">
        <f t="shared" si="0"/>
        <v>52500077</v>
      </c>
    </row>
    <row r="15" spans="1:7" x14ac:dyDescent="0.25">
      <c r="A15" s="1618"/>
      <c r="B15" s="293" t="str">
        <f t="shared" si="1"/>
        <v>EEFF</v>
      </c>
      <c r="C15" s="654">
        <f>Adiciones!U465</f>
        <v>9034507</v>
      </c>
      <c r="D15" s="654">
        <f>Adiciones!V465</f>
        <v>13725895</v>
      </c>
      <c r="E15" s="654">
        <f>Adiciones!W465</f>
        <v>17672490</v>
      </c>
      <c r="F15" s="654">
        <f>Adiciones!X465</f>
        <v>24075268.48</v>
      </c>
      <c r="G15" s="654">
        <f t="shared" si="0"/>
        <v>64508160.480000004</v>
      </c>
    </row>
    <row r="16" spans="1:7" x14ac:dyDescent="0.25">
      <c r="A16" s="1618"/>
      <c r="B16" s="293" t="str">
        <f t="shared" si="1"/>
        <v>Pto. 02</v>
      </c>
      <c r="C16" s="654"/>
      <c r="D16" s="654"/>
      <c r="E16" s="654"/>
      <c r="F16" s="654"/>
      <c r="G16" s="654"/>
    </row>
    <row r="17" spans="1:12" x14ac:dyDescent="0.25">
      <c r="A17" s="1618"/>
      <c r="B17" s="293" t="str">
        <f t="shared" si="1"/>
        <v>Pto. 03</v>
      </c>
      <c r="C17" s="654"/>
      <c r="D17" s="654"/>
      <c r="E17" s="654"/>
      <c r="F17" s="654"/>
      <c r="G17" s="654"/>
    </row>
    <row r="18" spans="1:12" hidden="1" x14ac:dyDescent="0.25">
      <c r="A18" s="1618" t="s">
        <v>1390</v>
      </c>
      <c r="B18" s="293" t="str">
        <f t="shared" si="1"/>
        <v>BS-01</v>
      </c>
      <c r="C18" s="654">
        <f>Adiciones!G302</f>
        <v>0</v>
      </c>
      <c r="D18" s="654">
        <f>Adiciones!H302</f>
        <v>0</v>
      </c>
      <c r="E18" s="654">
        <f>Adiciones!I302</f>
        <v>0</v>
      </c>
      <c r="F18" s="654">
        <f>Adiciones!J302</f>
        <v>0</v>
      </c>
      <c r="G18" s="654">
        <f t="shared" si="0"/>
        <v>0</v>
      </c>
    </row>
    <row r="19" spans="1:12" hidden="1" x14ac:dyDescent="0.25">
      <c r="A19" s="1618"/>
      <c r="B19" s="293" t="str">
        <f t="shared" si="1"/>
        <v>EEFF</v>
      </c>
      <c r="C19" s="654">
        <f>Adiciones!U466</f>
        <v>0</v>
      </c>
      <c r="D19" s="654">
        <f>Adiciones!V466</f>
        <v>0</v>
      </c>
      <c r="E19" s="654">
        <f>Adiciones!W466</f>
        <v>0</v>
      </c>
      <c r="F19" s="654">
        <f>Adiciones!X466</f>
        <v>0</v>
      </c>
      <c r="G19" s="654">
        <f t="shared" si="0"/>
        <v>0</v>
      </c>
    </row>
    <row r="20" spans="1:12" hidden="1" x14ac:dyDescent="0.25">
      <c r="A20" s="1618"/>
      <c r="B20" s="293" t="str">
        <f t="shared" si="1"/>
        <v>Pto. 02</v>
      </c>
      <c r="C20" s="654"/>
      <c r="D20" s="654"/>
      <c r="E20" s="654"/>
      <c r="F20" s="654"/>
      <c r="G20" s="654"/>
    </row>
    <row r="21" spans="1:12" hidden="1" x14ac:dyDescent="0.25">
      <c r="A21" s="1618"/>
      <c r="B21" s="293" t="str">
        <f t="shared" si="1"/>
        <v>Pto. 03</v>
      </c>
      <c r="C21" s="654"/>
      <c r="D21" s="654"/>
      <c r="E21" s="654"/>
      <c r="F21" s="654"/>
      <c r="G21" s="654"/>
    </row>
    <row r="22" spans="1:12" hidden="1" x14ac:dyDescent="0.25">
      <c r="A22" s="1618"/>
      <c r="B22" s="953" t="e">
        <f>#REF!</f>
        <v>#REF!</v>
      </c>
      <c r="C22" s="954">
        <f>C18-C19</f>
        <v>0</v>
      </c>
      <c r="D22" s="954">
        <f>D18-D19</f>
        <v>0</v>
      </c>
      <c r="E22" s="954">
        <f>E18-E19</f>
        <v>0</v>
      </c>
      <c r="F22" s="954">
        <f>F18-F19</f>
        <v>0</v>
      </c>
      <c r="G22" s="954">
        <f t="shared" si="0"/>
        <v>0</v>
      </c>
    </row>
    <row r="23" spans="1:12" x14ac:dyDescent="0.25">
      <c r="A23" s="1619" t="s">
        <v>28</v>
      </c>
      <c r="B23" s="860" t="str">
        <f>B18</f>
        <v>BS-01</v>
      </c>
      <c r="C23" s="861">
        <f>Adiciones!G303</f>
        <v>74424288.070000008</v>
      </c>
      <c r="D23" s="861">
        <f>Adiciones!H303</f>
        <v>116462695.91999997</v>
      </c>
      <c r="E23" s="861">
        <f>Adiciones!I303</f>
        <v>48582934.289999962</v>
      </c>
      <c r="F23" s="861">
        <f>Adiciones!J303</f>
        <v>142037325.32000005</v>
      </c>
      <c r="G23" s="861">
        <f t="shared" si="0"/>
        <v>381507243.60000002</v>
      </c>
      <c r="I23" s="108"/>
      <c r="J23" s="108"/>
      <c r="K23" s="108"/>
      <c r="L23" s="108"/>
    </row>
    <row r="24" spans="1:12" x14ac:dyDescent="0.25">
      <c r="A24" s="1619"/>
      <c r="B24" s="860" t="str">
        <f>B19</f>
        <v>EEFF</v>
      </c>
      <c r="C24" s="861">
        <f>Adiciones!U467</f>
        <v>74481488</v>
      </c>
      <c r="D24" s="861">
        <f>Adiciones!V467</f>
        <v>114919567</v>
      </c>
      <c r="E24" s="861">
        <f>Adiciones!W467</f>
        <v>49135524</v>
      </c>
      <c r="F24" s="861">
        <f>Adiciones!X467</f>
        <v>142407701.44</v>
      </c>
      <c r="G24" s="861">
        <f>SUM(C24:F24)</f>
        <v>380944280.44</v>
      </c>
      <c r="I24" s="108"/>
      <c r="J24" s="108"/>
      <c r="K24" s="108"/>
      <c r="L24" s="108"/>
    </row>
    <row r="25" spans="1:12" x14ac:dyDescent="0.25">
      <c r="A25" s="1619"/>
      <c r="B25" s="860" t="str">
        <f t="shared" ref="B25:B26" si="2">B20</f>
        <v>Pto. 02</v>
      </c>
      <c r="C25" s="861">
        <f>Adiciones!B165</f>
        <v>74718870.170000002</v>
      </c>
      <c r="D25" s="861">
        <f>Adiciones!C165</f>
        <v>115629639.35999995</v>
      </c>
      <c r="E25" s="861">
        <f>Adiciones!D165</f>
        <v>15092465.340000002</v>
      </c>
      <c r="F25" s="861">
        <f>Adiciones!E165</f>
        <v>139754227.86999983</v>
      </c>
      <c r="G25" s="861">
        <f t="shared" si="0"/>
        <v>345195202.73999977</v>
      </c>
      <c r="I25" s="108"/>
      <c r="J25" s="108"/>
      <c r="K25" s="108"/>
      <c r="L25" s="108"/>
    </row>
    <row r="26" spans="1:12" x14ac:dyDescent="0.25">
      <c r="A26" s="1619"/>
      <c r="B26" s="860" t="str">
        <f t="shared" si="2"/>
        <v>Pto. 03</v>
      </c>
      <c r="C26" s="861">
        <f>Adiciones!H165</f>
        <v>74462310.189997166</v>
      </c>
      <c r="D26" s="861">
        <f>Adiciones!I165</f>
        <v>110278023.9499997</v>
      </c>
      <c r="E26" s="861">
        <f>Adiciones!J165</f>
        <v>18949000.850000031</v>
      </c>
      <c r="F26" s="861">
        <f>Adiciones!K165</f>
        <v>136093966.17999974</v>
      </c>
      <c r="G26" s="861">
        <f t="shared" si="0"/>
        <v>339783301.16999662</v>
      </c>
      <c r="I26" s="108"/>
      <c r="J26" s="108"/>
      <c r="K26" s="108"/>
      <c r="L26" s="108"/>
    </row>
    <row r="27" spans="1:12" x14ac:dyDescent="0.25">
      <c r="A27" s="952" t="s">
        <v>1393</v>
      </c>
    </row>
    <row r="28" spans="1:12" x14ac:dyDescent="0.25">
      <c r="A28" s="952"/>
    </row>
    <row r="29" spans="1:12" hidden="1" x14ac:dyDescent="0.25">
      <c r="A29" s="110" t="s">
        <v>1402</v>
      </c>
    </row>
    <row r="30" spans="1:12" ht="9" hidden="1" customHeight="1" x14ac:dyDescent="0.25"/>
    <row r="31" spans="1:12" hidden="1" x14ac:dyDescent="0.25">
      <c r="A31" s="955" t="s">
        <v>348</v>
      </c>
      <c r="B31" s="955" t="s">
        <v>1394</v>
      </c>
      <c r="C31" s="955">
        <v>2021</v>
      </c>
      <c r="D31" s="955">
        <v>2022</v>
      </c>
      <c r="E31" s="955">
        <v>2023</v>
      </c>
      <c r="F31" s="955">
        <v>2024</v>
      </c>
      <c r="G31" s="955" t="s">
        <v>28</v>
      </c>
    </row>
    <row r="32" spans="1:12" hidden="1" x14ac:dyDescent="0.25">
      <c r="A32" s="1612" t="s">
        <v>1387</v>
      </c>
      <c r="B32" s="293" t="s">
        <v>505</v>
      </c>
      <c r="C32" s="654">
        <f>Adiciones!U470</f>
        <v>87441326</v>
      </c>
      <c r="D32" s="654">
        <f>Adiciones!V470</f>
        <v>62257312</v>
      </c>
      <c r="E32" s="654">
        <f>Adiciones!W470</f>
        <v>79130795</v>
      </c>
      <c r="F32" s="654"/>
      <c r="G32" s="654">
        <f>SUM(C32:F32)</f>
        <v>228829433</v>
      </c>
    </row>
    <row r="33" spans="1:7" hidden="1" x14ac:dyDescent="0.25">
      <c r="A33" s="1613"/>
      <c r="B33" s="293" t="s">
        <v>1400</v>
      </c>
      <c r="C33" s="654">
        <f>SUM(Adiciones!B97:B145)</f>
        <v>71023277.609999999</v>
      </c>
      <c r="D33" s="654">
        <f>SUM(Adiciones!C97:C145)</f>
        <v>113793590.07999997</v>
      </c>
      <c r="E33" s="654">
        <f>SUM(Adiciones!D97:D145)</f>
        <v>10124679.770000001</v>
      </c>
      <c r="F33" s="654"/>
      <c r="G33" s="654">
        <f t="shared" ref="G33:G46" si="3">SUM(C33:F33)</f>
        <v>194941547.45999998</v>
      </c>
    </row>
    <row r="34" spans="1:7" hidden="1" x14ac:dyDescent="0.25">
      <c r="A34" s="1614"/>
      <c r="B34" s="293" t="s">
        <v>1401</v>
      </c>
      <c r="C34" s="654">
        <f>SUM(Adiciones!H97:H145)</f>
        <v>70736729.869997323</v>
      </c>
      <c r="D34" s="654">
        <f>SUM(Adiciones!I97:I145)</f>
        <v>108870385.94999976</v>
      </c>
      <c r="E34" s="654">
        <f>SUM(Adiciones!J97:J145)</f>
        <v>16858593.040000014</v>
      </c>
      <c r="F34" s="654"/>
      <c r="G34" s="654">
        <f t="shared" si="3"/>
        <v>196465708.85999709</v>
      </c>
    </row>
    <row r="35" spans="1:7" hidden="1" x14ac:dyDescent="0.25">
      <c r="A35" s="1612" t="s">
        <v>1399</v>
      </c>
      <c r="B35" s="293" t="str">
        <f>B32</f>
        <v>BS-01</v>
      </c>
      <c r="C35" s="654">
        <f>Adiciones!U471</f>
        <v>15135480</v>
      </c>
      <c r="D35" s="654">
        <f>Adiciones!V471</f>
        <v>21520858</v>
      </c>
      <c r="E35" s="654">
        <f>Adiciones!W471</f>
        <v>6832541</v>
      </c>
      <c r="F35" s="654"/>
      <c r="G35" s="654">
        <f t="shared" si="3"/>
        <v>43488879</v>
      </c>
    </row>
    <row r="36" spans="1:7" hidden="1" x14ac:dyDescent="0.25">
      <c r="A36" s="1613"/>
      <c r="B36" s="293" t="str">
        <f t="shared" ref="B36:B46" si="4">B33</f>
        <v>Pto. 02</v>
      </c>
      <c r="C36" s="654">
        <f>SUM(Adiciones!B149:B162)</f>
        <v>3695592.5600000015</v>
      </c>
      <c r="D36" s="654">
        <f>SUM(Adiciones!C149:C162)</f>
        <v>1836049.2800000003</v>
      </c>
      <c r="E36" s="654">
        <f>SUM(Adiciones!D149:D162)</f>
        <v>4967785.5700000012</v>
      </c>
      <c r="F36" s="654"/>
      <c r="G36" s="654">
        <f t="shared" si="3"/>
        <v>10499427.410000004</v>
      </c>
    </row>
    <row r="37" spans="1:7" hidden="1" x14ac:dyDescent="0.25">
      <c r="A37" s="1614"/>
      <c r="B37" s="293" t="str">
        <f t="shared" si="4"/>
        <v>Pto. 03</v>
      </c>
      <c r="C37" s="654">
        <f>SUM(Adiciones!H149:H162)</f>
        <v>3547128.5199998464</v>
      </c>
      <c r="D37" s="654">
        <f>SUM(Adiciones!I149:I162)</f>
        <v>1407637.9999999458</v>
      </c>
      <c r="E37" s="654">
        <f>SUM(Adiciones!J149:J162)</f>
        <v>2090407.8100000161</v>
      </c>
      <c r="F37" s="654"/>
      <c r="G37" s="654">
        <f t="shared" si="3"/>
        <v>7045174.3299998082</v>
      </c>
    </row>
    <row r="38" spans="1:7" hidden="1" x14ac:dyDescent="0.25">
      <c r="A38" s="1612" t="s">
        <v>1389</v>
      </c>
      <c r="B38" s="293" t="str">
        <f t="shared" si="4"/>
        <v>BS-01</v>
      </c>
      <c r="C38" s="654">
        <f>Adiciones!U472</f>
        <v>8218811</v>
      </c>
      <c r="D38" s="654">
        <f>Adiciones!V472</f>
        <v>6712062</v>
      </c>
      <c r="E38" s="654">
        <f>Adiciones!W472</f>
        <v>9993015</v>
      </c>
      <c r="F38" s="654"/>
      <c r="G38" s="654">
        <f t="shared" si="3"/>
        <v>24923888</v>
      </c>
    </row>
    <row r="39" spans="1:7" hidden="1" x14ac:dyDescent="0.25">
      <c r="A39" s="1613"/>
      <c r="B39" s="293" t="str">
        <f t="shared" si="4"/>
        <v>Pto. 02</v>
      </c>
      <c r="C39" s="654"/>
      <c r="D39" s="654"/>
      <c r="E39" s="654"/>
      <c r="F39" s="654"/>
      <c r="G39" s="654">
        <f t="shared" si="3"/>
        <v>0</v>
      </c>
    </row>
    <row r="40" spans="1:7" hidden="1" x14ac:dyDescent="0.25">
      <c r="A40" s="1614"/>
      <c r="B40" s="293" t="str">
        <f t="shared" si="4"/>
        <v>Pto. 03</v>
      </c>
      <c r="C40" s="293"/>
      <c r="D40" s="293"/>
      <c r="E40" s="293"/>
      <c r="F40" s="293"/>
      <c r="G40" s="654">
        <f t="shared" si="3"/>
        <v>0</v>
      </c>
    </row>
    <row r="41" spans="1:7" hidden="1" x14ac:dyDescent="0.25">
      <c r="A41" s="1612" t="s">
        <v>1390</v>
      </c>
      <c r="B41" s="293" t="str">
        <f t="shared" si="4"/>
        <v>BS-01</v>
      </c>
      <c r="C41" s="654">
        <f>Adiciones!U473</f>
        <v>0</v>
      </c>
      <c r="D41" s="654">
        <f>Adiciones!V473</f>
        <v>0</v>
      </c>
      <c r="E41" s="654">
        <f>Adiciones!W473</f>
        <v>0</v>
      </c>
      <c r="F41" s="654"/>
      <c r="G41" s="654">
        <f t="shared" si="3"/>
        <v>0</v>
      </c>
    </row>
    <row r="42" spans="1:7" hidden="1" x14ac:dyDescent="0.25">
      <c r="A42" s="1613"/>
      <c r="B42" s="293" t="str">
        <f t="shared" si="4"/>
        <v>Pto. 02</v>
      </c>
      <c r="C42" s="654"/>
      <c r="D42" s="654"/>
      <c r="E42" s="654"/>
      <c r="F42" s="654"/>
      <c r="G42" s="654">
        <f t="shared" si="3"/>
        <v>0</v>
      </c>
    </row>
    <row r="43" spans="1:7" hidden="1" x14ac:dyDescent="0.25">
      <c r="A43" s="1614"/>
      <c r="B43" s="293" t="str">
        <f t="shared" si="4"/>
        <v>Pto. 03</v>
      </c>
      <c r="C43" s="293"/>
      <c r="D43" s="293"/>
      <c r="E43" s="293"/>
      <c r="F43" s="293"/>
      <c r="G43" s="654">
        <f t="shared" si="3"/>
        <v>0</v>
      </c>
    </row>
    <row r="44" spans="1:7" hidden="1" x14ac:dyDescent="0.25">
      <c r="A44" s="1615" t="s">
        <v>28</v>
      </c>
      <c r="B44" s="860" t="str">
        <f t="shared" si="4"/>
        <v>BS-01</v>
      </c>
      <c r="C44" s="861">
        <f>Adiciones!U474</f>
        <v>110795617</v>
      </c>
      <c r="D44" s="861">
        <f>Adiciones!V474</f>
        <v>90490232</v>
      </c>
      <c r="E44" s="861">
        <f>Adiciones!W474</f>
        <v>95956351</v>
      </c>
      <c r="F44" s="861"/>
      <c r="G44" s="861">
        <f t="shared" si="3"/>
        <v>297242200</v>
      </c>
    </row>
    <row r="45" spans="1:7" hidden="1" x14ac:dyDescent="0.25">
      <c r="A45" s="1616"/>
      <c r="B45" s="860" t="str">
        <f t="shared" si="4"/>
        <v>Pto. 02</v>
      </c>
      <c r="C45" s="861">
        <f>SUM(Adiciones!B97:B162)</f>
        <v>74718870.170000002</v>
      </c>
      <c r="D45" s="861">
        <f>SUM(Adiciones!C97:C162)</f>
        <v>115629639.35999995</v>
      </c>
      <c r="E45" s="861">
        <f>SUM(Adiciones!D97:D162)</f>
        <v>15092465.340000002</v>
      </c>
      <c r="F45" s="861">
        <f>SUM(Adiciones!E97:E162)</f>
        <v>139478859.10999984</v>
      </c>
      <c r="G45" s="861">
        <f t="shared" si="3"/>
        <v>344919833.97999978</v>
      </c>
    </row>
    <row r="46" spans="1:7" hidden="1" x14ac:dyDescent="0.25">
      <c r="A46" s="1617"/>
      <c r="B46" s="860" t="str">
        <f t="shared" si="4"/>
        <v>Pto. 03</v>
      </c>
      <c r="C46" s="861">
        <f>SUM(Adiciones!H97:H162)</f>
        <v>74467310.299997166</v>
      </c>
      <c r="D46" s="861">
        <f>SUM(Adiciones!I97:I162)</f>
        <v>110278023.9499997</v>
      </c>
      <c r="E46" s="861">
        <f>SUM(Adiciones!J97:J162)</f>
        <v>18949000.850000031</v>
      </c>
      <c r="F46" s="861">
        <f>SUM(Adiciones!K97:K162)</f>
        <v>136093966.17999974</v>
      </c>
      <c r="G46" s="861">
        <f t="shared" si="3"/>
        <v>339788301.27999663</v>
      </c>
    </row>
    <row r="47" spans="1:7" hidden="1" x14ac:dyDescent="0.25"/>
    <row r="48" spans="1:7" hidden="1" x14ac:dyDescent="0.25">
      <c r="A48" s="110" t="s">
        <v>1403</v>
      </c>
    </row>
    <row r="49" spans="1:7" ht="8.25" customHeight="1" x14ac:dyDescent="0.25"/>
    <row r="50" spans="1:7" x14ac:dyDescent="0.25">
      <c r="A50" s="955" t="s">
        <v>1394</v>
      </c>
      <c r="B50" s="955"/>
      <c r="C50" s="955">
        <v>2021</v>
      </c>
      <c r="D50" s="955">
        <v>2022</v>
      </c>
      <c r="E50" s="955">
        <v>2023</v>
      </c>
      <c r="F50" s="955">
        <v>2024</v>
      </c>
      <c r="G50" s="955" t="s">
        <v>28</v>
      </c>
    </row>
    <row r="51" spans="1:7" x14ac:dyDescent="0.25">
      <c r="A51" s="293" t="s">
        <v>505</v>
      </c>
      <c r="B51" s="293"/>
      <c r="C51" s="654">
        <f t="shared" ref="C51:F52" si="5">C23</f>
        <v>74424288.070000008</v>
      </c>
      <c r="D51" s="654">
        <f t="shared" si="5"/>
        <v>116462695.91999997</v>
      </c>
      <c r="E51" s="654">
        <f t="shared" si="5"/>
        <v>48582934.289999962</v>
      </c>
      <c r="F51" s="654">
        <f t="shared" si="5"/>
        <v>142037325.32000005</v>
      </c>
      <c r="G51" s="654">
        <f t="shared" ref="G51:G54" si="6">SUM(C51:F51)</f>
        <v>381507243.60000002</v>
      </c>
    </row>
    <row r="52" spans="1:7" x14ac:dyDescent="0.25">
      <c r="A52" s="293" t="s">
        <v>1392</v>
      </c>
      <c r="B52" s="293"/>
      <c r="C52" s="654">
        <f t="shared" si="5"/>
        <v>74481488</v>
      </c>
      <c r="D52" s="654">
        <f t="shared" si="5"/>
        <v>114919567</v>
      </c>
      <c r="E52" s="654">
        <f t="shared" si="5"/>
        <v>49135524</v>
      </c>
      <c r="F52" s="654">
        <f t="shared" si="5"/>
        <v>142407701.44</v>
      </c>
      <c r="G52" s="654">
        <f t="shared" si="6"/>
        <v>380944280.44</v>
      </c>
    </row>
    <row r="53" spans="1:7" x14ac:dyDescent="0.25">
      <c r="A53" s="293" t="s">
        <v>1400</v>
      </c>
      <c r="B53" s="293"/>
      <c r="C53" s="654">
        <f t="shared" ref="C53:F54" si="7">C45</f>
        <v>74718870.170000002</v>
      </c>
      <c r="D53" s="654">
        <f t="shared" si="7"/>
        <v>115629639.35999995</v>
      </c>
      <c r="E53" s="654">
        <f t="shared" si="7"/>
        <v>15092465.340000002</v>
      </c>
      <c r="F53" s="654">
        <f t="shared" si="7"/>
        <v>139478859.10999984</v>
      </c>
      <c r="G53" s="654">
        <f t="shared" si="6"/>
        <v>344919833.97999978</v>
      </c>
    </row>
    <row r="54" spans="1:7" x14ac:dyDescent="0.25">
      <c r="A54" s="293" t="s">
        <v>1401</v>
      </c>
      <c r="B54" s="293"/>
      <c r="C54" s="654">
        <f t="shared" si="7"/>
        <v>74467310.299997166</v>
      </c>
      <c r="D54" s="654">
        <f t="shared" si="7"/>
        <v>110278023.9499997</v>
      </c>
      <c r="E54" s="654">
        <f t="shared" si="7"/>
        <v>18949000.850000031</v>
      </c>
      <c r="F54" s="654">
        <f t="shared" si="7"/>
        <v>136093966.17999974</v>
      </c>
      <c r="G54" s="654">
        <f t="shared" si="6"/>
        <v>339788301.27999663</v>
      </c>
    </row>
  </sheetData>
  <mergeCells count="10">
    <mergeCell ref="A6:A9"/>
    <mergeCell ref="A10:A13"/>
    <mergeCell ref="A14:A17"/>
    <mergeCell ref="A18:A22"/>
    <mergeCell ref="A23:A26"/>
    <mergeCell ref="A32:A34"/>
    <mergeCell ref="A35:A37"/>
    <mergeCell ref="A38:A40"/>
    <mergeCell ref="A41:A43"/>
    <mergeCell ref="A44:A46"/>
  </mergeCells>
  <pageMargins left="0.7" right="0.7" top="0.75" bottom="0.75" header="0.3" footer="0.3"/>
  <pageSetup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39997558519241921"/>
  </sheetPr>
  <dimension ref="A1:AN474"/>
  <sheetViews>
    <sheetView showGridLines="0" workbookViewId="0">
      <pane xSplit="1" ySplit="4" topLeftCell="S46" activePane="bottomRight" state="frozen"/>
      <selection pane="topRight" activeCell="B1" sqref="B1"/>
      <selection pane="bottomLeft" activeCell="A5" sqref="A5"/>
      <selection pane="bottomRight" activeCell="E99" sqref="E99"/>
    </sheetView>
  </sheetViews>
  <sheetFormatPr baseColWidth="10" defaultColWidth="11.42578125" defaultRowHeight="15" x14ac:dyDescent="0.25"/>
  <cols>
    <col min="1" max="1" width="54.7109375" customWidth="1"/>
    <col min="2" max="2" width="13.140625" customWidth="1"/>
    <col min="3" max="3" width="13" customWidth="1"/>
    <col min="4" max="5" width="13.7109375" customWidth="1"/>
    <col min="6" max="6" width="13.140625" customWidth="1"/>
    <col min="7" max="7" width="12.7109375" customWidth="1"/>
    <col min="8" max="9" width="11.42578125" customWidth="1"/>
    <col min="10" max="10" width="13.42578125" customWidth="1"/>
    <col min="11" max="11" width="13" customWidth="1"/>
    <col min="12" max="12" width="12.5703125" customWidth="1"/>
    <col min="13" max="13" width="11.42578125" customWidth="1"/>
    <col min="14" max="14" width="33.140625" customWidth="1"/>
    <col min="15" max="15" width="19.28515625" customWidth="1"/>
    <col min="16" max="16" width="24" customWidth="1"/>
    <col min="17" max="17" width="16.42578125" customWidth="1"/>
    <col min="18" max="18" width="12.7109375" customWidth="1"/>
    <col min="19" max="19" width="13.5703125" customWidth="1"/>
    <col min="20" max="22" width="13.7109375" bestFit="1" customWidth="1"/>
    <col min="23" max="23" width="14" bestFit="1" customWidth="1"/>
    <col min="24" max="24" width="13.7109375" bestFit="1" customWidth="1"/>
    <col min="36" max="36" width="13" bestFit="1" customWidth="1"/>
  </cols>
  <sheetData>
    <row r="1" spans="1:37" x14ac:dyDescent="0.25">
      <c r="A1" s="110" t="s">
        <v>501</v>
      </c>
    </row>
    <row r="3" spans="1:37" s="110" customFormat="1" x14ac:dyDescent="0.25">
      <c r="B3" s="697">
        <v>2017</v>
      </c>
      <c r="C3" s="697"/>
      <c r="D3" s="697"/>
      <c r="E3" s="697"/>
      <c r="F3" s="701">
        <v>2018</v>
      </c>
      <c r="G3" s="701"/>
      <c r="H3" s="701"/>
      <c r="I3" s="701"/>
      <c r="J3" s="697">
        <v>2019</v>
      </c>
      <c r="K3" s="697"/>
      <c r="L3" s="697"/>
      <c r="M3" s="697"/>
      <c r="N3" s="701">
        <v>2020</v>
      </c>
      <c r="O3" s="701"/>
      <c r="P3" s="701"/>
      <c r="Q3" s="701"/>
      <c r="R3" s="704" t="s">
        <v>502</v>
      </c>
      <c r="S3" s="704"/>
      <c r="T3" s="704"/>
      <c r="U3" s="704"/>
      <c r="V3" s="697">
        <v>2021</v>
      </c>
      <c r="W3" s="697"/>
      <c r="X3" s="697"/>
      <c r="Y3" s="697"/>
      <c r="Z3" s="701">
        <v>2022</v>
      </c>
      <c r="AA3" s="701"/>
      <c r="AB3" s="701"/>
      <c r="AC3" s="701"/>
      <c r="AD3" s="697">
        <v>2023</v>
      </c>
      <c r="AE3" s="697"/>
      <c r="AF3" s="697"/>
      <c r="AG3" s="697"/>
      <c r="AH3" s="701">
        <v>2024</v>
      </c>
      <c r="AI3" s="701"/>
      <c r="AJ3" s="701"/>
      <c r="AK3" s="701"/>
    </row>
    <row r="4" spans="1:37" s="110" customFormat="1" x14ac:dyDescent="0.25">
      <c r="B4" s="697" t="s">
        <v>503</v>
      </c>
      <c r="C4" s="697" t="s">
        <v>504</v>
      </c>
      <c r="D4" s="697" t="s">
        <v>505</v>
      </c>
      <c r="E4" s="697" t="s">
        <v>506</v>
      </c>
      <c r="F4" s="701" t="s">
        <v>503</v>
      </c>
      <c r="G4" s="701" t="s">
        <v>504</v>
      </c>
      <c r="H4" s="701" t="s">
        <v>505</v>
      </c>
      <c r="I4" s="701" t="s">
        <v>506</v>
      </c>
      <c r="J4" s="697" t="s">
        <v>503</v>
      </c>
      <c r="K4" s="697" t="s">
        <v>504</v>
      </c>
      <c r="L4" s="697" t="s">
        <v>505</v>
      </c>
      <c r="M4" s="697" t="s">
        <v>506</v>
      </c>
      <c r="N4" s="701" t="s">
        <v>503</v>
      </c>
      <c r="O4" s="701" t="s">
        <v>504</v>
      </c>
      <c r="P4" s="701" t="s">
        <v>505</v>
      </c>
      <c r="Q4" s="701" t="s">
        <v>506</v>
      </c>
      <c r="R4" s="704" t="s">
        <v>503</v>
      </c>
      <c r="S4" s="704" t="s">
        <v>504</v>
      </c>
      <c r="T4" s="704" t="s">
        <v>505</v>
      </c>
      <c r="U4" s="704" t="s">
        <v>506</v>
      </c>
      <c r="V4" s="697" t="s">
        <v>503</v>
      </c>
      <c r="W4" s="697" t="s">
        <v>504</v>
      </c>
      <c r="X4" s="697" t="s">
        <v>505</v>
      </c>
      <c r="Y4" s="697" t="s">
        <v>506</v>
      </c>
      <c r="Z4" s="701" t="s">
        <v>503</v>
      </c>
      <c r="AA4" s="701" t="s">
        <v>504</v>
      </c>
      <c r="AB4" s="701" t="s">
        <v>505</v>
      </c>
      <c r="AC4" s="701" t="s">
        <v>506</v>
      </c>
      <c r="AD4" s="697" t="s">
        <v>503</v>
      </c>
      <c r="AE4" s="697" t="s">
        <v>504</v>
      </c>
      <c r="AF4" s="697" t="s">
        <v>505</v>
      </c>
      <c r="AG4" s="697" t="s">
        <v>506</v>
      </c>
      <c r="AH4" s="701" t="s">
        <v>503</v>
      </c>
      <c r="AI4" s="701" t="s">
        <v>504</v>
      </c>
      <c r="AJ4" s="701" t="s">
        <v>505</v>
      </c>
      <c r="AK4" s="701" t="s">
        <v>506</v>
      </c>
    </row>
    <row r="5" spans="1:37" x14ac:dyDescent="0.25">
      <c r="A5" s="707" t="s">
        <v>318</v>
      </c>
      <c r="B5" s="698">
        <f>+D46*1000+D45*1000</f>
        <v>359675168</v>
      </c>
      <c r="C5" s="698">
        <f>+SUMIF($E$173:$E$209,"d",$D$173:$D$209)</f>
        <v>351072816.72999996</v>
      </c>
      <c r="D5" s="698">
        <f>+C232+C231+C227</f>
        <v>302219036</v>
      </c>
      <c r="E5" s="698">
        <f>+D352</f>
        <v>341353660.95000005</v>
      </c>
      <c r="F5" s="702">
        <f>+I45*1000</f>
        <v>11745000</v>
      </c>
      <c r="G5" s="702">
        <f>+SUMIF($K$173:$K$209,"d",$J$173:$J$209)</f>
        <v>68931284.200000003</v>
      </c>
      <c r="H5" s="702">
        <f>+D232+D231+D227</f>
        <v>74870707</v>
      </c>
      <c r="I5" s="686"/>
      <c r="J5" s="685"/>
      <c r="K5" s="698">
        <f>+SUMIF($Q$172:$Q$209,"d",$P$172:$P$209)</f>
        <v>7757500.5899999999</v>
      </c>
      <c r="L5" s="698">
        <f>+E227+E231</f>
        <v>40700055</v>
      </c>
      <c r="M5" s="698">
        <f>+D318</f>
        <v>41168546.75</v>
      </c>
      <c r="N5" s="686"/>
      <c r="O5" s="702">
        <f>+SUMIF($W$172:$W$209,"d",$V$172:$V$209)</f>
        <v>0</v>
      </c>
      <c r="P5" s="702">
        <f>+N227+N231</f>
        <v>0</v>
      </c>
      <c r="Q5" s="686"/>
      <c r="R5" s="705">
        <f t="shared" ref="R5:U8" si="0">+B5+F5+J5+N5</f>
        <v>371420168</v>
      </c>
      <c r="S5" s="705">
        <f t="shared" si="0"/>
        <v>427761601.51999992</v>
      </c>
      <c r="T5" s="705">
        <f t="shared" si="0"/>
        <v>417789798</v>
      </c>
      <c r="U5" s="705">
        <f t="shared" si="0"/>
        <v>382522207.70000005</v>
      </c>
      <c r="V5" s="685"/>
      <c r="X5" s="698"/>
      <c r="Z5" s="686"/>
      <c r="AB5" s="686"/>
      <c r="AD5" s="685"/>
      <c r="AF5" s="698"/>
      <c r="AJ5" s="686"/>
    </row>
    <row r="6" spans="1:37" x14ac:dyDescent="0.25">
      <c r="A6" s="707" t="s">
        <v>301</v>
      </c>
      <c r="B6" s="698">
        <f>+(D47)*1000</f>
        <v>1029000</v>
      </c>
      <c r="C6" s="698">
        <f>+SUMIF($E$173:$E$209,"g",$D$173:$D$209)</f>
        <v>31687522.289999999</v>
      </c>
      <c r="D6" s="698">
        <f>+C230+C236</f>
        <v>39295567</v>
      </c>
      <c r="E6" s="685"/>
      <c r="F6" s="702">
        <f>+SUM(I46:I47)*1000</f>
        <v>12286000</v>
      </c>
      <c r="G6" s="702">
        <f>+SUMIF($K$173:$K$209,"g",$J$173:$J$209)</f>
        <v>1910127.41</v>
      </c>
      <c r="H6" s="702">
        <f>+D230+D236</f>
        <v>3798207</v>
      </c>
      <c r="I6" s="702">
        <f>+D310+D311</f>
        <v>2405862.04</v>
      </c>
      <c r="J6" s="698">
        <f>+SUM(N45:N48)*1000</f>
        <v>11477000</v>
      </c>
      <c r="K6" s="698">
        <f>+SUMIF($Q$172:$Q$209,"g",$P$172:$P$209)</f>
        <v>48600436.749999993</v>
      </c>
      <c r="L6" s="698">
        <f>+E230+E235+E236</f>
        <v>26751787</v>
      </c>
      <c r="M6" s="698">
        <f>+SUM(D313:D317)</f>
        <v>51752995.00999999</v>
      </c>
      <c r="N6" s="702">
        <f>+SUM(S45:S48)*1000</f>
        <v>56402845</v>
      </c>
      <c r="O6" s="702">
        <f>+SUMIF($W$172:$W$209,"g",$V$172:$V$209)</f>
        <v>39741309.550000004</v>
      </c>
      <c r="P6" s="702">
        <f>+F239</f>
        <v>34009147</v>
      </c>
      <c r="Q6" s="702">
        <f>+SUM(D319:D324)+SUM(D328:D331)</f>
        <v>33651522.630000003</v>
      </c>
      <c r="R6" s="705">
        <f t="shared" si="0"/>
        <v>81194845</v>
      </c>
      <c r="S6" s="705">
        <f t="shared" si="0"/>
        <v>121939396</v>
      </c>
      <c r="T6" s="705">
        <f t="shared" si="0"/>
        <v>103854708</v>
      </c>
      <c r="U6" s="705">
        <f t="shared" si="0"/>
        <v>87810379.679999992</v>
      </c>
      <c r="V6" s="685"/>
      <c r="X6" s="698"/>
      <c r="Z6" s="702"/>
      <c r="AB6" s="702"/>
      <c r="AD6" s="698"/>
      <c r="AF6" s="698"/>
      <c r="AJ6" s="702"/>
    </row>
    <row r="7" spans="1:37" x14ac:dyDescent="0.25">
      <c r="A7" s="707" t="s">
        <v>229</v>
      </c>
      <c r="B7" s="698"/>
      <c r="C7" s="698"/>
      <c r="D7" s="698"/>
      <c r="E7" s="685"/>
      <c r="F7" s="702"/>
      <c r="G7" s="702"/>
      <c r="H7" s="702"/>
      <c r="I7" s="702"/>
      <c r="J7" s="698"/>
      <c r="K7" s="698"/>
      <c r="L7" s="698"/>
      <c r="M7" s="698"/>
      <c r="N7" s="702"/>
      <c r="O7" s="702"/>
      <c r="P7" s="702"/>
      <c r="Q7" s="702"/>
      <c r="R7" s="705"/>
      <c r="S7" s="705"/>
      <c r="T7" s="705"/>
      <c r="U7" s="705"/>
      <c r="V7" s="698">
        <f>SUM(X45:X52)</f>
        <v>34328708</v>
      </c>
      <c r="X7" s="698">
        <f>G239</f>
        <v>67211884.340000018</v>
      </c>
      <c r="Z7" s="702">
        <f>SUM(AC45:AC49)</f>
        <v>59094452.039999999</v>
      </c>
      <c r="AB7" s="702">
        <f>H239</f>
        <v>112896015.25999998</v>
      </c>
      <c r="AD7" s="698">
        <f>SUM(AH45:AH47)</f>
        <v>8759851.3499999996</v>
      </c>
      <c r="AF7" s="698">
        <f>I239</f>
        <v>42292128.669999957</v>
      </c>
      <c r="AJ7" s="702">
        <f>J239</f>
        <v>126421296.73000005</v>
      </c>
    </row>
    <row r="8" spans="1:37" x14ac:dyDescent="0.25">
      <c r="A8" s="707" t="s">
        <v>228</v>
      </c>
      <c r="B8" s="698">
        <f>+(D48+D54)*1000</f>
        <v>1361000</v>
      </c>
      <c r="C8" s="698">
        <f>+SUMIF($E$173:$E$209,"p",$D$173:$D$209)</f>
        <v>0</v>
      </c>
      <c r="D8" s="698">
        <f>+C283</f>
        <v>2138729</v>
      </c>
      <c r="E8" s="685"/>
      <c r="F8" s="702">
        <f>+SUM(I48:I54)*1000</f>
        <v>3332000</v>
      </c>
      <c r="G8" s="702">
        <f>+SUMIF($K$173:$K$209,"p",$J$173:$J$209)</f>
        <v>3800785.97</v>
      </c>
      <c r="H8" s="702">
        <f>+D283</f>
        <v>3491708</v>
      </c>
      <c r="I8" s="686"/>
      <c r="J8" s="698">
        <f>+SUM(N54:N55)*1000</f>
        <v>2143000</v>
      </c>
      <c r="K8" s="698">
        <f>+SUMIF($Q$172:$Q$209,"p",$P$172:$P$209)</f>
        <v>409631</v>
      </c>
      <c r="L8" s="698">
        <f>+E283</f>
        <v>3897596</v>
      </c>
      <c r="M8" s="685"/>
      <c r="N8" s="702">
        <f>+SUM(S54:S55)*1000</f>
        <v>2644000</v>
      </c>
      <c r="O8" s="702">
        <f>+SUMIF($W$172:$W$209,"c",$V$172:$V$209)</f>
        <v>9110275</v>
      </c>
      <c r="P8" s="702">
        <f>+F283</f>
        <v>2544115</v>
      </c>
      <c r="Q8" s="686"/>
      <c r="R8" s="705">
        <f t="shared" si="0"/>
        <v>9480000</v>
      </c>
      <c r="S8" s="705">
        <f t="shared" si="0"/>
        <v>13320691.970000001</v>
      </c>
      <c r="T8" s="705">
        <f t="shared" si="0"/>
        <v>12072148</v>
      </c>
      <c r="U8" s="705">
        <f t="shared" si="0"/>
        <v>0</v>
      </c>
      <c r="V8" s="698">
        <f>SUM(X54:X55)</f>
        <v>895246.19000000029</v>
      </c>
      <c r="X8" s="698">
        <f>G283</f>
        <v>3672173.129999999</v>
      </c>
      <c r="Z8" s="702">
        <f>SUM(AC54:AC55)</f>
        <v>2261427.2095999997</v>
      </c>
      <c r="AB8" s="702">
        <f>H283</f>
        <v>1399898.3000000017</v>
      </c>
      <c r="AD8" s="698">
        <f>SUM(AH54:AH55)</f>
        <v>1797812.24</v>
      </c>
      <c r="AF8" s="698">
        <f>I283</f>
        <v>2086987.2200000007</v>
      </c>
      <c r="AJ8" s="702">
        <f>J283</f>
        <v>7926427.3499999987</v>
      </c>
    </row>
    <row r="9" spans="1:37" x14ac:dyDescent="0.25">
      <c r="A9" s="704" t="s">
        <v>507</v>
      </c>
      <c r="B9" s="699">
        <f>+SUM(B5:B8)</f>
        <v>362065168</v>
      </c>
      <c r="C9" s="699">
        <f t="shared" ref="C9" si="1">+SUM(C5:C8)</f>
        <v>382760339.01999998</v>
      </c>
      <c r="D9" s="699">
        <f t="shared" ref="D9:U9" si="2">+SUM(D5:D8)</f>
        <v>343653332</v>
      </c>
      <c r="E9" s="699">
        <f t="shared" si="2"/>
        <v>341353660.95000005</v>
      </c>
      <c r="F9" s="703">
        <f t="shared" si="2"/>
        <v>27363000</v>
      </c>
      <c r="G9" s="703">
        <f t="shared" si="2"/>
        <v>74642197.579999998</v>
      </c>
      <c r="H9" s="703">
        <f t="shared" si="2"/>
        <v>82160622</v>
      </c>
      <c r="I9" s="703">
        <f t="shared" si="2"/>
        <v>2405862.04</v>
      </c>
      <c r="J9" s="699">
        <f t="shared" si="2"/>
        <v>13620000</v>
      </c>
      <c r="K9" s="699">
        <f t="shared" si="2"/>
        <v>56767568.339999989</v>
      </c>
      <c r="L9" s="699">
        <f t="shared" si="2"/>
        <v>71349438</v>
      </c>
      <c r="M9" s="699">
        <f t="shared" si="2"/>
        <v>92921541.75999999</v>
      </c>
      <c r="N9" s="703">
        <f t="shared" si="2"/>
        <v>59046845</v>
      </c>
      <c r="O9" s="703">
        <f t="shared" si="2"/>
        <v>48851584.550000004</v>
      </c>
      <c r="P9" s="703">
        <f t="shared" si="2"/>
        <v>36553262</v>
      </c>
      <c r="Q9" s="703">
        <f t="shared" si="2"/>
        <v>33651522.630000003</v>
      </c>
      <c r="R9" s="706">
        <f t="shared" si="2"/>
        <v>462095013</v>
      </c>
      <c r="S9" s="706">
        <f t="shared" si="2"/>
        <v>563021689.49000001</v>
      </c>
      <c r="T9" s="706">
        <f t="shared" si="2"/>
        <v>533716654</v>
      </c>
      <c r="U9" s="706">
        <f t="shared" si="2"/>
        <v>470332587.38000005</v>
      </c>
      <c r="V9" s="699">
        <f t="shared" ref="V9:X9" si="3">+SUM(V5:V8)</f>
        <v>35223954.189999998</v>
      </c>
      <c r="X9" s="699">
        <f t="shared" si="3"/>
        <v>70884057.470000014</v>
      </c>
      <c r="Z9" s="703">
        <f t="shared" ref="Z9" si="4">+SUM(Z5:Z8)</f>
        <v>61355879.249600001</v>
      </c>
      <c r="AB9" s="703">
        <f t="shared" ref="AB9" si="5">+SUM(AB5:AB8)</f>
        <v>114295913.55999997</v>
      </c>
      <c r="AD9" s="699">
        <f t="shared" ref="AD9" si="6">+SUM(AD5:AD8)</f>
        <v>10557663.59</v>
      </c>
      <c r="AF9" s="699">
        <f t="shared" ref="AF9" si="7">+SUM(AF5:AF8)</f>
        <v>44379115.889999956</v>
      </c>
      <c r="AJ9" s="703">
        <f t="shared" ref="AJ9" si="8">+SUM(AJ5:AJ8)</f>
        <v>134347724.08000004</v>
      </c>
    </row>
    <row r="10" spans="1:37" x14ac:dyDescent="0.25">
      <c r="A10" s="707" t="s">
        <v>52</v>
      </c>
      <c r="B10" s="698"/>
      <c r="C10" s="698">
        <f>+SUMIF($F$173:$F$209,"c",$D$173:$D$209)</f>
        <v>0</v>
      </c>
      <c r="D10" s="698"/>
      <c r="E10" s="685"/>
      <c r="F10" s="702"/>
      <c r="G10" s="702">
        <f>+SUMIF($K$173:$K$209,"c",$J$173:$J$209)</f>
        <v>578016.13</v>
      </c>
      <c r="H10" s="702"/>
      <c r="I10" s="702">
        <f>+D312</f>
        <v>578016.13</v>
      </c>
      <c r="J10" s="698"/>
      <c r="K10" s="698">
        <f>+SUMIF($Q$172:$Q$209,"c",$P$172:$P$209)</f>
        <v>0</v>
      </c>
      <c r="L10" s="698"/>
      <c r="M10" s="685"/>
      <c r="N10" s="702"/>
      <c r="O10" s="702">
        <f>+SUMIF($W$172:$W$209,"c",$V$172:$V$209)</f>
        <v>9110275</v>
      </c>
      <c r="P10" s="702">
        <f>+F251</f>
        <v>746443</v>
      </c>
      <c r="Q10" s="702">
        <f>+D325+D326+D327+D330</f>
        <v>13555179.370000001</v>
      </c>
      <c r="R10" s="705">
        <f t="shared" ref="R10:U13" si="9">+B10+F10+J10+N10</f>
        <v>0</v>
      </c>
      <c r="S10" s="705">
        <f t="shared" si="9"/>
        <v>9688291.1300000008</v>
      </c>
      <c r="T10" s="705">
        <f t="shared" si="9"/>
        <v>746443</v>
      </c>
      <c r="U10" s="705">
        <f t="shared" si="9"/>
        <v>14133195.500000002</v>
      </c>
      <c r="V10" s="698"/>
      <c r="X10" s="698">
        <f>G251</f>
        <v>3527551.0399999977</v>
      </c>
      <c r="Z10" s="702"/>
      <c r="AB10" s="702">
        <f>H251</f>
        <v>2160361.9200000023</v>
      </c>
      <c r="AD10" s="698"/>
      <c r="AF10" s="698">
        <f>I251</f>
        <v>1319858.2000000023</v>
      </c>
      <c r="AJ10" s="702">
        <f>J251</f>
        <v>1602294.4399999976</v>
      </c>
    </row>
    <row r="11" spans="1:37" x14ac:dyDescent="0.25">
      <c r="A11" s="707" t="s">
        <v>123</v>
      </c>
      <c r="B11" s="700">
        <f>+C58</f>
        <v>0</v>
      </c>
      <c r="C11" s="698">
        <f>+SUMIF($E$173:$E$209,"cnd",$D$173:$D$209)</f>
        <v>5877000.8600000003</v>
      </c>
      <c r="D11" s="698">
        <f>+C260</f>
        <v>5717467</v>
      </c>
      <c r="E11" s="685"/>
      <c r="F11" s="702">
        <f>+D58+H58</f>
        <v>1959027</v>
      </c>
      <c r="G11" s="702">
        <f>+SUMIF($K$172:$K$209,"cnd",$J$172:$J$209)</f>
        <v>497671.17</v>
      </c>
      <c r="H11" s="702">
        <f>+D260</f>
        <v>0</v>
      </c>
      <c r="I11" s="686"/>
      <c r="J11" s="698">
        <f>+I58+M58</f>
        <v>702039</v>
      </c>
      <c r="K11" s="698">
        <f>+SUMIF($Q$173:$Q$209,"cnd",$P$173:$P$209)</f>
        <v>0</v>
      </c>
      <c r="L11" s="698">
        <f>+E260</f>
        <v>0</v>
      </c>
      <c r="M11" s="685"/>
      <c r="N11" s="702"/>
      <c r="O11" s="702">
        <f>+SUMIF($W$172:$W$209,"cnd",$V$172:$V$209)</f>
        <v>0</v>
      </c>
      <c r="P11" s="702">
        <f>+F260</f>
        <v>24825</v>
      </c>
      <c r="Q11" s="686"/>
      <c r="R11" s="705">
        <f t="shared" si="9"/>
        <v>2661066</v>
      </c>
      <c r="S11" s="705">
        <f t="shared" si="9"/>
        <v>6374672.0300000003</v>
      </c>
      <c r="T11" s="705">
        <f t="shared" si="9"/>
        <v>5742292</v>
      </c>
      <c r="U11" s="705">
        <f t="shared" si="9"/>
        <v>0</v>
      </c>
      <c r="V11" s="698"/>
      <c r="X11" s="698">
        <f>G260</f>
        <v>12679.559999999823</v>
      </c>
      <c r="Z11" s="702"/>
      <c r="AB11" s="702">
        <f>H260</f>
        <v>6420.440000000177</v>
      </c>
      <c r="AD11" s="698"/>
      <c r="AF11" s="698">
        <f>I260</f>
        <v>2883960.1999999997</v>
      </c>
      <c r="AJ11" s="702">
        <f>J260</f>
        <v>6087306.8000000007</v>
      </c>
    </row>
    <row r="12" spans="1:37" x14ac:dyDescent="0.25">
      <c r="A12" s="707" t="s">
        <v>508</v>
      </c>
      <c r="B12" s="698"/>
      <c r="C12" s="698"/>
      <c r="D12" s="698"/>
      <c r="E12" s="685"/>
      <c r="F12" s="702"/>
      <c r="G12" s="702">
        <f>+SUMIF($K$173:$K$209,"h",$J$173:$J$209)</f>
        <v>3436216.84</v>
      </c>
      <c r="H12" s="702">
        <f>+D270</f>
        <v>3235267</v>
      </c>
      <c r="I12" s="686"/>
      <c r="J12" s="698"/>
      <c r="K12" s="698">
        <f>+SUMIF($Q$173:$Q$209,"h",$P$173:$P$209)</f>
        <v>2665531.7999999998</v>
      </c>
      <c r="L12" s="698">
        <f>+E270</f>
        <v>4075988</v>
      </c>
      <c r="M12" s="685"/>
      <c r="N12" s="702"/>
      <c r="O12" s="702">
        <f>+SUMIF($W$172:$W$209,"h",$V$172:$V$209)</f>
        <v>0</v>
      </c>
      <c r="P12" s="702">
        <f>+F270</f>
        <v>0</v>
      </c>
      <c r="Q12" s="686"/>
      <c r="R12" s="705">
        <f t="shared" si="9"/>
        <v>0</v>
      </c>
      <c r="S12" s="705">
        <f t="shared" si="9"/>
        <v>6101748.6399999997</v>
      </c>
      <c r="T12" s="705">
        <f t="shared" si="9"/>
        <v>7311255</v>
      </c>
      <c r="U12" s="705">
        <f t="shared" si="9"/>
        <v>0</v>
      </c>
      <c r="V12" s="698"/>
      <c r="X12" s="698"/>
      <c r="Z12" s="702"/>
      <c r="AB12" s="702"/>
      <c r="AD12" s="698"/>
      <c r="AF12" s="698"/>
      <c r="AJ12" s="702"/>
    </row>
    <row r="13" spans="1:37" s="110" customFormat="1" x14ac:dyDescent="0.25">
      <c r="A13" s="704" t="s">
        <v>28</v>
      </c>
      <c r="B13" s="699">
        <f>+SUM(B5:B12)-B9</f>
        <v>362065168</v>
      </c>
      <c r="C13" s="699">
        <f>+SUM(C5:C12)-C9</f>
        <v>388637339.88</v>
      </c>
      <c r="D13" s="699">
        <f>+SUM(D5:D12)-D9</f>
        <v>349370799</v>
      </c>
      <c r="E13" s="697"/>
      <c r="F13" s="703">
        <f t="shared" ref="F13:Q13" si="10">+SUM(F5:F12)-F9</f>
        <v>29322027</v>
      </c>
      <c r="G13" s="703">
        <f t="shared" si="10"/>
        <v>79154101.719999984</v>
      </c>
      <c r="H13" s="703">
        <f t="shared" si="10"/>
        <v>85395889</v>
      </c>
      <c r="I13" s="703">
        <f t="shared" si="10"/>
        <v>2983878.17</v>
      </c>
      <c r="J13" s="699">
        <f t="shared" si="10"/>
        <v>14322039</v>
      </c>
      <c r="K13" s="699">
        <f t="shared" si="10"/>
        <v>59433100.139999986</v>
      </c>
      <c r="L13" s="699">
        <f t="shared" si="10"/>
        <v>75425426</v>
      </c>
      <c r="M13" s="699">
        <f t="shared" si="10"/>
        <v>92921541.75999999</v>
      </c>
      <c r="N13" s="703">
        <f t="shared" si="10"/>
        <v>59046845</v>
      </c>
      <c r="O13" s="703">
        <f t="shared" si="10"/>
        <v>57961859.550000004</v>
      </c>
      <c r="P13" s="703">
        <f t="shared" si="10"/>
        <v>37324530</v>
      </c>
      <c r="Q13" s="703">
        <f t="shared" si="10"/>
        <v>47206702.000000007</v>
      </c>
      <c r="R13" s="706">
        <f t="shared" si="9"/>
        <v>464756079</v>
      </c>
      <c r="S13" s="706">
        <f t="shared" si="9"/>
        <v>585186401.28999996</v>
      </c>
      <c r="T13" s="706">
        <f t="shared" si="9"/>
        <v>547516644</v>
      </c>
      <c r="U13" s="706">
        <f t="shared" si="9"/>
        <v>143112121.93000001</v>
      </c>
      <c r="V13" s="699">
        <f t="shared" ref="V13:X13" si="11">+SUM(V5:V12)-V9</f>
        <v>35223954.189999998</v>
      </c>
      <c r="X13" s="699">
        <f t="shared" si="11"/>
        <v>74424288.070000008</v>
      </c>
      <c r="Z13" s="703">
        <f t="shared" ref="Z13" si="12">+SUM(Z5:Z12)-Z9</f>
        <v>61355879.249600001</v>
      </c>
      <c r="AB13" s="703">
        <f t="shared" ref="AB13" si="13">+SUM(AB5:AB12)-AB9</f>
        <v>116462695.91999999</v>
      </c>
      <c r="AD13" s="699">
        <f t="shared" ref="AD13" si="14">+SUM(AD5:AD12)-AD9</f>
        <v>10557663.59</v>
      </c>
      <c r="AF13" s="699">
        <f t="shared" ref="AF13" si="15">+SUM(AF5:AF12)-AF9</f>
        <v>48582934.289999962</v>
      </c>
      <c r="AJ13" s="703">
        <f t="shared" ref="AJ13" si="16">+SUM(AJ5:AJ12)-AJ9</f>
        <v>142037325.32000005</v>
      </c>
    </row>
    <row r="14" spans="1:37" x14ac:dyDescent="0.25">
      <c r="A14" s="707" t="s">
        <v>509</v>
      </c>
      <c r="B14" s="698"/>
      <c r="C14" s="698">
        <f>+D204</f>
        <v>388637339.88</v>
      </c>
      <c r="D14" s="698"/>
      <c r="E14" s="698"/>
      <c r="F14" s="702"/>
      <c r="G14" s="702">
        <f>+J209</f>
        <v>79154101.720000014</v>
      </c>
      <c r="H14" s="702"/>
      <c r="I14" s="702"/>
      <c r="J14" s="698"/>
      <c r="K14" s="698">
        <f>+P187</f>
        <v>59433100.139999993</v>
      </c>
      <c r="L14" s="698"/>
      <c r="M14" s="698"/>
      <c r="N14" s="702"/>
      <c r="O14" s="702">
        <f>+V187</f>
        <v>48851584.550000004</v>
      </c>
      <c r="P14" s="702"/>
      <c r="Q14" s="686"/>
      <c r="R14" s="707"/>
      <c r="S14" s="707"/>
      <c r="T14" s="707"/>
      <c r="U14" s="707"/>
      <c r="V14" s="698"/>
      <c r="X14" s="698"/>
      <c r="Z14" s="702"/>
      <c r="AB14" s="702"/>
      <c r="AD14" s="698"/>
      <c r="AF14" s="698"/>
      <c r="AJ14" s="702"/>
    </row>
    <row r="15" spans="1:37" x14ac:dyDescent="0.25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</row>
    <row r="16" spans="1:37" ht="15.75" thickBot="1" x14ac:dyDescent="0.3">
      <c r="B16" s="110" t="s">
        <v>510</v>
      </c>
      <c r="I16" s="108" t="s">
        <v>511</v>
      </c>
      <c r="J16" s="108"/>
      <c r="K16" s="108"/>
      <c r="L16" s="108"/>
      <c r="M16" s="108"/>
      <c r="N16" s="108"/>
      <c r="O16" s="108"/>
      <c r="P16" s="108"/>
    </row>
    <row r="17" spans="1:16" ht="15.75" thickBot="1" x14ac:dyDescent="0.3">
      <c r="A17" s="382" t="s">
        <v>223</v>
      </c>
      <c r="B17" s="399" t="s">
        <v>512</v>
      </c>
      <c r="C17" s="399" t="s">
        <v>505</v>
      </c>
      <c r="D17" s="382" t="s">
        <v>504</v>
      </c>
      <c r="E17" s="399" t="s">
        <v>506</v>
      </c>
      <c r="F17" s="399" t="s">
        <v>513</v>
      </c>
      <c r="G17" s="399" t="s">
        <v>514</v>
      </c>
      <c r="I17" s="108"/>
      <c r="J17" s="108"/>
      <c r="K17" s="108"/>
      <c r="L17" s="108"/>
      <c r="M17" s="108"/>
      <c r="N17" s="108"/>
      <c r="O17" s="108"/>
      <c r="P17" s="108"/>
    </row>
    <row r="18" spans="1:16" x14ac:dyDescent="0.25">
      <c r="A18" s="692">
        <v>2017</v>
      </c>
      <c r="B18" s="693">
        <f>+B13</f>
        <v>362065168</v>
      </c>
      <c r="C18" s="693">
        <f>+D13</f>
        <v>349370799</v>
      </c>
      <c r="D18" s="693">
        <f>+C13</f>
        <v>388637339.88</v>
      </c>
      <c r="E18" s="693">
        <f>+D352</f>
        <v>341353660.95000005</v>
      </c>
      <c r="F18" s="693">
        <f>+B372</f>
        <v>350135287.66999912</v>
      </c>
      <c r="G18" s="693">
        <f>+B403</f>
        <v>282869827</v>
      </c>
      <c r="I18" s="108" t="s">
        <v>504</v>
      </c>
      <c r="J18" s="696" t="s">
        <v>515</v>
      </c>
      <c r="K18" s="108"/>
      <c r="L18" s="108"/>
      <c r="M18" s="108"/>
      <c r="N18" s="108"/>
      <c r="O18" s="108"/>
      <c r="P18" s="108"/>
    </row>
    <row r="19" spans="1:16" x14ac:dyDescent="0.25">
      <c r="A19" s="655">
        <v>2018</v>
      </c>
      <c r="B19" s="654">
        <f>+F13</f>
        <v>29322027</v>
      </c>
      <c r="C19" s="654">
        <f>+H13</f>
        <v>85395889</v>
      </c>
      <c r="D19" s="654">
        <f>+G13</f>
        <v>79154101.719999984</v>
      </c>
      <c r="E19" s="654">
        <f>+D310+D330+D331</f>
        <v>7528077.919999999</v>
      </c>
      <c r="F19" s="654">
        <f>+B373</f>
        <v>14935319</v>
      </c>
      <c r="G19" s="654">
        <f>+C403</f>
        <v>60178293</v>
      </c>
      <c r="I19" s="108" t="s">
        <v>506</v>
      </c>
      <c r="J19" s="696" t="s">
        <v>516</v>
      </c>
      <c r="K19" s="108"/>
      <c r="L19" s="108"/>
      <c r="M19" s="108"/>
      <c r="N19" s="108"/>
      <c r="O19" s="108"/>
      <c r="P19" s="108"/>
    </row>
    <row r="20" spans="1:16" x14ac:dyDescent="0.25">
      <c r="A20" s="655">
        <v>2019</v>
      </c>
      <c r="B20" s="654">
        <f>+J13</f>
        <v>14322039</v>
      </c>
      <c r="C20" s="654">
        <f>+L13</f>
        <v>75425426</v>
      </c>
      <c r="D20" s="654">
        <f>+K13</f>
        <v>59433100.139999986</v>
      </c>
      <c r="E20" s="654">
        <f>+D311+D312+D313+D314+D315+D317+D316</f>
        <v>52560497.82</v>
      </c>
      <c r="F20" s="654">
        <f>+B374</f>
        <v>156857798</v>
      </c>
      <c r="G20" s="654">
        <f>+D403</f>
        <v>43166620</v>
      </c>
      <c r="I20" s="108" t="s">
        <v>513</v>
      </c>
      <c r="J20" s="108" t="s">
        <v>517</v>
      </c>
      <c r="K20" s="108"/>
      <c r="L20" s="108"/>
      <c r="M20" s="108"/>
      <c r="N20" s="108"/>
      <c r="O20" s="108"/>
      <c r="P20" s="108"/>
    </row>
    <row r="21" spans="1:16" x14ac:dyDescent="0.25">
      <c r="A21" s="655">
        <v>2020</v>
      </c>
      <c r="B21" s="654">
        <f>N13</f>
        <v>59046845</v>
      </c>
      <c r="C21" s="654">
        <f>+P13</f>
        <v>37324530</v>
      </c>
      <c r="D21" s="654">
        <f>+O13</f>
        <v>57961859.550000004</v>
      </c>
      <c r="E21" s="654">
        <f>+SUM(D317:D329)</f>
        <v>86378658.25999999</v>
      </c>
      <c r="F21" s="654">
        <f>+B375</f>
        <v>54973641</v>
      </c>
      <c r="G21" s="654">
        <f>+E403</f>
        <v>44305837</v>
      </c>
      <c r="I21" s="108" t="s">
        <v>1330</v>
      </c>
      <c r="J21" s="108" t="s">
        <v>1331</v>
      </c>
      <c r="K21" s="108"/>
      <c r="L21" s="108"/>
      <c r="M21" s="108"/>
      <c r="N21" s="108"/>
      <c r="O21" s="108"/>
      <c r="P21" s="108"/>
    </row>
    <row r="22" spans="1:16" x14ac:dyDescent="0.25">
      <c r="A22" s="655">
        <v>2021</v>
      </c>
      <c r="I22" s="108"/>
      <c r="J22" s="108"/>
      <c r="K22" s="108"/>
      <c r="L22" s="108"/>
      <c r="M22" s="108"/>
      <c r="N22" s="108"/>
      <c r="O22" s="108"/>
      <c r="P22" s="108"/>
    </row>
    <row r="23" spans="1:16" x14ac:dyDescent="0.25">
      <c r="A23" s="655">
        <v>2022</v>
      </c>
      <c r="B23" s="108"/>
      <c r="C23" s="108"/>
      <c r="D23" s="108"/>
      <c r="E23" s="108"/>
      <c r="F23" s="108"/>
      <c r="G23" s="108"/>
      <c r="I23" s="108"/>
      <c r="J23" s="108"/>
      <c r="K23" s="108"/>
      <c r="L23" s="108"/>
      <c r="M23" s="108"/>
      <c r="N23" s="108"/>
      <c r="O23" s="108"/>
      <c r="P23" s="108"/>
    </row>
    <row r="24" spans="1:16" x14ac:dyDescent="0.25">
      <c r="A24" s="655">
        <v>2023</v>
      </c>
      <c r="B24" s="108"/>
      <c r="C24" s="108"/>
      <c r="D24" s="108"/>
      <c r="E24" s="108"/>
      <c r="F24" s="108"/>
      <c r="G24" s="108"/>
      <c r="I24" s="108"/>
      <c r="J24" s="108"/>
      <c r="K24" s="108"/>
      <c r="L24" s="108"/>
      <c r="M24" s="108"/>
      <c r="N24" s="108"/>
      <c r="O24" s="108"/>
      <c r="P24" s="108"/>
    </row>
    <row r="25" spans="1:16" x14ac:dyDescent="0.25">
      <c r="A25" s="655">
        <v>2024</v>
      </c>
      <c r="B25" s="108"/>
      <c r="C25" s="108"/>
      <c r="D25" s="108"/>
      <c r="E25" s="108"/>
      <c r="F25" s="108"/>
      <c r="G25" s="108"/>
      <c r="I25" s="108"/>
      <c r="J25" s="108"/>
      <c r="K25" s="108"/>
      <c r="L25" s="108"/>
      <c r="M25" s="108"/>
      <c r="N25" s="108"/>
      <c r="O25" s="108"/>
      <c r="P25" s="108"/>
    </row>
    <row r="26" spans="1:16" x14ac:dyDescent="0.25">
      <c r="A26" s="655" t="s">
        <v>28</v>
      </c>
      <c r="B26" s="654">
        <f>+SUM(B22:B25)</f>
        <v>0</v>
      </c>
      <c r="C26" s="654">
        <f t="shared" ref="C26:G26" si="17">+SUM(C22:C25)</f>
        <v>0</v>
      </c>
      <c r="D26" s="654">
        <f t="shared" si="17"/>
        <v>0</v>
      </c>
      <c r="E26" s="654">
        <f t="shared" si="17"/>
        <v>0</v>
      </c>
      <c r="F26" s="654">
        <f t="shared" si="17"/>
        <v>0</v>
      </c>
      <c r="G26" s="654">
        <f t="shared" si="17"/>
        <v>0</v>
      </c>
      <c r="I26" s="108"/>
      <c r="J26" s="108"/>
      <c r="K26" s="108"/>
      <c r="L26" s="108"/>
      <c r="M26" s="108"/>
      <c r="N26" s="108"/>
      <c r="O26" s="108"/>
      <c r="P26" s="108"/>
    </row>
    <row r="27" spans="1:16" x14ac:dyDescent="0.25">
      <c r="A27" s="881"/>
      <c r="B27" s="108"/>
      <c r="C27" s="108"/>
      <c r="D27" s="108"/>
      <c r="E27" s="108"/>
      <c r="F27" s="108"/>
      <c r="G27" s="108"/>
      <c r="I27" s="108"/>
      <c r="J27" s="108"/>
      <c r="K27" s="108"/>
      <c r="L27" s="108"/>
      <c r="M27" s="108"/>
      <c r="N27" s="108"/>
      <c r="O27" s="108"/>
      <c r="P27" s="108"/>
    </row>
    <row r="28" spans="1:16" x14ac:dyDescent="0.25">
      <c r="I28" s="108"/>
      <c r="J28" s="108"/>
      <c r="K28" s="108"/>
      <c r="L28" s="108"/>
      <c r="M28" s="108"/>
      <c r="N28" s="108"/>
      <c r="O28" s="108"/>
      <c r="P28" s="108"/>
    </row>
    <row r="29" spans="1:16" ht="15.75" thickBot="1" x14ac:dyDescent="0.3">
      <c r="B29" s="110" t="s">
        <v>518</v>
      </c>
      <c r="I29" s="108"/>
      <c r="J29" s="108"/>
      <c r="K29" s="108"/>
      <c r="L29" s="108"/>
      <c r="M29" s="108"/>
      <c r="N29" s="108"/>
      <c r="O29" s="108"/>
      <c r="P29" s="108"/>
    </row>
    <row r="30" spans="1:16" ht="15.75" thickBot="1" x14ac:dyDescent="0.3">
      <c r="A30" s="382" t="s">
        <v>223</v>
      </c>
      <c r="B30" s="653" t="s">
        <v>512</v>
      </c>
      <c r="C30" s="653" t="s">
        <v>505</v>
      </c>
      <c r="D30" s="652" t="s">
        <v>504</v>
      </c>
      <c r="E30" s="653" t="s">
        <v>506</v>
      </c>
      <c r="F30" s="653" t="s">
        <v>519</v>
      </c>
      <c r="G30" s="653" t="s">
        <v>1330</v>
      </c>
      <c r="I30" s="108"/>
      <c r="J30" s="108"/>
      <c r="K30" s="108"/>
      <c r="L30" s="108"/>
      <c r="M30" s="108"/>
      <c r="N30" s="108"/>
      <c r="O30" s="108"/>
      <c r="P30" s="108"/>
    </row>
    <row r="31" spans="1:16" x14ac:dyDescent="0.25">
      <c r="A31" s="692">
        <v>2017</v>
      </c>
      <c r="B31" s="654">
        <f>+B9</f>
        <v>362065168</v>
      </c>
      <c r="C31" s="654">
        <f>+D9</f>
        <v>343653332</v>
      </c>
      <c r="D31" s="654">
        <f>+C9</f>
        <v>382760339.01999998</v>
      </c>
      <c r="E31" s="654">
        <f>+E9</f>
        <v>341353660.95000005</v>
      </c>
      <c r="F31" s="654">
        <f>+SUM('Base de Capital'!F25:F36)+SUM('Base de Capital'!F45:F47)</f>
        <v>344891036.36000001</v>
      </c>
      <c r="G31" s="654"/>
      <c r="I31" t="s">
        <v>520</v>
      </c>
      <c r="J31" s="108"/>
      <c r="K31" s="108"/>
      <c r="L31" s="108"/>
      <c r="M31" s="108"/>
      <c r="N31" s="108"/>
      <c r="O31" s="108"/>
      <c r="P31" s="108"/>
    </row>
    <row r="32" spans="1:16" x14ac:dyDescent="0.25">
      <c r="A32" s="655">
        <v>2018</v>
      </c>
      <c r="B32" s="654">
        <f>+F9</f>
        <v>27363000</v>
      </c>
      <c r="C32" s="654">
        <f>+H9</f>
        <v>82160622</v>
      </c>
      <c r="D32" s="654">
        <f>+G9</f>
        <v>74642197.579999998</v>
      </c>
      <c r="E32" s="654">
        <f>+I9</f>
        <v>2405862.04</v>
      </c>
      <c r="F32" s="654">
        <f>+SUM('Base de Capital'!P25:P36)+SUM('Base de Capital'!P45:P47)</f>
        <v>51353109.710000001</v>
      </c>
      <c r="G32" s="654"/>
      <c r="J32" s="108"/>
      <c r="K32" s="108"/>
      <c r="L32" s="108"/>
      <c r="M32" s="108"/>
      <c r="N32" s="108"/>
      <c r="O32" s="108"/>
      <c r="P32" s="108"/>
    </row>
    <row r="33" spans="1:40" x14ac:dyDescent="0.25">
      <c r="A33" s="655">
        <v>2019</v>
      </c>
      <c r="B33" s="654">
        <f>+J9</f>
        <v>13620000</v>
      </c>
      <c r="C33" s="654">
        <f>+L9</f>
        <v>71349438</v>
      </c>
      <c r="D33" s="654">
        <f>+K9</f>
        <v>56767568.339999989</v>
      </c>
      <c r="E33" s="654">
        <f>+M9</f>
        <v>92921541.75999999</v>
      </c>
      <c r="F33" s="654">
        <f>+SUM('Base de Capital'!Z25:Z36)+SUM('Base de Capital'!Z45:Z47)</f>
        <v>15026310.890000001</v>
      </c>
      <c r="G33" s="654"/>
      <c r="J33" s="108"/>
      <c r="K33" s="108"/>
      <c r="L33" s="108"/>
      <c r="M33" s="108"/>
      <c r="N33" s="108"/>
      <c r="O33" s="108"/>
      <c r="P33" s="108"/>
    </row>
    <row r="34" spans="1:40" x14ac:dyDescent="0.25">
      <c r="A34" s="655">
        <v>2020</v>
      </c>
      <c r="B34" s="654">
        <f>+N9</f>
        <v>59046845</v>
      </c>
      <c r="C34" s="654">
        <f>+P9</f>
        <v>36553262</v>
      </c>
      <c r="D34" s="654">
        <f>+O13</f>
        <v>57961859.550000004</v>
      </c>
      <c r="E34" s="654">
        <f>+Q9</f>
        <v>33651522.630000003</v>
      </c>
      <c r="F34" s="654">
        <f>+SUM('Base de Capital'!AJ25:AJ36)+SUM('Base de Capital'!AJ45:AJ47)</f>
        <v>54090145.359999999</v>
      </c>
      <c r="G34" s="654"/>
      <c r="I34" t="s">
        <v>521</v>
      </c>
      <c r="J34" s="108"/>
      <c r="K34" s="108"/>
      <c r="L34" s="108"/>
      <c r="M34" s="108"/>
      <c r="N34" s="108"/>
      <c r="O34" s="108"/>
      <c r="P34" s="108"/>
    </row>
    <row r="35" spans="1:40" x14ac:dyDescent="0.25">
      <c r="A35" s="655">
        <v>2021</v>
      </c>
      <c r="B35" s="654">
        <f>V9</f>
        <v>35223954.189999998</v>
      </c>
      <c r="C35" s="654">
        <f>X9</f>
        <v>70884057.470000014</v>
      </c>
      <c r="G35" s="654">
        <f>C69</f>
        <v>74462308.189997226</v>
      </c>
      <c r="I35" s="108"/>
      <c r="J35" s="108"/>
      <c r="K35" s="108"/>
      <c r="L35" s="108"/>
      <c r="M35" s="108"/>
      <c r="N35" s="108"/>
      <c r="O35" s="108"/>
      <c r="P35" s="108"/>
    </row>
    <row r="36" spans="1:40" x14ac:dyDescent="0.25">
      <c r="A36" s="655">
        <v>2022</v>
      </c>
      <c r="B36" s="654">
        <f>Z9</f>
        <v>61355879.249600001</v>
      </c>
      <c r="C36" s="654">
        <f>AB9</f>
        <v>114295913.55999997</v>
      </c>
      <c r="D36" s="108"/>
      <c r="E36" s="108"/>
      <c r="F36" s="108"/>
      <c r="G36" s="654">
        <f>D69</f>
        <v>110278023.94999963</v>
      </c>
      <c r="I36" s="108"/>
      <c r="J36" s="108"/>
      <c r="K36" s="108"/>
      <c r="L36" s="108"/>
      <c r="M36" s="108"/>
      <c r="N36" s="108"/>
      <c r="O36" s="108"/>
      <c r="P36" s="108"/>
    </row>
    <row r="37" spans="1:40" x14ac:dyDescent="0.25">
      <c r="A37" s="655">
        <v>2023</v>
      </c>
      <c r="B37" s="654">
        <f>AD9</f>
        <v>10557663.59</v>
      </c>
      <c r="C37" s="654">
        <f>AF9</f>
        <v>44379115.889999956</v>
      </c>
      <c r="D37" s="108"/>
      <c r="E37" s="108"/>
      <c r="F37" s="108"/>
      <c r="G37" s="654">
        <f>E69</f>
        <v>18949000.850000024</v>
      </c>
      <c r="I37" s="108"/>
      <c r="J37" s="108"/>
      <c r="K37" s="108"/>
      <c r="L37" s="108"/>
      <c r="M37" s="108"/>
      <c r="N37" s="108"/>
      <c r="O37" s="108"/>
      <c r="P37" s="108"/>
    </row>
    <row r="38" spans="1:40" x14ac:dyDescent="0.25">
      <c r="A38" s="655">
        <v>2024</v>
      </c>
      <c r="B38" s="654">
        <f>AH9</f>
        <v>0</v>
      </c>
      <c r="C38" s="654">
        <f>AJ9</f>
        <v>134347724.08000004</v>
      </c>
      <c r="D38" s="108"/>
      <c r="E38" s="108"/>
      <c r="F38" s="108"/>
      <c r="G38" s="654">
        <f>F69</f>
        <v>136163672.2799997</v>
      </c>
      <c r="I38" s="108"/>
      <c r="J38" s="108"/>
      <c r="K38" s="108"/>
      <c r="L38" s="108"/>
      <c r="M38" s="108"/>
      <c r="N38" s="108"/>
      <c r="O38" s="108"/>
      <c r="P38" s="108"/>
    </row>
    <row r="39" spans="1:40" x14ac:dyDescent="0.25">
      <c r="A39" s="655" t="s">
        <v>1332</v>
      </c>
      <c r="B39" s="861">
        <f>+SUM(B35:B37)</f>
        <v>107137497.02959999</v>
      </c>
      <c r="C39" s="861">
        <f t="shared" ref="C39:G39" si="18">+SUM(C35:C37)</f>
        <v>229559086.91999993</v>
      </c>
      <c r="D39" s="861">
        <f t="shared" si="18"/>
        <v>0</v>
      </c>
      <c r="E39" s="861">
        <f t="shared" si="18"/>
        <v>0</v>
      </c>
      <c r="F39" s="861">
        <f t="shared" si="18"/>
        <v>0</v>
      </c>
      <c r="G39" s="861">
        <f t="shared" si="18"/>
        <v>203689332.98999688</v>
      </c>
      <c r="I39" s="108"/>
      <c r="J39" s="108"/>
      <c r="K39" s="108"/>
      <c r="L39" s="108"/>
      <c r="M39" s="108"/>
      <c r="N39" s="108"/>
      <c r="O39" s="108"/>
      <c r="P39" s="108"/>
    </row>
    <row r="41" spans="1:40" s="709" customFormat="1" x14ac:dyDescent="0.25">
      <c r="A41" s="708" t="s">
        <v>522</v>
      </c>
    </row>
    <row r="42" spans="1:40" x14ac:dyDescent="0.25">
      <c r="B42" t="s">
        <v>523</v>
      </c>
      <c r="G42" t="s">
        <v>524</v>
      </c>
      <c r="L42" t="s">
        <v>525</v>
      </c>
      <c r="Q42" t="s">
        <v>526</v>
      </c>
      <c r="U42" t="s">
        <v>1317</v>
      </c>
      <c r="Z42" t="s">
        <v>1312</v>
      </c>
      <c r="AE42" t="s">
        <v>1312</v>
      </c>
      <c r="AJ42" t="s">
        <v>1312</v>
      </c>
    </row>
    <row r="43" spans="1:40" x14ac:dyDescent="0.25">
      <c r="B43" t="s">
        <v>527</v>
      </c>
      <c r="G43" t="s">
        <v>528</v>
      </c>
      <c r="L43" t="s">
        <v>529</v>
      </c>
      <c r="Q43" t="s">
        <v>530</v>
      </c>
      <c r="U43" t="s">
        <v>1311</v>
      </c>
      <c r="Z43" t="s">
        <v>1313</v>
      </c>
      <c r="AE43" t="s">
        <v>1314</v>
      </c>
      <c r="AJ43" t="s">
        <v>1315</v>
      </c>
    </row>
    <row r="44" spans="1:40" x14ac:dyDescent="0.25">
      <c r="B44" t="s">
        <v>531</v>
      </c>
      <c r="C44" t="s">
        <v>465</v>
      </c>
      <c r="D44" t="s">
        <v>532</v>
      </c>
      <c r="E44" t="s">
        <v>533</v>
      </c>
      <c r="G44" t="s">
        <v>531</v>
      </c>
      <c r="H44" t="s">
        <v>465</v>
      </c>
      <c r="I44" t="s">
        <v>532</v>
      </c>
      <c r="J44" t="s">
        <v>533</v>
      </c>
      <c r="L44" t="s">
        <v>531</v>
      </c>
      <c r="M44" t="s">
        <v>465</v>
      </c>
      <c r="N44" t="s">
        <v>532</v>
      </c>
      <c r="O44" t="s">
        <v>533</v>
      </c>
      <c r="Q44" t="s">
        <v>531</v>
      </c>
      <c r="R44" t="s">
        <v>465</v>
      </c>
      <c r="S44" t="s">
        <v>532</v>
      </c>
      <c r="T44" t="s">
        <v>533</v>
      </c>
      <c r="U44" t="s">
        <v>792</v>
      </c>
      <c r="V44" t="s">
        <v>531</v>
      </c>
      <c r="W44" t="s">
        <v>465</v>
      </c>
      <c r="X44" t="s">
        <v>1316</v>
      </c>
      <c r="Y44" t="s">
        <v>533</v>
      </c>
      <c r="Z44" t="s">
        <v>792</v>
      </c>
      <c r="AA44" t="s">
        <v>531</v>
      </c>
      <c r="AB44" t="s">
        <v>465</v>
      </c>
      <c r="AC44" t="s">
        <v>1316</v>
      </c>
      <c r="AD44" t="s">
        <v>533</v>
      </c>
      <c r="AE44" t="s">
        <v>792</v>
      </c>
      <c r="AF44" t="s">
        <v>531</v>
      </c>
      <c r="AG44" t="s">
        <v>465</v>
      </c>
      <c r="AH44" t="s">
        <v>532</v>
      </c>
      <c r="AI44" t="s">
        <v>533</v>
      </c>
      <c r="AJ44" t="s">
        <v>792</v>
      </c>
      <c r="AK44" t="s">
        <v>531</v>
      </c>
      <c r="AL44" t="s">
        <v>465</v>
      </c>
      <c r="AM44" t="s">
        <v>532</v>
      </c>
      <c r="AN44" t="s">
        <v>533</v>
      </c>
    </row>
    <row r="45" spans="1:40" x14ac:dyDescent="0.25">
      <c r="A45" s="2" t="s">
        <v>534</v>
      </c>
      <c r="B45" t="s">
        <v>535</v>
      </c>
      <c r="D45" s="678">
        <f>355719168/1000</f>
        <v>355719.16800000001</v>
      </c>
      <c r="E45" s="108">
        <f>+D352</f>
        <v>341353660.95000005</v>
      </c>
      <c r="F45" t="s">
        <v>536</v>
      </c>
      <c r="G45" t="s">
        <v>535</v>
      </c>
      <c r="H45" s="633">
        <v>43267</v>
      </c>
      <c r="I45">
        <v>11745</v>
      </c>
      <c r="J45" t="s">
        <v>537</v>
      </c>
      <c r="K45" t="s">
        <v>261</v>
      </c>
      <c r="L45" t="s">
        <v>538</v>
      </c>
      <c r="M45" s="633">
        <v>43533</v>
      </c>
      <c r="N45" s="108">
        <v>9797</v>
      </c>
      <c r="O45" s="108">
        <f>$D$317</f>
        <v>7922683.1600000001</v>
      </c>
      <c r="P45" t="s">
        <v>273</v>
      </c>
      <c r="Q45" t="s">
        <v>538</v>
      </c>
      <c r="S45" s="108">
        <v>7869.0219999999999</v>
      </c>
      <c r="T45" s="108">
        <f>$D$320</f>
        <v>7869022</v>
      </c>
      <c r="U45" s="718" t="s">
        <v>471</v>
      </c>
      <c r="V45" t="s">
        <v>535</v>
      </c>
      <c r="W45" s="633">
        <v>44297</v>
      </c>
      <c r="X45" s="108">
        <f>'Base de Capital'!AT25</f>
        <v>3919615</v>
      </c>
      <c r="Z45" s="718" t="s">
        <v>473</v>
      </c>
      <c r="AA45" t="s">
        <v>535</v>
      </c>
      <c r="AB45" s="633">
        <v>44851</v>
      </c>
      <c r="AC45" s="108">
        <f>'Base de Capital'!BD25</f>
        <v>20333369</v>
      </c>
      <c r="AE45" s="718" t="s">
        <v>1321</v>
      </c>
      <c r="AF45" t="s">
        <v>535</v>
      </c>
      <c r="AG45" s="633">
        <v>44985</v>
      </c>
      <c r="AH45" s="108">
        <f>'Base de Capital'!BN25</f>
        <v>1429583.79</v>
      </c>
    </row>
    <row r="46" spans="1:40" x14ac:dyDescent="0.25">
      <c r="A46" t="s">
        <v>539</v>
      </c>
      <c r="B46" t="s">
        <v>535</v>
      </c>
      <c r="C46" s="633">
        <v>42765</v>
      </c>
      <c r="D46">
        <v>3956</v>
      </c>
      <c r="E46" s="108">
        <f>+D318</f>
        <v>41168546.75</v>
      </c>
      <c r="F46" t="s">
        <v>540</v>
      </c>
      <c r="G46" t="s">
        <v>538</v>
      </c>
      <c r="H46" s="633">
        <v>43254</v>
      </c>
      <c r="I46">
        <v>10432</v>
      </c>
      <c r="J46" s="108">
        <f>+D316</f>
        <v>14147444.039999999</v>
      </c>
      <c r="K46" t="s">
        <v>264</v>
      </c>
      <c r="L46" t="s">
        <v>538</v>
      </c>
      <c r="M46" s="633">
        <v>43661</v>
      </c>
      <c r="N46" s="108">
        <v>810</v>
      </c>
      <c r="O46" s="108">
        <f>+D329</f>
        <v>4096387.34</v>
      </c>
      <c r="P46" t="s">
        <v>541</v>
      </c>
      <c r="Q46" t="s">
        <v>538</v>
      </c>
      <c r="S46" s="108">
        <v>3921.8229999999999</v>
      </c>
      <c r="T46" s="108">
        <f>$D$328</f>
        <v>3921823.32</v>
      </c>
      <c r="U46" s="718" t="s">
        <v>472</v>
      </c>
      <c r="V46" t="s">
        <v>535</v>
      </c>
      <c r="W46" s="633">
        <v>44422</v>
      </c>
      <c r="X46" s="108">
        <f>'Base de Capital'!AT26</f>
        <v>2248642</v>
      </c>
      <c r="Z46" s="718" t="s">
        <v>474</v>
      </c>
      <c r="AA46" t="s">
        <v>535</v>
      </c>
      <c r="AB46" s="633">
        <v>44922</v>
      </c>
      <c r="AC46" s="108">
        <f>'Base de Capital'!BD26</f>
        <v>24863736.050000001</v>
      </c>
      <c r="AE46" s="718" t="s">
        <v>1322</v>
      </c>
      <c r="AF46" t="s">
        <v>535</v>
      </c>
      <c r="AG46" s="633">
        <v>45280</v>
      </c>
      <c r="AH46" s="108">
        <f>'Base de Capital'!BN26</f>
        <v>5892995.46</v>
      </c>
    </row>
    <row r="47" spans="1:40" x14ac:dyDescent="0.25">
      <c r="A47" t="s">
        <v>542</v>
      </c>
      <c r="B47" t="s">
        <v>538</v>
      </c>
      <c r="C47" s="633">
        <v>42942</v>
      </c>
      <c r="D47">
        <v>1029</v>
      </c>
      <c r="E47" s="108">
        <f>+D310</f>
        <v>2176375.36</v>
      </c>
      <c r="F47" t="s">
        <v>543</v>
      </c>
      <c r="G47" t="s">
        <v>538</v>
      </c>
      <c r="H47" s="633">
        <v>43202</v>
      </c>
      <c r="I47">
        <v>1854</v>
      </c>
      <c r="J47" t="s">
        <v>544</v>
      </c>
      <c r="K47" t="s">
        <v>267</v>
      </c>
      <c r="L47" t="s">
        <v>538</v>
      </c>
      <c r="M47" s="633">
        <v>43820</v>
      </c>
      <c r="N47" s="108">
        <v>720</v>
      </c>
      <c r="O47" s="108">
        <f>$D$322</f>
        <v>714240.39</v>
      </c>
      <c r="P47" t="s">
        <v>262</v>
      </c>
      <c r="Q47" t="s">
        <v>538</v>
      </c>
      <c r="S47" s="108">
        <v>33776</v>
      </c>
      <c r="T47" s="108">
        <f>+D315+D314</f>
        <v>29600584.809999999</v>
      </c>
      <c r="U47" s="718" t="s">
        <v>475</v>
      </c>
      <c r="V47" t="s">
        <v>535</v>
      </c>
      <c r="W47" s="633">
        <v>44296</v>
      </c>
      <c r="X47" s="108">
        <f>'Base de Capital'!AT27</f>
        <v>3703187</v>
      </c>
      <c r="Z47" s="718" t="s">
        <v>479</v>
      </c>
      <c r="AA47" t="s">
        <v>535</v>
      </c>
      <c r="AB47" s="633">
        <v>44639</v>
      </c>
      <c r="AC47" s="108">
        <f>'Base de Capital'!BD27</f>
        <v>6638770</v>
      </c>
      <c r="AE47" s="718" t="s">
        <v>1323</v>
      </c>
      <c r="AF47" t="s">
        <v>535</v>
      </c>
      <c r="AG47" s="633">
        <v>44994</v>
      </c>
      <c r="AH47" s="108">
        <f>'Base de Capital'!BN27</f>
        <v>1437272.1</v>
      </c>
    </row>
    <row r="48" spans="1:40" x14ac:dyDescent="0.25">
      <c r="A48" t="s">
        <v>545</v>
      </c>
      <c r="B48" t="s">
        <v>538</v>
      </c>
      <c r="C48" s="633">
        <v>43009</v>
      </c>
      <c r="D48">
        <v>588</v>
      </c>
      <c r="F48" t="s">
        <v>545</v>
      </c>
      <c r="G48" t="s">
        <v>538</v>
      </c>
      <c r="H48" s="633">
        <v>43252</v>
      </c>
      <c r="I48">
        <v>1806</v>
      </c>
      <c r="K48" t="s">
        <v>268</v>
      </c>
      <c r="L48" t="s">
        <v>538</v>
      </c>
      <c r="M48" s="633">
        <v>43516</v>
      </c>
      <c r="N48" s="108">
        <v>150</v>
      </c>
      <c r="O48" t="s">
        <v>544</v>
      </c>
      <c r="P48" t="s">
        <v>265</v>
      </c>
      <c r="Q48" t="s">
        <v>538</v>
      </c>
      <c r="S48" s="108">
        <v>10836</v>
      </c>
      <c r="T48" s="108">
        <f>$D$319</f>
        <v>10836128.48</v>
      </c>
      <c r="U48" s="718" t="s">
        <v>476</v>
      </c>
      <c r="V48" t="s">
        <v>535</v>
      </c>
      <c r="W48" s="633">
        <v>44338</v>
      </c>
      <c r="X48" s="108">
        <f>'Base de Capital'!AT28</f>
        <v>5611404</v>
      </c>
      <c r="Z48" s="718" t="s">
        <v>480</v>
      </c>
      <c r="AA48" t="s">
        <v>535</v>
      </c>
      <c r="AB48" s="633">
        <v>44911</v>
      </c>
      <c r="AC48" s="108">
        <f>'Base de Capital'!BD28</f>
        <v>2709667.92</v>
      </c>
    </row>
    <row r="49" spans="1:34" x14ac:dyDescent="0.25">
      <c r="C49" s="633"/>
      <c r="H49" s="633"/>
      <c r="M49" s="633"/>
      <c r="N49" s="108"/>
      <c r="S49" s="108"/>
      <c r="T49" s="108"/>
      <c r="U49" s="718" t="s">
        <v>477</v>
      </c>
      <c r="V49" t="s">
        <v>535</v>
      </c>
      <c r="W49" s="633">
        <v>44333</v>
      </c>
      <c r="X49" s="108">
        <f>'Base de Capital'!AT29</f>
        <v>6201396</v>
      </c>
      <c r="Z49" s="721" t="s">
        <v>1301</v>
      </c>
      <c r="AA49" t="s">
        <v>535</v>
      </c>
      <c r="AB49" s="633">
        <v>44733</v>
      </c>
      <c r="AC49" s="108">
        <f>'Base de Capital'!BD29</f>
        <v>4548909.0699999994</v>
      </c>
    </row>
    <row r="50" spans="1:34" x14ac:dyDescent="0.25">
      <c r="C50" s="633"/>
      <c r="H50" s="633"/>
      <c r="M50" s="633"/>
      <c r="N50" s="108"/>
      <c r="S50" s="108"/>
      <c r="T50" s="108"/>
      <c r="U50" s="718" t="s">
        <v>478</v>
      </c>
      <c r="V50" t="s">
        <v>535</v>
      </c>
      <c r="W50" s="633">
        <v>44284</v>
      </c>
      <c r="X50" s="108">
        <f>'Base de Capital'!AT30</f>
        <v>2035993</v>
      </c>
      <c r="AB50" s="633"/>
    </row>
    <row r="51" spans="1:34" x14ac:dyDescent="0.25">
      <c r="C51" s="633"/>
      <c r="H51" s="633"/>
      <c r="M51" s="633"/>
      <c r="N51" s="108"/>
      <c r="S51" s="108"/>
      <c r="T51" s="108"/>
      <c r="U51" s="721" t="s">
        <v>1298</v>
      </c>
      <c r="V51" t="s">
        <v>535</v>
      </c>
      <c r="W51" s="633">
        <v>44402</v>
      </c>
      <c r="X51" s="108">
        <f>'Base de Capital'!AT31</f>
        <v>5441127</v>
      </c>
      <c r="AB51" s="633"/>
    </row>
    <row r="52" spans="1:34" x14ac:dyDescent="0.25">
      <c r="C52" s="633"/>
      <c r="H52" s="633"/>
      <c r="M52" s="633"/>
      <c r="N52" s="108"/>
      <c r="S52" s="108"/>
      <c r="T52" s="108"/>
      <c r="U52" s="721" t="s">
        <v>1299</v>
      </c>
      <c r="V52" t="s">
        <v>535</v>
      </c>
      <c r="W52" s="633">
        <v>44550</v>
      </c>
      <c r="X52" s="108">
        <f>'Base de Capital'!AT32</f>
        <v>5167344</v>
      </c>
      <c r="AB52" s="633"/>
    </row>
    <row r="53" spans="1:34" x14ac:dyDescent="0.25">
      <c r="C53" s="633"/>
      <c r="H53" s="633"/>
      <c r="M53" s="633"/>
      <c r="N53" s="108"/>
      <c r="S53" s="108"/>
      <c r="T53" s="108"/>
      <c r="U53" s="718" t="s">
        <v>493</v>
      </c>
      <c r="V53" t="s">
        <v>535</v>
      </c>
      <c r="W53" s="633">
        <v>44316</v>
      </c>
      <c r="X53" s="108">
        <f>'Base de Capital'!AT33</f>
        <v>4213308</v>
      </c>
      <c r="AB53" s="633"/>
    </row>
    <row r="54" spans="1:34" x14ac:dyDescent="0.25">
      <c r="A54" t="s">
        <v>546</v>
      </c>
      <c r="B54" t="s">
        <v>538</v>
      </c>
      <c r="C54" s="633">
        <v>43070</v>
      </c>
      <c r="D54">
        <v>773</v>
      </c>
      <c r="F54" t="s">
        <v>546</v>
      </c>
      <c r="G54" t="s">
        <v>538</v>
      </c>
      <c r="H54" s="633">
        <v>43374</v>
      </c>
      <c r="I54">
        <v>1526</v>
      </c>
      <c r="K54" t="s">
        <v>547</v>
      </c>
      <c r="L54" t="s">
        <v>538</v>
      </c>
      <c r="M54" s="633">
        <v>43715</v>
      </c>
      <c r="N54" s="108">
        <v>1701</v>
      </c>
      <c r="P54" t="s">
        <v>282</v>
      </c>
      <c r="Q54" t="s">
        <v>538</v>
      </c>
      <c r="S54" s="108">
        <v>2062</v>
      </c>
      <c r="U54" s="718" t="s">
        <v>324</v>
      </c>
      <c r="V54" t="s">
        <v>535</v>
      </c>
      <c r="W54" s="633">
        <v>44378</v>
      </c>
      <c r="X54" s="108">
        <f>'Base de Capital'!AT45</f>
        <v>783966.19000000029</v>
      </c>
      <c r="Z54" s="718" t="s">
        <v>324</v>
      </c>
      <c r="AA54" t="s">
        <v>535</v>
      </c>
      <c r="AB54" s="633">
        <v>44805</v>
      </c>
      <c r="AC54" s="108">
        <f>'Base de Capital'!BD45</f>
        <v>489497.16000000003</v>
      </c>
      <c r="AE54" s="718" t="s">
        <v>324</v>
      </c>
      <c r="AF54" t="s">
        <v>535</v>
      </c>
      <c r="AG54" s="633">
        <v>45170</v>
      </c>
      <c r="AH54" s="108">
        <f>'Base de Capital'!BN45</f>
        <v>1066901.27</v>
      </c>
    </row>
    <row r="55" spans="1:34" x14ac:dyDescent="0.25">
      <c r="K55" t="s">
        <v>546</v>
      </c>
      <c r="L55" t="s">
        <v>538</v>
      </c>
      <c r="M55" s="633">
        <v>43798</v>
      </c>
      <c r="N55" s="108">
        <v>442</v>
      </c>
      <c r="P55" t="s">
        <v>286</v>
      </c>
      <c r="Q55" t="s">
        <v>538</v>
      </c>
      <c r="S55" s="108">
        <v>582</v>
      </c>
      <c r="U55" s="721" t="s">
        <v>1300</v>
      </c>
      <c r="V55" t="s">
        <v>535</v>
      </c>
      <c r="W55" s="633">
        <v>44280</v>
      </c>
      <c r="X55" s="108">
        <f>'Base de Capital'!AT46</f>
        <v>111280</v>
      </c>
      <c r="Z55" s="721" t="s">
        <v>1300</v>
      </c>
      <c r="AA55" t="s">
        <v>535</v>
      </c>
      <c r="AB55" s="633">
        <v>44713</v>
      </c>
      <c r="AC55" s="108">
        <f>'Base de Capital'!BD46</f>
        <v>1771930.0495999998</v>
      </c>
      <c r="AE55" s="721" t="s">
        <v>1300</v>
      </c>
      <c r="AF55" t="s">
        <v>535</v>
      </c>
      <c r="AG55" s="633">
        <v>45108</v>
      </c>
      <c r="AH55" s="108">
        <f>'Base de Capital'!BN46</f>
        <v>730910.97</v>
      </c>
    </row>
    <row r="57" spans="1:34" x14ac:dyDescent="0.25">
      <c r="A57" t="s">
        <v>123</v>
      </c>
      <c r="C57" t="s">
        <v>548</v>
      </c>
      <c r="D57" t="s">
        <v>549</v>
      </c>
      <c r="F57" t="s">
        <v>123</v>
      </c>
      <c r="H57" t="s">
        <v>550</v>
      </c>
      <c r="I57" t="s">
        <v>551</v>
      </c>
      <c r="K57" t="s">
        <v>123</v>
      </c>
      <c r="M57" t="s">
        <v>552</v>
      </c>
      <c r="N57" t="s">
        <v>553</v>
      </c>
    </row>
    <row r="58" spans="1:34" s="710" customFormat="1" x14ac:dyDescent="0.25">
      <c r="A58" s="710" t="s">
        <v>554</v>
      </c>
      <c r="C58" s="710">
        <v>0</v>
      </c>
      <c r="D58" s="710">
        <v>350191</v>
      </c>
      <c r="F58" s="710" t="s">
        <v>554</v>
      </c>
      <c r="H58" s="710">
        <v>1608836</v>
      </c>
      <c r="I58" s="710">
        <v>49434</v>
      </c>
      <c r="K58" s="710" t="s">
        <v>554</v>
      </c>
      <c r="M58" s="710">
        <v>652605</v>
      </c>
      <c r="N58" s="710">
        <v>49434</v>
      </c>
    </row>
    <row r="60" spans="1:34" x14ac:dyDescent="0.25">
      <c r="A60" t="s">
        <v>1329</v>
      </c>
    </row>
    <row r="61" spans="1:34" x14ac:dyDescent="0.25">
      <c r="A61" s="655"/>
      <c r="B61" s="655">
        <v>2020</v>
      </c>
      <c r="C61" s="655">
        <v>2021</v>
      </c>
      <c r="D61" s="655">
        <v>2022</v>
      </c>
      <c r="E61" s="655">
        <v>2023</v>
      </c>
      <c r="F61" s="655">
        <v>2024</v>
      </c>
    </row>
    <row r="62" spans="1:34" x14ac:dyDescent="0.25">
      <c r="A62" s="293" t="s">
        <v>1025</v>
      </c>
      <c r="B62" s="654">
        <f>'Base ETESA'!AB115</f>
        <v>2942939</v>
      </c>
      <c r="C62" s="654">
        <f>'Base ETESA'!AJ115</f>
        <v>3542128.6199998483</v>
      </c>
      <c r="D62" s="654">
        <f>'Base ETESA'!AQ115</f>
        <v>1407637.9999999404</v>
      </c>
      <c r="E62" s="654">
        <f>'Base ETESA'!AX115</f>
        <v>2090407.8100000173</v>
      </c>
      <c r="F62" s="654">
        <f>'Base ETESA'!BE115</f>
        <v>8190223.259999834</v>
      </c>
    </row>
    <row r="63" spans="1:34" x14ac:dyDescent="0.25">
      <c r="A63" s="293" t="s">
        <v>752</v>
      </c>
      <c r="B63" s="654">
        <f>'Base ETESA'!AB8</f>
        <v>40406673</v>
      </c>
      <c r="C63" s="654">
        <f>'Base ETESA'!AJ8</f>
        <v>66710001.629997373</v>
      </c>
      <c r="D63" s="654">
        <f>'Base ETESA'!AQ8</f>
        <v>106427833.70999968</v>
      </c>
      <c r="E63" s="654">
        <f>'Base ETESA'!AX8</f>
        <v>14861190.24000001</v>
      </c>
      <c r="F63" s="654">
        <f>'Base ETESA'!BE8</f>
        <v>127381413.63999987</v>
      </c>
    </row>
    <row r="64" spans="1:34" x14ac:dyDescent="0.25">
      <c r="A64" s="882" t="s">
        <v>1328</v>
      </c>
      <c r="B64" s="654">
        <f>'Base ETESA'!AB10</f>
        <v>20107124</v>
      </c>
      <c r="C64" s="654">
        <f>'Base ETESA'!AJ10</f>
        <v>1834140.7299973965</v>
      </c>
      <c r="D64" s="654">
        <f>'Base ETESA'!AQ10</f>
        <v>54227311.810000181</v>
      </c>
      <c r="E64" s="654">
        <f>'Base ETESA'!AX10</f>
        <v>3689674.2200000286</v>
      </c>
      <c r="F64" s="654">
        <f>'Base ETESA'!BE10</f>
        <v>71107192.74000001</v>
      </c>
    </row>
    <row r="65" spans="1:16" x14ac:dyDescent="0.25">
      <c r="A65" s="882" t="s">
        <v>934</v>
      </c>
      <c r="B65" s="654">
        <f>'Base ETESA'!AB53</f>
        <v>20299548</v>
      </c>
      <c r="C65" s="654">
        <f>'Base ETESA'!AJ53</f>
        <v>64875860.899999976</v>
      </c>
      <c r="D65" s="654">
        <f>'Base ETESA'!AQ53</f>
        <v>52200521.89999944</v>
      </c>
      <c r="E65" s="654">
        <f>'Base ETESA'!AX53</f>
        <v>11171516.019999921</v>
      </c>
      <c r="F65" s="654">
        <f>'Base ETESA'!BE53</f>
        <v>56274220.899999976</v>
      </c>
      <c r="G65" s="108"/>
    </row>
    <row r="66" spans="1:16" x14ac:dyDescent="0.25">
      <c r="A66" s="293" t="s">
        <v>31</v>
      </c>
      <c r="B66" s="654">
        <f>'Base ETESA'!AB88</f>
        <v>744129</v>
      </c>
      <c r="C66" s="654">
        <f>'Base ETESA'!AJ88</f>
        <v>4210177.9399999976</v>
      </c>
      <c r="D66" s="654">
        <f>'Base ETESA'!AQ88</f>
        <v>2442552.2400000021</v>
      </c>
      <c r="E66" s="654">
        <f>'Base ETESA'!AX88</f>
        <v>1997402.799999997</v>
      </c>
      <c r="F66" s="654">
        <f>'Base ETESA'!BE88</f>
        <v>592035.38000000268</v>
      </c>
    </row>
    <row r="67" spans="1:16" x14ac:dyDescent="0.25">
      <c r="A67" s="882" t="s">
        <v>1328</v>
      </c>
      <c r="B67" s="654">
        <f>'Base ETESA'!AB108</f>
        <v>0</v>
      </c>
      <c r="C67" s="654">
        <f>'Base ETESA'!AJ108</f>
        <v>183451.46000000183</v>
      </c>
      <c r="D67" s="654">
        <f>'Base ETESA'!AQ108</f>
        <v>0</v>
      </c>
      <c r="E67" s="654">
        <f>'Base ETESA'!AX108</f>
        <v>0</v>
      </c>
      <c r="F67" s="654">
        <f>'Base ETESA'!BE108</f>
        <v>0</v>
      </c>
    </row>
    <row r="68" spans="1:16" x14ac:dyDescent="0.25">
      <c r="A68" s="882" t="s">
        <v>934</v>
      </c>
      <c r="B68" s="654">
        <f>'Base ETESA'!AB89</f>
        <v>744128</v>
      </c>
      <c r="C68" s="654">
        <f>'Base ETESA'!AJ89</f>
        <v>4026726.4799999967</v>
      </c>
      <c r="D68" s="654">
        <f>'Base ETESA'!AQ89</f>
        <v>2442552.2400000021</v>
      </c>
      <c r="E68" s="654">
        <f>'Base ETESA'!AX89</f>
        <v>1997402.799999997</v>
      </c>
      <c r="F68" s="654">
        <f>'Base ETESA'!BE89</f>
        <v>592035.38000000268</v>
      </c>
    </row>
    <row r="69" spans="1:16" x14ac:dyDescent="0.25">
      <c r="A69" s="883" t="s">
        <v>325</v>
      </c>
      <c r="B69" s="861">
        <f>B62+B63+B66</f>
        <v>44093741</v>
      </c>
      <c r="C69" s="861">
        <f t="shared" ref="C69:F69" si="19">C62+C63+C66</f>
        <v>74462308.189997226</v>
      </c>
      <c r="D69" s="861">
        <f t="shared" si="19"/>
        <v>110278023.94999963</v>
      </c>
      <c r="E69" s="861">
        <f t="shared" si="19"/>
        <v>18949000.850000024</v>
      </c>
      <c r="F69" s="861">
        <f t="shared" si="19"/>
        <v>136163672.2799997</v>
      </c>
    </row>
    <row r="70" spans="1:16" x14ac:dyDescent="0.25">
      <c r="C70" s="108">
        <f>H165</f>
        <v>74462310.189997166</v>
      </c>
      <c r="D70" s="108">
        <f t="shared" ref="D70:F70" si="20">I165</f>
        <v>110278023.9499997</v>
      </c>
      <c r="E70" s="108">
        <f t="shared" si="20"/>
        <v>18949000.850000031</v>
      </c>
      <c r="F70" s="108">
        <f t="shared" si="20"/>
        <v>136093966.17999974</v>
      </c>
    </row>
    <row r="71" spans="1:16" x14ac:dyDescent="0.25">
      <c r="C71" s="108"/>
    </row>
    <row r="73" spans="1:16" x14ac:dyDescent="0.25">
      <c r="B73" t="s">
        <v>1333</v>
      </c>
      <c r="H73" t="s">
        <v>1335</v>
      </c>
    </row>
    <row r="74" spans="1:16" x14ac:dyDescent="0.25">
      <c r="B74" t="s">
        <v>1334</v>
      </c>
      <c r="H74" t="s">
        <v>1341</v>
      </c>
      <c r="I74" t="s">
        <v>1340</v>
      </c>
      <c r="J74" t="s">
        <v>1339</v>
      </c>
      <c r="K74" t="s">
        <v>1338</v>
      </c>
      <c r="N74" t="s">
        <v>1343</v>
      </c>
    </row>
    <row r="75" spans="1:16" x14ac:dyDescent="0.25">
      <c r="B75">
        <v>2021</v>
      </c>
      <c r="C75">
        <v>2022</v>
      </c>
      <c r="D75">
        <v>2023</v>
      </c>
      <c r="E75">
        <v>2024</v>
      </c>
      <c r="F75" t="s">
        <v>28</v>
      </c>
      <c r="H75">
        <f>B75</f>
        <v>2021</v>
      </c>
      <c r="I75">
        <f>C75</f>
        <v>2022</v>
      </c>
      <c r="J75">
        <f>D75</f>
        <v>2023</v>
      </c>
      <c r="K75">
        <f>E75</f>
        <v>2024</v>
      </c>
      <c r="L75" t="s">
        <v>28</v>
      </c>
      <c r="N75" t="str">
        <f>B73</f>
        <v>Proyectos capitalizados mayores a 1.5 MM B/./</v>
      </c>
      <c r="O75" t="str">
        <f>H73</f>
        <v>Adiciones de archivo "Pto 03 Valor de Activos brutos y netos en operación 2021-2023 &amp; primer semestre A204.xlsx" ver "Base ETESA" individualizadas</v>
      </c>
      <c r="P75" t="s">
        <v>1344</v>
      </c>
    </row>
    <row r="76" spans="1:16" x14ac:dyDescent="0.25">
      <c r="A76" s="884" t="s">
        <v>1305</v>
      </c>
      <c r="B76" s="108">
        <f>'[3]Proy capitalizado myr 1pto5MM'!B$7</f>
        <v>0</v>
      </c>
      <c r="C76" s="108">
        <f>'[3]Proy capitalizado myr 1pto5MM'!C$7</f>
        <v>54749088.240000002</v>
      </c>
      <c r="D76" s="108">
        <f>'[3]Proy capitalizado myr 1pto5MM'!D$7</f>
        <v>0</v>
      </c>
      <c r="E76" s="108">
        <f>'[3]Proy capitalizado myr 1pto5MM'!E$7</f>
        <v>0</v>
      </c>
      <c r="F76" s="108">
        <f>SUM(B76:E76)</f>
        <v>54749088.240000002</v>
      </c>
      <c r="H76">
        <f>'Base ETESA'!AJ12</f>
        <v>0</v>
      </c>
      <c r="I76" s="108">
        <f>'Base ETESA'!AQ12</f>
        <v>54420914.310000002</v>
      </c>
      <c r="J76" s="108">
        <f>'Base ETESA'!AX12</f>
        <v>0</v>
      </c>
      <c r="K76" s="108">
        <f>'Base ETESA'!BE12</f>
        <v>328173.9299999997</v>
      </c>
      <c r="L76" s="108">
        <f>SUM(H76:K76)</f>
        <v>54749088.240000002</v>
      </c>
      <c r="N76" s="678">
        <f>F76</f>
        <v>54749088.240000002</v>
      </c>
      <c r="O76" s="108">
        <f>L76</f>
        <v>54749088.240000002</v>
      </c>
      <c r="P76" s="886">
        <f>(O76-N76)/N76</f>
        <v>0</v>
      </c>
    </row>
    <row r="77" spans="1:16" x14ac:dyDescent="0.25">
      <c r="A77" s="884" t="s">
        <v>1336</v>
      </c>
      <c r="B77" s="108">
        <f>'[3]Proy capitalizado myr 1pto5MM'!B$18</f>
        <v>0</v>
      </c>
      <c r="C77" s="108">
        <f>'[3]Proy capitalizado myr 1pto5MM'!C$18</f>
        <v>0</v>
      </c>
      <c r="D77" s="108">
        <f>'[3]Proy capitalizado myr 1pto5MM'!D$18</f>
        <v>0</v>
      </c>
      <c r="E77" s="108">
        <f>'[3]Proy capitalizado myr 1pto5MM'!E$18</f>
        <v>11959916.709999999</v>
      </c>
      <c r="F77" s="108">
        <f t="shared" ref="F77:F91" si="21">SUM(B77:E77)</f>
        <v>11959916.709999999</v>
      </c>
      <c r="H77">
        <f>'Base ETESA'!AJ41</f>
        <v>0</v>
      </c>
      <c r="I77">
        <f>'Base ETESA'!AQ41</f>
        <v>0</v>
      </c>
      <c r="J77">
        <f>'Base ETESA'!AX41</f>
        <v>0</v>
      </c>
      <c r="K77" s="108">
        <f>'Base ETESA'!BE41</f>
        <v>44462231.120000005</v>
      </c>
      <c r="L77" s="108">
        <f t="shared" ref="L77:L93" si="22">SUM(H77:K77)</f>
        <v>44462231.120000005</v>
      </c>
      <c r="N77" s="889">
        <f t="shared" ref="N77:N92" si="23">F77</f>
        <v>11959916.709999999</v>
      </c>
      <c r="O77" s="887">
        <f t="shared" ref="O77:O92" si="24">L77</f>
        <v>44462231.120000005</v>
      </c>
      <c r="P77" s="886">
        <f t="shared" ref="P77:P91" si="25">(O77-N77)/N77</f>
        <v>2.7176037424093407</v>
      </c>
    </row>
    <row r="78" spans="1:16" x14ac:dyDescent="0.25">
      <c r="A78" s="884" t="s">
        <v>1337</v>
      </c>
      <c r="B78" s="108">
        <f>'[3]Proy capitalizado myr 1pto5MM'!B$22</f>
        <v>0</v>
      </c>
      <c r="C78" s="108">
        <f>'[3]Proy capitalizado myr 1pto5MM'!C$22</f>
        <v>0</v>
      </c>
      <c r="D78" s="108">
        <f>'[3]Proy capitalizado myr 1pto5MM'!D$22</f>
        <v>5738510.4800000014</v>
      </c>
      <c r="E78" s="108">
        <f>'[3]Proy capitalizado myr 1pto5MM'!E$22</f>
        <v>0</v>
      </c>
      <c r="F78" s="108">
        <f t="shared" si="21"/>
        <v>5738510.4800000014</v>
      </c>
      <c r="H78" s="108">
        <f>'Base ETESA'!AJ27</f>
        <v>1104073.7099997699</v>
      </c>
      <c r="I78" s="108">
        <f>'Base ETESA'!AQ27</f>
        <v>25559.540000006557</v>
      </c>
      <c r="J78" s="108">
        <f>'Base ETESA'!AX27</f>
        <v>3689674.3800000101</v>
      </c>
      <c r="K78" s="108">
        <f>'Base ETESA'!BE27</f>
        <v>279780.12999999523</v>
      </c>
      <c r="L78" s="108">
        <f t="shared" si="22"/>
        <v>5099087.7599997818</v>
      </c>
      <c r="N78" s="887">
        <f t="shared" si="23"/>
        <v>5738510.4800000014</v>
      </c>
      <c r="O78" s="887">
        <f t="shared" si="24"/>
        <v>5099087.7599997818</v>
      </c>
      <c r="P78" s="886">
        <f t="shared" si="25"/>
        <v>-0.11142660142013357</v>
      </c>
    </row>
    <row r="79" spans="1:16" x14ac:dyDescent="0.25">
      <c r="A79" s="884" t="s">
        <v>998</v>
      </c>
      <c r="B79" s="108">
        <f>'[3]Proy capitalizado myr 1pto5MM'!B$31</f>
        <v>0</v>
      </c>
      <c r="C79" s="108">
        <f>'[3]Proy capitalizado myr 1pto5MM'!C$31</f>
        <v>7575567.8899999987</v>
      </c>
      <c r="D79" s="108">
        <f>'[3]Proy capitalizado myr 1pto5MM'!D$31</f>
        <v>0</v>
      </c>
      <c r="E79" s="108">
        <f>'[3]Proy capitalizado myr 1pto5MM'!E$31</f>
        <v>0</v>
      </c>
      <c r="F79" s="108">
        <f t="shared" si="21"/>
        <v>7575567.8899999987</v>
      </c>
      <c r="H79" s="108">
        <f>'Base ETESA'!AJ58</f>
        <v>0.46000000648200512</v>
      </c>
      <c r="I79" s="108">
        <f>'Base ETESA'!AQ58</f>
        <v>7324640.6399999969</v>
      </c>
      <c r="J79" s="108">
        <f>'Base ETESA'!AX58</f>
        <v>0</v>
      </c>
      <c r="K79" s="108">
        <f>'Base ETESA'!BE58</f>
        <v>3753121.7400000077</v>
      </c>
      <c r="L79" s="108">
        <f t="shared" si="22"/>
        <v>11077762.840000011</v>
      </c>
      <c r="N79" s="678">
        <f t="shared" si="23"/>
        <v>7575567.8899999987</v>
      </c>
      <c r="O79" s="108">
        <f t="shared" si="24"/>
        <v>11077762.840000011</v>
      </c>
      <c r="P79" s="886">
        <f t="shared" si="25"/>
        <v>0.46230130874056663</v>
      </c>
    </row>
    <row r="80" spans="1:16" x14ac:dyDescent="0.25">
      <c r="A80" s="884" t="s">
        <v>1000</v>
      </c>
      <c r="B80" s="108">
        <f>'[3]Proy capitalizado myr 1pto5MM'!B$41</f>
        <v>13558604.109999999</v>
      </c>
      <c r="C80" s="108">
        <f>'[3]Proy capitalizado myr 1pto5MM'!C$41</f>
        <v>0</v>
      </c>
      <c r="D80" s="108">
        <f>'[3]Proy capitalizado myr 1pto5MM'!D$41</f>
        <v>0</v>
      </c>
      <c r="E80" s="108">
        <f>'[3]Proy capitalizado myr 1pto5MM'!E$41</f>
        <v>0</v>
      </c>
      <c r="F80" s="108">
        <f t="shared" si="21"/>
        <v>13558604.109999999</v>
      </c>
      <c r="H80" s="108">
        <f>'Base ETESA'!AJ59+'Base ETESA'!AJ93</f>
        <v>10909262.220000008</v>
      </c>
      <c r="I80" s="108">
        <f>'Base ETESA'!AQ59+'Base ETESA'!AQ93</f>
        <v>1230370.3100000471</v>
      </c>
      <c r="J80" s="108">
        <f>'Base ETESA'!AX59+'Base ETESA'!AX93</f>
        <v>1527737.580000001</v>
      </c>
      <c r="K80" s="108">
        <f>'Base ETESA'!BE59+'Base ETESA'!BE93</f>
        <v>154537.30999998748</v>
      </c>
      <c r="L80" s="108">
        <f t="shared" si="22"/>
        <v>13821907.420000043</v>
      </c>
      <c r="N80" s="678">
        <f t="shared" si="23"/>
        <v>13558604.109999999</v>
      </c>
      <c r="O80" s="108">
        <f t="shared" si="24"/>
        <v>13821907.420000043</v>
      </c>
      <c r="P80" s="886">
        <f t="shared" si="25"/>
        <v>1.9419647322385266E-2</v>
      </c>
    </row>
    <row r="81" spans="1:17" x14ac:dyDescent="0.25">
      <c r="A81" s="884" t="s">
        <v>1002</v>
      </c>
      <c r="B81" s="108">
        <f>'[3]Proy capitalizado myr 1pto5MM'!B$58</f>
        <v>1.51</v>
      </c>
      <c r="C81" s="108">
        <f>'[3]Proy capitalizado myr 1pto5MM'!C$58</f>
        <v>3286404.7199999997</v>
      </c>
      <c r="D81" s="108">
        <f>'[3]Proy capitalizado myr 1pto5MM'!D$58</f>
        <v>0</v>
      </c>
      <c r="E81" s="108">
        <f>'[3]Proy capitalizado myr 1pto5MM'!E$58</f>
        <v>0</v>
      </c>
      <c r="F81" s="108">
        <f t="shared" si="21"/>
        <v>3286406.2299999995</v>
      </c>
      <c r="H81" s="108">
        <f>'Base ETESA'!AJ60</f>
        <v>0.46999999694526196</v>
      </c>
      <c r="I81" s="108">
        <f>'Base ETESA'!AQ60</f>
        <v>60017.040000000037</v>
      </c>
      <c r="J81" s="108">
        <f>'Base ETESA'!AX60</f>
        <v>0</v>
      </c>
      <c r="K81" s="108">
        <f>'Base ETESA'!BE60</f>
        <v>0</v>
      </c>
      <c r="L81" s="108">
        <f t="shared" si="22"/>
        <v>60017.509999996983</v>
      </c>
      <c r="N81" s="887">
        <f t="shared" si="23"/>
        <v>3286406.2299999995</v>
      </c>
      <c r="O81" s="887">
        <f t="shared" si="24"/>
        <v>60017.509999996983</v>
      </c>
      <c r="P81" s="886">
        <f t="shared" si="25"/>
        <v>-0.98173764720498446</v>
      </c>
    </row>
    <row r="82" spans="1:17" x14ac:dyDescent="0.25">
      <c r="A82" s="884" t="s">
        <v>1003</v>
      </c>
      <c r="B82" s="108">
        <f>'[3]Proy capitalizado myr 1pto5MM'!B$67</f>
        <v>27520399.980000045</v>
      </c>
      <c r="C82" s="108">
        <f>'[3]Proy capitalizado myr 1pto5MM'!C$67</f>
        <v>5078140.339999998</v>
      </c>
      <c r="D82" s="108">
        <f>'[3]Proy capitalizado myr 1pto5MM'!D$67</f>
        <v>0</v>
      </c>
      <c r="E82" s="108">
        <f>'[3]Proy capitalizado myr 1pto5MM'!E$67</f>
        <v>0</v>
      </c>
      <c r="F82" s="108">
        <f t="shared" si="21"/>
        <v>32598540.320000045</v>
      </c>
      <c r="H82" s="108">
        <f>'Base ETESA'!AJ59+'Base ETESA'!AJ93</f>
        <v>10909262.220000008</v>
      </c>
      <c r="I82" s="108">
        <f>'Base ETESA'!AQ59+'Base ETESA'!AQ93</f>
        <v>1230370.3100000471</v>
      </c>
      <c r="J82" s="108">
        <f>'Base ETESA'!AX59+'Base ETESA'!AX93</f>
        <v>1527737.580000001</v>
      </c>
      <c r="K82" s="108">
        <f>'Base ETESA'!BE59+'Base ETESA'!BE93</f>
        <v>154537.30999998748</v>
      </c>
      <c r="L82" s="108">
        <f t="shared" si="22"/>
        <v>13821907.420000043</v>
      </c>
      <c r="N82" s="889">
        <f t="shared" si="23"/>
        <v>32598540.320000045</v>
      </c>
      <c r="O82" s="887">
        <f t="shared" si="24"/>
        <v>13821907.420000043</v>
      </c>
      <c r="P82" s="886">
        <f t="shared" si="25"/>
        <v>-0.57599612484734641</v>
      </c>
    </row>
    <row r="83" spans="1:17" x14ac:dyDescent="0.25">
      <c r="A83" s="884" t="s">
        <v>1004</v>
      </c>
      <c r="B83" s="108">
        <f>'[3]Proy capitalizado myr 1pto5MM'!B$86</f>
        <v>4028626.1199999987</v>
      </c>
      <c r="C83" s="108">
        <f>'[3]Proy capitalizado myr 1pto5MM'!C$86</f>
        <v>6216944.7799999984</v>
      </c>
      <c r="D83" s="108">
        <f>'[3]Proy capitalizado myr 1pto5MM'!D$86</f>
        <v>0</v>
      </c>
      <c r="E83" s="108">
        <f>'[3]Proy capitalizado myr 1pto5MM'!E$86</f>
        <v>0</v>
      </c>
      <c r="F83" s="108">
        <f t="shared" si="21"/>
        <v>10245570.899999997</v>
      </c>
      <c r="H83" s="108">
        <f>'Base ETESA'!AJ62</f>
        <v>3022061.6899999715</v>
      </c>
      <c r="I83" s="108">
        <f>'Base ETESA'!AQ62</f>
        <v>71271.069999996573</v>
      </c>
      <c r="J83" s="108">
        <f>'Base ETESA'!AX62</f>
        <v>92330.30000000447</v>
      </c>
      <c r="K83" s="108">
        <f>'Base ETESA'!BE62</f>
        <v>30786.619999993593</v>
      </c>
      <c r="L83" s="108">
        <f t="shared" si="22"/>
        <v>3216449.6799999662</v>
      </c>
      <c r="N83" s="889">
        <f t="shared" si="23"/>
        <v>10245570.899999997</v>
      </c>
      <c r="O83" s="887">
        <f t="shared" si="24"/>
        <v>3216449.6799999662</v>
      </c>
      <c r="P83" s="886">
        <f t="shared" si="25"/>
        <v>-0.68606437733987402</v>
      </c>
    </row>
    <row r="84" spans="1:17" x14ac:dyDescent="0.25">
      <c r="A84" s="884" t="s">
        <v>1005</v>
      </c>
      <c r="B84" s="108">
        <f>'[3]Proy capitalizado myr 1pto5MM'!B$96</f>
        <v>8461741.6199999992</v>
      </c>
      <c r="C84" s="108">
        <f>'[3]Proy capitalizado myr 1pto5MM'!C$96</f>
        <v>0</v>
      </c>
      <c r="D84" s="108">
        <f>'[3]Proy capitalizado myr 1pto5MM'!D$96</f>
        <v>6908122.6900000004</v>
      </c>
      <c r="E84" s="108">
        <f>'[3]Proy capitalizado myr 1pto5MM'!E$96</f>
        <v>0</v>
      </c>
      <c r="F84" s="108">
        <f t="shared" si="21"/>
        <v>15369864.309999999</v>
      </c>
      <c r="H84" s="108">
        <f>'Base ETESA'!AJ66</f>
        <v>5458751.6699998677</v>
      </c>
      <c r="I84" s="108">
        <f>'Base ETESA'!AQ66</f>
        <v>12807.150000013411</v>
      </c>
      <c r="J84" s="108">
        <f>'Base ETESA'!AX66</f>
        <v>8932775.0199999958</v>
      </c>
      <c r="K84" s="108">
        <f>'Base ETESA'!BE66</f>
        <v>721267.70999997109</v>
      </c>
      <c r="L84" s="108">
        <f t="shared" si="22"/>
        <v>15125601.549999848</v>
      </c>
      <c r="N84" s="678">
        <f t="shared" si="23"/>
        <v>15369864.309999999</v>
      </c>
      <c r="O84" s="108">
        <f t="shared" si="24"/>
        <v>15125601.549999848</v>
      </c>
      <c r="P84" s="886">
        <f t="shared" si="25"/>
        <v>-1.5892317269270068E-2</v>
      </c>
    </row>
    <row r="85" spans="1:17" x14ac:dyDescent="0.25">
      <c r="A85" s="884" t="s">
        <v>1006</v>
      </c>
      <c r="B85" s="108">
        <f>'[3]Proy capitalizado myr 1pto5MM'!B$107</f>
        <v>5084389.0300000021</v>
      </c>
      <c r="C85" s="108">
        <f>'[3]Proy capitalizado myr 1pto5MM'!C$107</f>
        <v>-70261.899999989662</v>
      </c>
      <c r="D85" s="108">
        <f>'[3]Proy capitalizado myr 1pto5MM'!D$107</f>
        <v>0</v>
      </c>
      <c r="E85" s="108">
        <f>'[3]Proy capitalizado myr 1pto5MM'!E$107</f>
        <v>0</v>
      </c>
      <c r="F85" s="108">
        <f t="shared" si="21"/>
        <v>5014127.130000012</v>
      </c>
      <c r="H85" s="108">
        <f>'Base ETESA'!AJ67</f>
        <v>3905268.8100000992</v>
      </c>
      <c r="I85" s="108">
        <f>'Base ETESA'!AQ67</f>
        <v>24833745.049999803</v>
      </c>
      <c r="J85" s="108">
        <f>'Base ETESA'!AX67</f>
        <v>-105983.49999999255</v>
      </c>
      <c r="K85" s="108">
        <f>'Base ETESA'!BE67</f>
        <v>15157.60000000149</v>
      </c>
      <c r="L85" s="108">
        <f t="shared" si="22"/>
        <v>28648187.959999911</v>
      </c>
      <c r="N85" s="889">
        <f t="shared" si="23"/>
        <v>5014127.130000012</v>
      </c>
      <c r="O85" s="887">
        <f t="shared" si="24"/>
        <v>28648187.959999911</v>
      </c>
      <c r="P85" s="886">
        <f t="shared" si="25"/>
        <v>4.7134945359871327</v>
      </c>
    </row>
    <row r="86" spans="1:17" x14ac:dyDescent="0.25">
      <c r="A86" s="884" t="s">
        <v>1007</v>
      </c>
      <c r="B86" s="108">
        <f>'[3]Proy capitalizado myr 1pto5MM'!B$126</f>
        <v>1892022.04</v>
      </c>
      <c r="C86" s="108">
        <f>'[3]Proy capitalizado myr 1pto5MM'!C$126</f>
        <v>5616286.2799999993</v>
      </c>
      <c r="D86" s="108">
        <f>'[3]Proy capitalizado myr 1pto5MM'!D$126</f>
        <v>0</v>
      </c>
      <c r="E86" s="108">
        <f>'[3]Proy capitalizado myr 1pto5MM'!E$126</f>
        <v>0</v>
      </c>
      <c r="F86" s="108">
        <f t="shared" si="21"/>
        <v>7508308.3199999994</v>
      </c>
      <c r="H86" s="108">
        <f>'Base ETESA'!AJ70</f>
        <v>1888568.290000001</v>
      </c>
      <c r="I86" s="108">
        <f>'Base ETESA'!AQ70</f>
        <v>10040683.009999992</v>
      </c>
      <c r="J86" s="108">
        <f>'Base ETESA'!AX70</f>
        <v>0</v>
      </c>
      <c r="K86" s="108">
        <f>'Base ETESA'!BE70</f>
        <v>375076.61999998987</v>
      </c>
      <c r="L86" s="108">
        <f t="shared" si="22"/>
        <v>12304327.919999983</v>
      </c>
      <c r="N86" s="889">
        <f t="shared" si="23"/>
        <v>7508308.3199999994</v>
      </c>
      <c r="O86" s="887">
        <f t="shared" si="24"/>
        <v>12304327.919999983</v>
      </c>
      <c r="P86" s="886">
        <f t="shared" si="25"/>
        <v>0.6387616751465508</v>
      </c>
    </row>
    <row r="87" spans="1:17" x14ac:dyDescent="0.25">
      <c r="A87" s="884" t="s">
        <v>1303</v>
      </c>
      <c r="B87" s="108">
        <f>'[3]Proy capitalizado myr 1pto5MM'!B$139</f>
        <v>22238112.63000001</v>
      </c>
      <c r="C87" s="108">
        <f>'[3]Proy capitalizado myr 1pto5MM'!C$139</f>
        <v>0</v>
      </c>
      <c r="D87" s="108">
        <f>'[3]Proy capitalizado myr 1pto5MM'!D$139</f>
        <v>0</v>
      </c>
      <c r="E87" s="108">
        <f>'[3]Proy capitalizado myr 1pto5MM'!E$139</f>
        <v>0</v>
      </c>
      <c r="F87" s="108">
        <f t="shared" si="21"/>
        <v>22238112.63000001</v>
      </c>
      <c r="H87" s="108">
        <f>'Base ETESA'!AJ71</f>
        <v>7275133.21</v>
      </c>
      <c r="I87" s="108">
        <f>'Base ETESA'!AQ71</f>
        <v>0</v>
      </c>
      <c r="J87" s="108">
        <f>'Base ETESA'!AX71</f>
        <v>0</v>
      </c>
      <c r="K87" s="108">
        <f>'Base ETESA'!BE71</f>
        <v>15071973.309999999</v>
      </c>
      <c r="L87" s="108">
        <f t="shared" si="22"/>
        <v>22347106.52</v>
      </c>
      <c r="N87" s="889">
        <f t="shared" si="23"/>
        <v>22238112.63000001</v>
      </c>
      <c r="O87" s="887">
        <f t="shared" si="24"/>
        <v>22347106.52</v>
      </c>
      <c r="P87" s="886">
        <f t="shared" si="25"/>
        <v>4.9012203424562547E-3</v>
      </c>
    </row>
    <row r="88" spans="1:17" x14ac:dyDescent="0.25">
      <c r="A88" s="884" t="s">
        <v>1009</v>
      </c>
      <c r="B88" s="108">
        <f>'[3]Proy capitalizado myr 1pto5MM'!B$153</f>
        <v>6556973.7799999993</v>
      </c>
      <c r="C88" s="108">
        <f>'[3]Proy capitalizado myr 1pto5MM'!C$153</f>
        <v>0</v>
      </c>
      <c r="D88" s="108">
        <f>'[3]Proy capitalizado myr 1pto5MM'!D$153</f>
        <v>0</v>
      </c>
      <c r="E88" s="108">
        <f>'[3]Proy capitalizado myr 1pto5MM'!E$153</f>
        <v>0</v>
      </c>
      <c r="F88" s="108">
        <f t="shared" si="21"/>
        <v>6556973.7799999993</v>
      </c>
      <c r="H88" s="108">
        <f>'Base ETESA'!AJ72</f>
        <v>5712227.3900000341</v>
      </c>
      <c r="I88" s="108">
        <f>'Base ETESA'!AQ72</f>
        <v>52241.109999999404</v>
      </c>
      <c r="J88" s="108">
        <f>'Base ETESA'!AX72</f>
        <v>844746.29999999329</v>
      </c>
      <c r="K88" s="108">
        <f>'Base ETESA'!BE72</f>
        <v>85990.650000002235</v>
      </c>
      <c r="L88" s="108">
        <f t="shared" si="22"/>
        <v>6695205.4500000291</v>
      </c>
      <c r="N88" s="678">
        <f t="shared" si="23"/>
        <v>6556973.7799999993</v>
      </c>
      <c r="O88" s="108">
        <f t="shared" si="24"/>
        <v>6695205.4500000291</v>
      </c>
      <c r="P88" s="886">
        <f t="shared" si="25"/>
        <v>2.108162616444529E-2</v>
      </c>
    </row>
    <row r="89" spans="1:17" x14ac:dyDescent="0.25">
      <c r="A89" s="884" t="s">
        <v>1015</v>
      </c>
      <c r="B89" s="108">
        <f>'[3]Proy capitalizado myr 1pto5MM'!B$163</f>
        <v>4929996.3099999977</v>
      </c>
      <c r="C89" s="108">
        <f>'[3]Proy capitalizado myr 1pto5MM'!C$163</f>
        <v>0</v>
      </c>
      <c r="D89" s="108">
        <f>'[3]Proy capitalizado myr 1pto5MM'!D$163</f>
        <v>0</v>
      </c>
      <c r="E89" s="108">
        <f>'[3]Proy capitalizado myr 1pto5MM'!E$163</f>
        <v>0</v>
      </c>
      <c r="F89" s="108">
        <f t="shared" si="21"/>
        <v>4929996.3099999977</v>
      </c>
      <c r="H89" s="108">
        <f>'Base ETESA'!AJ75</f>
        <v>4249533.5699999835</v>
      </c>
      <c r="I89" s="108">
        <f>'Base ETESA'!AQ75</f>
        <v>0</v>
      </c>
      <c r="J89" s="108">
        <f>'Base ETESA'!AX75</f>
        <v>680462.59000000544</v>
      </c>
      <c r="K89" s="108">
        <f>'Base ETESA'!BE75</f>
        <v>153995.01000000536</v>
      </c>
      <c r="L89" s="108">
        <f t="shared" si="22"/>
        <v>5083991.1699999943</v>
      </c>
      <c r="N89" s="678">
        <f t="shared" si="23"/>
        <v>4929996.3099999977</v>
      </c>
      <c r="O89" s="108">
        <f t="shared" si="24"/>
        <v>5083991.1699999943</v>
      </c>
      <c r="P89" s="886">
        <f t="shared" si="25"/>
        <v>3.1236303298571168E-2</v>
      </c>
    </row>
    <row r="90" spans="1:17" x14ac:dyDescent="0.25">
      <c r="A90" s="884" t="s">
        <v>953</v>
      </c>
      <c r="B90" s="108">
        <f>'[3]Proy capitalizado myr 1pto5MM'!B$172</f>
        <v>0</v>
      </c>
      <c r="C90" s="108">
        <f>'[3]Proy capitalizado myr 1pto5MM'!C$172</f>
        <v>2159627.19</v>
      </c>
      <c r="D90" s="108">
        <f>'[3]Proy capitalizado myr 1pto5MM'!D$172</f>
        <v>0</v>
      </c>
      <c r="E90" s="108">
        <f>'[3]Proy capitalizado myr 1pto5MM'!E$172</f>
        <v>0</v>
      </c>
      <c r="F90" s="108">
        <f t="shared" si="21"/>
        <v>2159627.19</v>
      </c>
      <c r="H90" s="108">
        <f>'Base ETESA'!AJ103</f>
        <v>-0.49999999965075403</v>
      </c>
      <c r="I90" s="108">
        <f>'Base ETESA'!AQ103</f>
        <v>2442552.2399999998</v>
      </c>
      <c r="J90" s="108">
        <f>'Base ETESA'!AX103</f>
        <v>677544.60000000102</v>
      </c>
      <c r="K90" s="108">
        <f>'Base ETESA'!BE103</f>
        <v>373185.7799999998</v>
      </c>
      <c r="L90" s="108">
        <f t="shared" si="22"/>
        <v>3493282.120000001</v>
      </c>
      <c r="N90" s="889">
        <f t="shared" si="23"/>
        <v>2159627.19</v>
      </c>
      <c r="O90" s="887">
        <f t="shared" si="24"/>
        <v>3493282.120000001</v>
      </c>
      <c r="P90" s="886">
        <f t="shared" si="25"/>
        <v>0.61753942355208125</v>
      </c>
    </row>
    <row r="91" spans="1:17" x14ac:dyDescent="0.25">
      <c r="A91" s="884" t="s">
        <v>324</v>
      </c>
      <c r="B91" s="108">
        <f>'[3]Proy capitalizado myr 1pto5MM'!B$12</f>
        <v>0</v>
      </c>
      <c r="C91" s="108">
        <f>'[3]Proy capitalizado myr 1pto5MM'!C$12</f>
        <v>0</v>
      </c>
      <c r="D91" s="108">
        <f>'[3]Proy capitalizado myr 1pto5MM'!D$12</f>
        <v>5205510.6100000003</v>
      </c>
      <c r="E91" s="108">
        <f>'[3]Proy capitalizado myr 1pto5MM'!E$12</f>
        <v>0</v>
      </c>
      <c r="F91" s="108">
        <f t="shared" si="21"/>
        <v>5205510.6100000003</v>
      </c>
      <c r="H91" s="108">
        <f>'Base ETESA'!AJ118</f>
        <v>2371639.3099999353</v>
      </c>
      <c r="I91" s="108">
        <f>'Base ETESA'!AQ118</f>
        <v>340123.48999994807</v>
      </c>
      <c r="J91" s="108">
        <f>'Base ETESA'!AX118</f>
        <v>730792.04999998957</v>
      </c>
      <c r="K91" s="108">
        <f>'Base ETESA'!BE118</f>
        <v>5514466.0599999297</v>
      </c>
      <c r="L91" s="108">
        <f t="shared" si="22"/>
        <v>8957020.9099998027</v>
      </c>
      <c r="N91" s="887">
        <f t="shared" si="23"/>
        <v>5205510.6100000003</v>
      </c>
      <c r="O91" s="887">
        <f t="shared" si="24"/>
        <v>8957020.9099998027</v>
      </c>
      <c r="P91" s="886">
        <f t="shared" si="25"/>
        <v>0.72068055971166334</v>
      </c>
    </row>
    <row r="92" spans="1:17" x14ac:dyDescent="0.25">
      <c r="A92" s="885" t="s">
        <v>28</v>
      </c>
      <c r="B92" s="108">
        <f>SUM(B76:B91)</f>
        <v>94270867.130000055</v>
      </c>
      <c r="C92" s="108">
        <f t="shared" ref="C92:E92" si="26">SUM(C76:C91)</f>
        <v>84611797.540000007</v>
      </c>
      <c r="D92" s="108">
        <f t="shared" si="26"/>
        <v>17852143.780000001</v>
      </c>
      <c r="E92" s="108">
        <f t="shared" si="26"/>
        <v>11959916.709999999</v>
      </c>
      <c r="F92" s="108">
        <f>SUM(F76:F91)</f>
        <v>208694725.16000012</v>
      </c>
      <c r="H92" s="108">
        <f>SUM(H76:H91)</f>
        <v>56805782.519999683</v>
      </c>
      <c r="I92" s="108">
        <f t="shared" ref="I92:K92" si="27">SUM(I76:I91)</f>
        <v>102085295.26999986</v>
      </c>
      <c r="J92" s="108">
        <f t="shared" si="27"/>
        <v>18597816.90000001</v>
      </c>
      <c r="K92" s="108">
        <f t="shared" si="27"/>
        <v>71474280.899999887</v>
      </c>
      <c r="L92" s="108">
        <f t="shared" si="22"/>
        <v>248963175.58999944</v>
      </c>
      <c r="N92" s="108">
        <f t="shared" si="23"/>
        <v>208694725.16000012</v>
      </c>
      <c r="O92" s="108">
        <f t="shared" si="24"/>
        <v>248963175.58999944</v>
      </c>
      <c r="P92" s="886"/>
    </row>
    <row r="93" spans="1:17" x14ac:dyDescent="0.25">
      <c r="A93" s="885" t="s">
        <v>1342</v>
      </c>
      <c r="H93" s="108">
        <f>C69</f>
        <v>74462308.189997226</v>
      </c>
      <c r="I93" s="108">
        <f t="shared" ref="I93:K93" si="28">D69</f>
        <v>110278023.94999963</v>
      </c>
      <c r="J93" s="108">
        <f t="shared" si="28"/>
        <v>18949000.850000024</v>
      </c>
      <c r="K93" s="108">
        <f t="shared" si="28"/>
        <v>136163672.2799997</v>
      </c>
      <c r="L93" s="108">
        <f t="shared" si="22"/>
        <v>339853005.26999658</v>
      </c>
    </row>
    <row r="94" spans="1:17" x14ac:dyDescent="0.25">
      <c r="H94" s="886">
        <f>H92/H93</f>
        <v>0.76287968907779036</v>
      </c>
      <c r="I94" s="886">
        <f t="shared" ref="I94:L94" si="29">I92/I93</f>
        <v>0.92570841962389194</v>
      </c>
      <c r="J94" s="886">
        <f t="shared" si="29"/>
        <v>0.98146688826603679</v>
      </c>
      <c r="K94" s="886">
        <f t="shared" si="29"/>
        <v>0.5249144628901018</v>
      </c>
      <c r="L94" s="886">
        <f t="shared" si="29"/>
        <v>0.73256134778684801</v>
      </c>
    </row>
    <row r="95" spans="1:17" x14ac:dyDescent="0.25">
      <c r="H95" s="886"/>
      <c r="I95" s="886"/>
      <c r="J95" s="886"/>
      <c r="K95" s="886"/>
      <c r="L95" s="886"/>
      <c r="N95" s="293"/>
      <c r="O95" s="891" t="s">
        <v>1343</v>
      </c>
      <c r="P95" s="891"/>
      <c r="Q95" s="891"/>
    </row>
    <row r="96" spans="1:17" ht="75" x14ac:dyDescent="0.25">
      <c r="B96">
        <v>2021</v>
      </c>
      <c r="C96">
        <v>2022</v>
      </c>
      <c r="D96">
        <v>2023</v>
      </c>
      <c r="E96">
        <v>2024</v>
      </c>
      <c r="F96" t="s">
        <v>28</v>
      </c>
      <c r="H96">
        <f>B96</f>
        <v>2021</v>
      </c>
      <c r="I96">
        <f t="shared" ref="I96:K96" si="30">C96</f>
        <v>2022</v>
      </c>
      <c r="J96">
        <f t="shared" si="30"/>
        <v>2023</v>
      </c>
      <c r="K96">
        <f t="shared" si="30"/>
        <v>2024</v>
      </c>
      <c r="L96" t="s">
        <v>28</v>
      </c>
      <c r="N96" s="293"/>
      <c r="O96" s="892" t="s">
        <v>1349</v>
      </c>
      <c r="P96" s="892" t="s">
        <v>1350</v>
      </c>
      <c r="Q96" s="892" t="s">
        <v>1351</v>
      </c>
    </row>
    <row r="97" spans="1:21" x14ac:dyDescent="0.25">
      <c r="A97" s="888" t="s">
        <v>1305</v>
      </c>
      <c r="C97" s="108">
        <f>VLOOKUP(A97,'[12]Resumen A2022'!$A$5:$B$27,2,0)</f>
        <v>54420914.310000002</v>
      </c>
      <c r="E97" s="108"/>
      <c r="F97" s="108">
        <f>SUM(B97:E97)</f>
        <v>54420914.310000002</v>
      </c>
      <c r="H97">
        <f>'Base ETESA'!AJ12</f>
        <v>0</v>
      </c>
      <c r="I97" s="108">
        <f>'Base ETESA'!AQ12</f>
        <v>54420914.310000002</v>
      </c>
      <c r="J97" s="108">
        <f>'Base ETESA'!AX12</f>
        <v>0</v>
      </c>
      <c r="K97" s="1553">
        <f>'Base ETESA'!BE12</f>
        <v>328173.9299999997</v>
      </c>
      <c r="L97" s="108">
        <f>SUM(H97:K97)</f>
        <v>54749088.240000002</v>
      </c>
      <c r="N97" s="293" t="str">
        <f t="shared" ref="N97:N110" si="31">A97</f>
        <v>CV GANNA II (tramo de L/T 230kv)</v>
      </c>
      <c r="O97" s="654">
        <f t="shared" ref="O97:O166" si="32">F97</f>
        <v>54420914.310000002</v>
      </c>
      <c r="P97" s="654">
        <f t="shared" ref="P97:P166" si="33">L97</f>
        <v>54749088.240000002</v>
      </c>
      <c r="Q97" s="654">
        <f>N76</f>
        <v>54749088.240000002</v>
      </c>
      <c r="U97" s="886">
        <f t="shared" ref="U97:U166" si="34">(P97-O97)/O97</f>
        <v>6.0302906366219719E-3</v>
      </c>
    </row>
    <row r="98" spans="1:21" x14ac:dyDescent="0.25">
      <c r="A98" s="888" t="s">
        <v>962</v>
      </c>
      <c r="B98" s="108"/>
      <c r="C98" s="108">
        <f>VLOOKUP(A98,'[12]Resumen A2022'!$A$5:$B$27,2,0)</f>
        <v>40847.24</v>
      </c>
      <c r="E98" s="108"/>
      <c r="F98" s="108">
        <f>SUM(B98:E98)</f>
        <v>40847.24</v>
      </c>
      <c r="H98" s="108">
        <f>'Base ETESA'!AJ15</f>
        <v>0.44000000320374966</v>
      </c>
      <c r="I98" s="108">
        <f>'Base ETESA'!AQ15</f>
        <v>40847.240000000224</v>
      </c>
      <c r="J98" s="108">
        <f>'Base ETESA'!AX15</f>
        <v>0</v>
      </c>
      <c r="K98" s="108">
        <f>'Base ETESA'!BE15</f>
        <v>0</v>
      </c>
      <c r="L98" s="108">
        <f>SUM(H98:K98)</f>
        <v>40847.680000003427</v>
      </c>
      <c r="N98" s="293" t="str">
        <f t="shared" si="31"/>
        <v>L/T 230 KV-CHANGUINOLA-FRONTERA (230-21)</v>
      </c>
      <c r="O98" s="654">
        <f>F98</f>
        <v>40847.24</v>
      </c>
      <c r="P98" s="654">
        <f t="shared" ref="P98:P110" si="35">L98</f>
        <v>40847.680000003427</v>
      </c>
      <c r="Q98" s="293"/>
      <c r="U98" s="886">
        <f>(P98-O98)/O98</f>
        <v>1.0771841706546253E-5</v>
      </c>
    </row>
    <row r="99" spans="1:21" x14ac:dyDescent="0.25">
      <c r="A99" s="888" t="s">
        <v>963</v>
      </c>
      <c r="B99" s="108"/>
      <c r="C99" s="108">
        <f>VLOOKUP(A99,'[12]Resumen A2022'!$A$5:$B$27,2,0)</f>
        <v>13660.91</v>
      </c>
      <c r="E99" s="108">
        <v>498088.20999999996</v>
      </c>
      <c r="F99" s="108">
        <f>SUM(B99:E99)</f>
        <v>511749.11999999994</v>
      </c>
      <c r="H99" s="108">
        <f>'Base ETESA'!AJ16</f>
        <v>0.43000001460313797</v>
      </c>
      <c r="I99" s="108">
        <f>'Base ETESA'!AQ16</f>
        <v>13660.910000003874</v>
      </c>
      <c r="J99" s="108">
        <f>'Base ETESA'!AX16</f>
        <v>0</v>
      </c>
      <c r="K99" s="108">
        <f>'Base ETESA'!BE16</f>
        <v>498088.21000000834</v>
      </c>
      <c r="L99" s="108">
        <f>SUM(H99:K99)</f>
        <v>511749.55000002682</v>
      </c>
      <c r="N99" s="293" t="str">
        <f t="shared" si="31"/>
        <v>L/T 230 KV-FORTUNA-CHANGUINOLA (230-20)</v>
      </c>
      <c r="O99" s="654">
        <f>F99</f>
        <v>511749.11999999994</v>
      </c>
      <c r="P99" s="654">
        <f t="shared" si="35"/>
        <v>511749.55000002682</v>
      </c>
      <c r="Q99" s="293"/>
      <c r="U99" s="886">
        <f>(P99-O99)/O99</f>
        <v>8.402555277182587E-7</v>
      </c>
    </row>
    <row r="100" spans="1:21" x14ac:dyDescent="0.25">
      <c r="A100" s="888" t="s">
        <v>969</v>
      </c>
      <c r="B100" s="108"/>
      <c r="C100" s="108"/>
      <c r="E100" s="108"/>
      <c r="F100" s="108"/>
      <c r="H100" s="108">
        <f>'Base ETESA'!AJ22</f>
        <v>-38994.070000007749</v>
      </c>
      <c r="I100" s="108">
        <f>'Base ETESA'!AQ22</f>
        <v>0</v>
      </c>
      <c r="J100" s="108">
        <f>'Base ETESA'!AX22</f>
        <v>0</v>
      </c>
      <c r="K100" s="108">
        <f>'Base ETESA'!BE22</f>
        <v>0</v>
      </c>
      <c r="L100" s="108">
        <f t="shared" ref="L100" si="36">SUM(H100:K100)</f>
        <v>-38994.070000007749</v>
      </c>
      <c r="N100" s="293" t="str">
        <f t="shared" si="31"/>
        <v>L/T 230 KV-VELADERO-MATA DE NANCE-5B</v>
      </c>
      <c r="O100" s="654"/>
      <c r="P100" s="654">
        <f t="shared" si="35"/>
        <v>-38994.070000007749</v>
      </c>
      <c r="Q100" s="293"/>
      <c r="U100" s="886"/>
    </row>
    <row r="101" spans="1:21" x14ac:dyDescent="0.25">
      <c r="A101" s="888" t="s">
        <v>1337</v>
      </c>
      <c r="B101" s="108">
        <f>VLOOKUP(A101,'[12]Resumen A2021'!$A$5:$B$29,2,0)</f>
        <v>1104073.4300000002</v>
      </c>
      <c r="C101" s="108"/>
      <c r="E101" s="108"/>
      <c r="F101" s="108">
        <f>SUM(B101:E101)</f>
        <v>1104073.4300000002</v>
      </c>
      <c r="H101" s="108">
        <f>'Base ETESA'!AJ27</f>
        <v>1104073.7099997699</v>
      </c>
      <c r="I101" s="108">
        <f>'Base ETESA'!AQ27</f>
        <v>25559.540000006557</v>
      </c>
      <c r="J101" s="108">
        <f>'Base ETESA'!AX27</f>
        <v>3689674.3800000101</v>
      </c>
      <c r="K101" s="108">
        <f>'Base ETESA'!BE27</f>
        <v>279780.12999999523</v>
      </c>
      <c r="L101" s="108">
        <f>SUM(H101:K101)</f>
        <v>5099087.7599997818</v>
      </c>
      <c r="N101" s="293" t="str">
        <f t="shared" si="31"/>
        <v>L/T 230KV VELADERO -LLANO SÁNCHEZ-230-51, 230-52</v>
      </c>
      <c r="O101" s="890">
        <f>F101</f>
        <v>1104073.4300000002</v>
      </c>
      <c r="P101" s="890">
        <f t="shared" si="35"/>
        <v>5099087.7599997818</v>
      </c>
      <c r="Q101" s="890">
        <f>N78</f>
        <v>5738510.4800000014</v>
      </c>
      <c r="U101" s="886">
        <f>(P101-O101)/O101</f>
        <v>3.618431728766248</v>
      </c>
    </row>
    <row r="102" spans="1:21" x14ac:dyDescent="0.25">
      <c r="A102" s="888" t="s">
        <v>970</v>
      </c>
      <c r="B102" s="108"/>
      <c r="C102" s="108">
        <f>VLOOKUP(A102,'[12]Resumen A2022'!$A$5:$B$27,2,0)</f>
        <v>62009.17</v>
      </c>
      <c r="E102" s="108"/>
      <c r="F102" s="108">
        <f>SUM(B102:E102)</f>
        <v>62009.17</v>
      </c>
      <c r="H102" s="108">
        <f>'Base ETESA'!AJ28</f>
        <v>-0.46000000089406967</v>
      </c>
      <c r="I102" s="108">
        <f>'Base ETESA'!AQ28</f>
        <v>62009.169999999925</v>
      </c>
      <c r="J102" s="108">
        <f>'Base ETESA'!AX28</f>
        <v>0</v>
      </c>
      <c r="K102" s="108">
        <f>'Base ETESA'!BE28</f>
        <v>0</v>
      </c>
      <c r="L102" s="108">
        <f>SUM(H102:K102)</f>
        <v>62008.709999999031</v>
      </c>
      <c r="N102" s="293" t="str">
        <f t="shared" si="31"/>
        <v>Líneas 230KV-Bayano-Pacora (230-1A)</v>
      </c>
      <c r="O102" s="654">
        <f>F102</f>
        <v>62009.17</v>
      </c>
      <c r="P102" s="654">
        <f t="shared" si="35"/>
        <v>62008.709999999031</v>
      </c>
      <c r="Q102" s="293"/>
      <c r="U102" s="886">
        <f>(P102-O102)/O102</f>
        <v>-7.4182576700644318E-6</v>
      </c>
    </row>
    <row r="103" spans="1:21" x14ac:dyDescent="0.25">
      <c r="A103" s="888" t="s">
        <v>1345</v>
      </c>
      <c r="B103" s="108">
        <f>VLOOKUP(A103,'[12]Resumen A2021'!$A$5:$B$29,2,0)</f>
        <v>151144.49</v>
      </c>
      <c r="C103" s="108"/>
      <c r="E103" s="108"/>
      <c r="F103" s="108">
        <f>SUM(B103:E103)</f>
        <v>151144.49</v>
      </c>
      <c r="H103" s="108">
        <f>'Base ETESA'!AJ30</f>
        <v>151144.32999975979</v>
      </c>
      <c r="I103" s="108">
        <f>'Base ETESA'!AQ30</f>
        <v>22720.879999995232</v>
      </c>
      <c r="J103" s="108">
        <f>'Base ETESA'!AX30</f>
        <v>0</v>
      </c>
      <c r="K103" s="108">
        <f>'Base ETESA'!BE30</f>
        <v>49783.990000002086</v>
      </c>
      <c r="L103" s="108">
        <f>SUM(H103:K103)</f>
        <v>223649.19999975711</v>
      </c>
      <c r="N103" s="293" t="str">
        <f t="shared" si="31"/>
        <v>L/T 230KV CHORRERA - PANAMÁ 230-47, 230-48</v>
      </c>
      <c r="O103" s="890">
        <f>F103</f>
        <v>151144.49</v>
      </c>
      <c r="P103" s="890">
        <f t="shared" si="35"/>
        <v>223649.19999975711</v>
      </c>
      <c r="Q103" s="293"/>
      <c r="U103" s="886">
        <f>(P103-O103)/O103</f>
        <v>0.47970461906852924</v>
      </c>
    </row>
    <row r="104" spans="1:21" x14ac:dyDescent="0.25">
      <c r="A104" s="888" t="s">
        <v>985</v>
      </c>
      <c r="B104" s="108"/>
      <c r="C104" s="108"/>
      <c r="E104" s="108"/>
      <c r="F104" s="108"/>
      <c r="H104" s="108">
        <f>'Base ETESA'!AJ31</f>
        <v>-612.67000234127045</v>
      </c>
      <c r="I104" s="108">
        <f>'Base ETESA'!AQ31</f>
        <v>612.53999999165535</v>
      </c>
      <c r="J104" s="108">
        <f>'Base ETESA'!AX31</f>
        <v>0</v>
      </c>
      <c r="K104" s="108">
        <f>'Base ETESA'!BE31</f>
        <v>0</v>
      </c>
      <c r="L104" s="108">
        <f t="shared" ref="L104" si="37">SUM(H104:K104)</f>
        <v>-0.13000234961509705</v>
      </c>
      <c r="N104" s="293" t="str">
        <f t="shared" si="31"/>
        <v>LINEAS 230KV-LLANO SANCHEZ - CHORRERA -230KV-49-50</v>
      </c>
      <c r="O104" s="654"/>
      <c r="P104" s="654">
        <f t="shared" si="35"/>
        <v>-0.13000234961509705</v>
      </c>
      <c r="Q104" s="293"/>
      <c r="U104" s="886"/>
    </row>
    <row r="105" spans="1:21" x14ac:dyDescent="0.25">
      <c r="A105" s="888" t="s">
        <v>987</v>
      </c>
      <c r="B105" s="108"/>
      <c r="C105" s="108"/>
      <c r="E105" s="108"/>
      <c r="F105" s="108"/>
      <c r="H105" s="108">
        <f>'Base ETESA'!AJ34</f>
        <v>522118.30999998841</v>
      </c>
      <c r="I105" s="108">
        <f>'Base ETESA'!AQ34</f>
        <v>0</v>
      </c>
      <c r="J105" s="108">
        <f>'Base ETESA'!AX34</f>
        <v>0</v>
      </c>
      <c r="K105" s="108">
        <f>'Base ETESA'!BE34</f>
        <v>0</v>
      </c>
      <c r="L105" s="108">
        <f t="shared" ref="L105" si="38">SUM(H105:K105)</f>
        <v>522118.30999998841</v>
      </c>
      <c r="N105" s="293" t="str">
        <f t="shared" si="31"/>
        <v>Líneas 230KV-Mata de Nance-Fortuna (230-7, 230-8)</v>
      </c>
      <c r="O105" s="654"/>
      <c r="P105" s="654">
        <f t="shared" si="35"/>
        <v>522118.30999998841</v>
      </c>
      <c r="Q105" s="293"/>
      <c r="U105" s="886"/>
    </row>
    <row r="106" spans="1:21" x14ac:dyDescent="0.25">
      <c r="A106" s="888" t="s">
        <v>980</v>
      </c>
      <c r="B106" s="108"/>
      <c r="C106" s="108"/>
      <c r="E106" s="108">
        <v>265604.96999999997</v>
      </c>
      <c r="F106" s="108"/>
      <c r="H106" s="108">
        <f>'Base ETESA'!AJ37</f>
        <v>-1997679.4200000018</v>
      </c>
      <c r="I106" s="108">
        <f>'Base ETESA'!AQ37</f>
        <v>-590191.68999969959</v>
      </c>
      <c r="J106" s="108">
        <f>'Base ETESA'!AX37</f>
        <v>-0.15999999642372131</v>
      </c>
      <c r="K106" s="108">
        <f>'Base ETESA'!BE37</f>
        <v>1018154.0700000003</v>
      </c>
      <c r="L106" s="108">
        <f t="shared" ref="L106" si="39">SUM(H106:K106)</f>
        <v>-1569717.1999996975</v>
      </c>
      <c r="N106" s="293" t="str">
        <f t="shared" si="31"/>
        <v>Líneas 230KV-Panamá II-Llano Sánchez (230-12, 230-13)</v>
      </c>
      <c r="O106" s="654"/>
      <c r="P106" s="654">
        <f t="shared" si="35"/>
        <v>-1569717.1999996975</v>
      </c>
      <c r="Q106" s="293"/>
      <c r="U106" s="886"/>
    </row>
    <row r="107" spans="1:21" x14ac:dyDescent="0.25">
      <c r="A107" s="888" t="s">
        <v>982</v>
      </c>
      <c r="C107" s="108"/>
      <c r="E107" s="108">
        <v>6275260.5700000003</v>
      </c>
      <c r="F107" s="108">
        <f>SUM(B107:E107)</f>
        <v>6275260.5700000003</v>
      </c>
      <c r="H107" s="108">
        <f>'Base ETESA'!AJ39</f>
        <v>-8.0000001937150955E-2</v>
      </c>
      <c r="I107" s="108">
        <f>'Base ETESA'!AQ39</f>
        <v>0</v>
      </c>
      <c r="J107" s="108">
        <f>'Base ETESA'!AX39</f>
        <v>0</v>
      </c>
      <c r="K107" s="108">
        <f>'Base ETESA'!BE39</f>
        <v>6275260.5700000003</v>
      </c>
      <c r="L107" s="108">
        <f>SUM(H107:K107)</f>
        <v>6275260.4899999984</v>
      </c>
      <c r="N107" s="293" t="str">
        <f t="shared" si="31"/>
        <v>Líneas 230KV-Panamá-Chorrera (230-3A, 230-4A)</v>
      </c>
      <c r="O107" s="654">
        <f>F107</f>
        <v>6275260.5700000003</v>
      </c>
      <c r="P107" s="654">
        <f t="shared" si="35"/>
        <v>6275260.4899999984</v>
      </c>
      <c r="Q107" s="293"/>
      <c r="U107" s="886">
        <f>(P107-O107)/O107</f>
        <v>-1.2748474911082609E-8</v>
      </c>
    </row>
    <row r="108" spans="1:21" x14ac:dyDescent="0.25">
      <c r="A108" s="1529" t="s">
        <v>972</v>
      </c>
      <c r="C108" s="108"/>
      <c r="E108" s="702">
        <v>2833318.85</v>
      </c>
      <c r="F108" s="108"/>
      <c r="H108" s="108"/>
      <c r="I108" s="108"/>
      <c r="J108" s="108"/>
      <c r="K108" s="108">
        <f>'Base ETESA'!BE29</f>
        <v>2833318.8499999996</v>
      </c>
      <c r="L108" s="108">
        <f>SUM(H108:K108)</f>
        <v>2833318.8499999996</v>
      </c>
      <c r="N108" s="293"/>
      <c r="O108" s="654"/>
      <c r="P108" s="654"/>
      <c r="Q108" s="293"/>
      <c r="U108" s="886"/>
    </row>
    <row r="109" spans="1:21" x14ac:dyDescent="0.25">
      <c r="A109" s="1529" t="s">
        <v>974</v>
      </c>
      <c r="C109" s="108"/>
      <c r="E109" s="702">
        <v>1531163.26</v>
      </c>
      <c r="F109" s="108"/>
      <c r="H109" s="108"/>
      <c r="I109" s="108"/>
      <c r="J109" s="108"/>
      <c r="K109" s="108">
        <f>'Base ETESA'!BE32</f>
        <v>1531163.2600000016</v>
      </c>
      <c r="L109" s="108">
        <f>SUM(H109:K109)</f>
        <v>1531163.2600000016</v>
      </c>
      <c r="N109" s="293"/>
      <c r="O109" s="654"/>
      <c r="P109" s="654"/>
      <c r="Q109" s="293"/>
      <c r="U109" s="886"/>
    </row>
    <row r="110" spans="1:21" x14ac:dyDescent="0.25">
      <c r="A110" s="888" t="s">
        <v>986</v>
      </c>
      <c r="B110" s="108"/>
      <c r="C110" s="108"/>
      <c r="E110" s="108">
        <v>291019.88</v>
      </c>
      <c r="F110" s="108"/>
      <c r="H110" s="108">
        <f>'Base ETESA'!AJ40</f>
        <v>1128761.8800001927</v>
      </c>
      <c r="I110" s="108">
        <f>'Base ETESA'!AQ40</f>
        <v>44763.449999999255</v>
      </c>
      <c r="J110" s="108">
        <f>'Base ETESA'!AX40</f>
        <v>0</v>
      </c>
      <c r="K110" s="108">
        <f>'Base ETESA'!BE40</f>
        <v>291019.88000000268</v>
      </c>
      <c r="L110" s="108">
        <f t="shared" ref="L110" si="40">SUM(H110:K110)</f>
        <v>1464545.2100001946</v>
      </c>
      <c r="N110" s="293" t="str">
        <f t="shared" si="31"/>
        <v>Líneas 230KV-Veladero-Guasquitas (230-16, 230-17)</v>
      </c>
      <c r="O110" s="654"/>
      <c r="P110" s="654">
        <f t="shared" si="35"/>
        <v>1464545.2100001946</v>
      </c>
      <c r="Q110" s="293"/>
      <c r="U110" s="886"/>
    </row>
    <row r="111" spans="1:21" x14ac:dyDescent="0.25">
      <c r="A111" s="888" t="s">
        <v>1336</v>
      </c>
      <c r="C111" s="108"/>
      <c r="E111" s="702">
        <v>44462231.11999993</v>
      </c>
      <c r="F111" s="108">
        <f t="shared" ref="F111:F166" si="41">SUM(B111:E111)</f>
        <v>44462231.11999993</v>
      </c>
      <c r="H111">
        <f>'Base ETESA'!AJ41</f>
        <v>0</v>
      </c>
      <c r="I111">
        <f>'Base ETESA'!AQ41</f>
        <v>0</v>
      </c>
      <c r="J111">
        <f>'Base ETESA'!AX41</f>
        <v>0</v>
      </c>
      <c r="K111" s="108">
        <f>'Base ETESA'!BE41</f>
        <v>44462231.120000005</v>
      </c>
      <c r="L111" s="108">
        <f t="shared" ref="L111:L166" si="42">SUM(H111:K111)</f>
        <v>44462231.120000005</v>
      </c>
      <c r="N111" s="293" t="str">
        <f t="shared" ref="N111:N148" si="43">A111</f>
        <v>L/T 230KV SABANITAS - PANAMA 3</v>
      </c>
      <c r="O111" s="890">
        <f t="shared" si="32"/>
        <v>44462231.11999993</v>
      </c>
      <c r="P111" s="890">
        <f t="shared" si="33"/>
        <v>44462231.120000005</v>
      </c>
      <c r="Q111" s="890">
        <f>N77</f>
        <v>11959916.709999999</v>
      </c>
      <c r="U111" s="886">
        <f t="shared" si="34"/>
        <v>1.675710014824789E-15</v>
      </c>
    </row>
    <row r="112" spans="1:21" x14ac:dyDescent="0.25">
      <c r="A112" s="888" t="s">
        <v>1347</v>
      </c>
      <c r="B112" s="108"/>
      <c r="C112" s="108">
        <f>VLOOKUP(A112,'[12]Resumen A2022'!$A$5:$B$27,2,0)</f>
        <v>62009.180000000008</v>
      </c>
      <c r="E112" s="108"/>
      <c r="F112" s="108">
        <f>SUM(B112:E112)</f>
        <v>62009.180000000008</v>
      </c>
      <c r="H112" s="108">
        <f>'Base ETESA'!AJ44</f>
        <v>613787.89999999851</v>
      </c>
      <c r="I112" s="108">
        <f>'Base ETESA'!AQ44</f>
        <v>62009.180000000633</v>
      </c>
      <c r="J112" s="108">
        <f>'Base ETESA'!AX44</f>
        <v>0</v>
      </c>
      <c r="K112" s="108">
        <f>'Base ETESA'!BE44</f>
        <v>0</v>
      </c>
      <c r="L112" s="108">
        <f>SUM(H112:K112)</f>
        <v>675797.07999999914</v>
      </c>
      <c r="N112" s="293" t="str">
        <f t="shared" ref="N112:N136" si="44">A112</f>
        <v>Línea 115Kv-CPSA-BLM2 (115-4B, 115-3B)</v>
      </c>
      <c r="O112" s="890">
        <f>F112</f>
        <v>62009.180000000008</v>
      </c>
      <c r="P112" s="890">
        <f t="shared" ref="P112:P136" si="45">L112</f>
        <v>675797.07999999914</v>
      </c>
      <c r="Q112" s="293"/>
      <c r="U112" s="886">
        <f>(P112-O112)/O112</f>
        <v>9.898339245898736</v>
      </c>
    </row>
    <row r="113" spans="1:21" x14ac:dyDescent="0.25">
      <c r="A113" s="888" t="s">
        <v>991</v>
      </c>
      <c r="B113" s="108"/>
      <c r="C113" s="108"/>
      <c r="E113" s="108"/>
      <c r="F113" s="108"/>
      <c r="H113" s="108">
        <f>'Base ETESA'!AJ45</f>
        <v>351541.85000000056</v>
      </c>
      <c r="I113" s="108">
        <f>'Base ETESA'!AQ45</f>
        <v>90737.639999999665</v>
      </c>
      <c r="J113" s="108">
        <f>'Base ETESA'!AX45</f>
        <v>0</v>
      </c>
      <c r="K113" s="108">
        <f>'Base ETESA'!BE45</f>
        <v>0</v>
      </c>
      <c r="L113" s="108">
        <f t="shared" ref="L113" si="46">SUM(H113:K113)</f>
        <v>442279.49000000022</v>
      </c>
      <c r="N113" s="293" t="str">
        <f t="shared" si="44"/>
        <v>Línea 115KV-Panamá CPSA (115-4A)</v>
      </c>
      <c r="O113" s="654"/>
      <c r="P113" s="654">
        <f t="shared" si="45"/>
        <v>442279.49000000022</v>
      </c>
      <c r="Q113" s="293"/>
      <c r="U113" s="886"/>
    </row>
    <row r="114" spans="1:21" x14ac:dyDescent="0.25">
      <c r="A114" s="888" t="s">
        <v>992</v>
      </c>
      <c r="B114" s="108"/>
      <c r="C114" s="108"/>
      <c r="E114" s="108"/>
      <c r="F114" s="108"/>
      <c r="H114" s="108">
        <f>'Base ETESA'!AJ46</f>
        <v>-0.20999999949708581</v>
      </c>
      <c r="I114" s="108">
        <f>'Base ETESA'!AQ46</f>
        <v>33668.639999999665</v>
      </c>
      <c r="J114" s="108">
        <f>'Base ETESA'!AX46</f>
        <v>0</v>
      </c>
      <c r="K114" s="108">
        <f>'Base ETESA'!BE46</f>
        <v>0</v>
      </c>
      <c r="L114" s="108">
        <f t="shared" ref="L114:L116" si="47">SUM(H114:K114)</f>
        <v>33668.430000000168</v>
      </c>
      <c r="N114" s="293" t="str">
        <f t="shared" si="44"/>
        <v>Líneas 115Kv-BLM1-Santa Rita (115-1B, 115-2B)</v>
      </c>
      <c r="O114" s="654"/>
      <c r="P114" s="654">
        <f t="shared" si="45"/>
        <v>33668.430000000168</v>
      </c>
      <c r="Q114" s="293"/>
      <c r="U114" s="886"/>
    </row>
    <row r="115" spans="1:21" x14ac:dyDescent="0.25">
      <c r="A115" s="1529" t="s">
        <v>1794</v>
      </c>
      <c r="B115" s="108"/>
      <c r="C115" s="108"/>
      <c r="E115" s="702">
        <v>13470512.630000001</v>
      </c>
      <c r="F115" s="108"/>
      <c r="H115" s="108"/>
      <c r="I115" s="108"/>
      <c r="J115" s="108"/>
      <c r="K115" s="108">
        <f>'Base ETESA'!BE50</f>
        <v>13470512.630000001</v>
      </c>
      <c r="L115" s="108">
        <f t="shared" si="47"/>
        <v>13470512.630000001</v>
      </c>
      <c r="N115" s="293"/>
      <c r="O115" s="654"/>
      <c r="P115" s="654"/>
      <c r="Q115" s="293"/>
      <c r="U115" s="886"/>
    </row>
    <row r="116" spans="1:21" x14ac:dyDescent="0.25">
      <c r="A116" s="1529" t="s">
        <v>1799</v>
      </c>
      <c r="B116" s="108"/>
      <c r="C116" s="108"/>
      <c r="E116" s="702">
        <v>518816</v>
      </c>
      <c r="F116" s="108"/>
      <c r="H116" s="108"/>
      <c r="I116" s="108"/>
      <c r="J116" s="108"/>
      <c r="K116" s="108">
        <f>'Base ETESA'!BE77</f>
        <v>518816</v>
      </c>
      <c r="L116" s="108">
        <f t="shared" si="47"/>
        <v>518816</v>
      </c>
      <c r="N116" s="293"/>
      <c r="O116" s="654"/>
      <c r="P116" s="654"/>
      <c r="Q116" s="293"/>
      <c r="U116" s="886"/>
    </row>
    <row r="117" spans="1:21" x14ac:dyDescent="0.25">
      <c r="A117" s="888" t="s">
        <v>1348</v>
      </c>
      <c r="B117" s="678"/>
      <c r="C117" s="108"/>
      <c r="D117" s="108"/>
      <c r="E117" s="108">
        <v>129722.08</v>
      </c>
      <c r="F117" s="108">
        <f t="shared" ref="F117:F133" si="48">SUM(B117:E117)</f>
        <v>129722.08</v>
      </c>
      <c r="H117" s="108">
        <f>'Base ETESA'!AJ55</f>
        <v>0</v>
      </c>
      <c r="I117" s="108">
        <f>'Base ETESA'!AQ55</f>
        <v>0</v>
      </c>
      <c r="J117" s="108">
        <f>'Base ETESA'!AX55</f>
        <v>0</v>
      </c>
      <c r="K117" s="108">
        <f>'Base ETESA'!BE55</f>
        <v>129722.08</v>
      </c>
      <c r="L117" s="108">
        <f t="shared" ref="L117:L133" si="49">SUM(H117:K117)</f>
        <v>129722.08</v>
      </c>
      <c r="N117" s="293" t="str">
        <f t="shared" si="44"/>
        <v>PATIO 230 KV  CAÑAZAS</v>
      </c>
      <c r="O117" s="654">
        <f t="shared" ref="O117:O133" si="50">F117</f>
        <v>129722.08</v>
      </c>
      <c r="P117" s="654">
        <f t="shared" si="45"/>
        <v>129722.08</v>
      </c>
      <c r="Q117" s="293"/>
      <c r="U117" s="886">
        <f t="shared" ref="U117:U133" si="51">(P117-O117)/O117</f>
        <v>0</v>
      </c>
    </row>
    <row r="118" spans="1:21" x14ac:dyDescent="0.25">
      <c r="A118" s="888" t="s">
        <v>998</v>
      </c>
      <c r="B118" s="108"/>
      <c r="C118" s="108">
        <f>VLOOKUP(A118,'[12]Resumen A2022'!$A$5:$B$27,2,0)</f>
        <v>7324640.6399999978</v>
      </c>
      <c r="E118" s="108">
        <v>3735573.3000000003</v>
      </c>
      <c r="F118" s="108">
        <f t="shared" si="48"/>
        <v>11060213.939999998</v>
      </c>
      <c r="H118" s="108">
        <f>'Base ETESA'!AJ58</f>
        <v>0.46000000648200512</v>
      </c>
      <c r="I118" s="108">
        <f>'Base ETESA'!AQ58</f>
        <v>7324640.6399999969</v>
      </c>
      <c r="J118" s="108">
        <f>'Base ETESA'!AX58</f>
        <v>0</v>
      </c>
      <c r="K118" s="108">
        <f>'Base ETESA'!BE58</f>
        <v>3753121.7400000077</v>
      </c>
      <c r="L118" s="108">
        <f t="shared" si="49"/>
        <v>11077762.840000011</v>
      </c>
      <c r="N118" s="293" t="str">
        <f t="shared" si="44"/>
        <v>PATIO 230 KV-CHANGUINOLA</v>
      </c>
      <c r="O118" s="654">
        <f t="shared" si="50"/>
        <v>11060213.939999998</v>
      </c>
      <c r="P118" s="654">
        <f t="shared" si="45"/>
        <v>11077762.840000011</v>
      </c>
      <c r="Q118" s="654">
        <f>N79</f>
        <v>7575567.8899999987</v>
      </c>
      <c r="U118" s="886">
        <f t="shared" si="51"/>
        <v>1.586669127307443E-3</v>
      </c>
    </row>
    <row r="119" spans="1:21" x14ac:dyDescent="0.25">
      <c r="A119" s="888" t="s">
        <v>1000</v>
      </c>
      <c r="B119" s="108">
        <f>VLOOKUP(A119,'[12]Resumen A2021'!$A$5:$B$29,2,0)</f>
        <v>6456452.7799999947</v>
      </c>
      <c r="C119" s="108"/>
      <c r="D119" s="108">
        <f>VLOOKUP(A119,'[12]Resumen A2023'!$A$5:$B$18,2,0)</f>
        <v>207879.38</v>
      </c>
      <c r="E119" s="108">
        <v>154537.31</v>
      </c>
      <c r="F119" s="108">
        <f t="shared" si="48"/>
        <v>6818869.4699999942</v>
      </c>
      <c r="H119" s="108">
        <f>'Base ETESA'!AJ59</f>
        <v>6580946.6100000069</v>
      </c>
      <c r="I119" s="108">
        <f>'Base ETESA'!AQ59</f>
        <v>1230370.3100000471</v>
      </c>
      <c r="J119" s="108">
        <f>'Base ETESA'!AX59</f>
        <v>207879.38000000268</v>
      </c>
      <c r="K119" s="108">
        <f>'Base ETESA'!BE59</f>
        <v>154537.30999998748</v>
      </c>
      <c r="L119" s="108">
        <f t="shared" si="49"/>
        <v>8173733.6100000441</v>
      </c>
      <c r="N119" s="293" t="str">
        <f t="shared" si="44"/>
        <v>PATIO 230 KV-CHORRERA</v>
      </c>
      <c r="O119" s="890">
        <f t="shared" si="50"/>
        <v>6818869.4699999942</v>
      </c>
      <c r="P119" s="890">
        <f t="shared" si="45"/>
        <v>8173733.6100000441</v>
      </c>
      <c r="Q119" s="890">
        <f>N80</f>
        <v>13558604.109999999</v>
      </c>
      <c r="R119" s="108">
        <f>O119+O137</f>
        <v>11147185.079999994</v>
      </c>
      <c r="S119" s="108">
        <f>P119+P137</f>
        <v>13821907.420000043</v>
      </c>
      <c r="U119" s="886">
        <f t="shared" si="51"/>
        <v>0.19869336786117583</v>
      </c>
    </row>
    <row r="120" spans="1:21" x14ac:dyDescent="0.25">
      <c r="A120" s="888" t="s">
        <v>1002</v>
      </c>
      <c r="B120" s="108"/>
      <c r="C120" s="108">
        <f>VLOOKUP(A120,'[12]Resumen A2022'!$A$5:$B$27,2,0)</f>
        <v>60017.04</v>
      </c>
      <c r="D120" s="108"/>
      <c r="E120" s="108"/>
      <c r="F120" s="108">
        <f t="shared" si="48"/>
        <v>60017.04</v>
      </c>
      <c r="H120" s="108">
        <f>'Base ETESA'!AJ60</f>
        <v>0.46999999694526196</v>
      </c>
      <c r="I120" s="108">
        <f>'Base ETESA'!AQ60</f>
        <v>60017.040000000037</v>
      </c>
      <c r="J120" s="108">
        <f>'Base ETESA'!AX60</f>
        <v>0</v>
      </c>
      <c r="K120" s="108">
        <f>'Base ETESA'!BE60</f>
        <v>0</v>
      </c>
      <c r="L120" s="108">
        <f t="shared" si="49"/>
        <v>60017.509999996983</v>
      </c>
      <c r="N120" s="293" t="str">
        <f t="shared" si="44"/>
        <v>PATIO 230 KV-GUASQUITAS</v>
      </c>
      <c r="O120" s="654">
        <f t="shared" si="50"/>
        <v>60017.04</v>
      </c>
      <c r="P120" s="654">
        <f t="shared" si="45"/>
        <v>60017.509999996983</v>
      </c>
      <c r="Q120" s="293"/>
      <c r="U120" s="886">
        <f t="shared" si="51"/>
        <v>7.83110924800093E-6</v>
      </c>
    </row>
    <row r="121" spans="1:21" x14ac:dyDescent="0.25">
      <c r="A121" s="888" t="s">
        <v>1003</v>
      </c>
      <c r="B121" s="108">
        <f>VLOOKUP(A121,'[12]Resumen A2021'!$A$5:$B$29,2,0)</f>
        <v>26462227.059999995</v>
      </c>
      <c r="C121" s="108">
        <f>VLOOKUP(A121,'[12]Resumen A2022'!$A$5:$B$27,2,0)</f>
        <v>12724021.480000023</v>
      </c>
      <c r="D121" s="108">
        <f>VLOOKUP(A121,'[12]Resumen A2023'!$A$5:$B$18,2,0)</f>
        <v>63836.2</v>
      </c>
      <c r="E121" s="108">
        <v>88113.72</v>
      </c>
      <c r="F121" s="108">
        <f t="shared" si="48"/>
        <v>39338198.460000023</v>
      </c>
      <c r="H121" s="108">
        <f>'Base ETESA'!AJ61</f>
        <v>26462227.049999923</v>
      </c>
      <c r="I121" s="108">
        <f>'Base ETESA'!AQ61</f>
        <v>4233227.8799996078</v>
      </c>
      <c r="J121" s="108">
        <f>'Base ETESA'!AX61</f>
        <v>364434.45999999344</v>
      </c>
      <c r="K121" s="108">
        <f>'Base ETESA'!BE61</f>
        <v>107410.47999997437</v>
      </c>
      <c r="L121" s="108">
        <f t="shared" si="49"/>
        <v>31167299.869999498</v>
      </c>
      <c r="N121" s="293" t="str">
        <f t="shared" si="44"/>
        <v>PATIO 230 KV-LLANO SANCHEZ</v>
      </c>
      <c r="O121" s="890">
        <f t="shared" si="50"/>
        <v>39338198.460000023</v>
      </c>
      <c r="P121" s="890">
        <f t="shared" si="45"/>
        <v>31167299.869999498</v>
      </c>
      <c r="Q121" s="890">
        <f>N82</f>
        <v>32598540.320000045</v>
      </c>
      <c r="U121" s="886">
        <f t="shared" si="51"/>
        <v>-0.20770901845718434</v>
      </c>
    </row>
    <row r="122" spans="1:21" x14ac:dyDescent="0.25">
      <c r="A122" s="888" t="s">
        <v>1004</v>
      </c>
      <c r="B122" s="108">
        <f>VLOOKUP(A122,'[12]Resumen A2021'!$A$5:$B$29,2,0)</f>
        <v>3833859.5400000019</v>
      </c>
      <c r="C122" s="108">
        <f>VLOOKUP(A122,'[12]Resumen A2022'!$A$5:$B$27,2,0)</f>
        <v>71271.070000000007</v>
      </c>
      <c r="D122" s="108">
        <f>VLOOKUP(A122,'[12]Resumen A2023'!$A$5:$B$18,2,0)</f>
        <v>92330.299999999988</v>
      </c>
      <c r="E122" s="108">
        <v>30786.620000000003</v>
      </c>
      <c r="F122" s="108">
        <f t="shared" si="48"/>
        <v>4028247.5300000017</v>
      </c>
      <c r="H122" s="108">
        <f>'Base ETESA'!AJ62</f>
        <v>3022061.6899999715</v>
      </c>
      <c r="I122" s="108">
        <f>'Base ETESA'!AQ62</f>
        <v>71271.069999996573</v>
      </c>
      <c r="J122" s="108">
        <f>'Base ETESA'!AX62</f>
        <v>92330.30000000447</v>
      </c>
      <c r="K122" s="108">
        <f>'Base ETESA'!BE62</f>
        <v>30786.619999993593</v>
      </c>
      <c r="L122" s="108">
        <f t="shared" si="49"/>
        <v>3216449.6799999662</v>
      </c>
      <c r="N122" s="293" t="str">
        <f t="shared" si="44"/>
        <v>PATIO 230 KV-MATA DE NANCE</v>
      </c>
      <c r="O122" s="890">
        <f t="shared" si="50"/>
        <v>4028247.5300000017</v>
      </c>
      <c r="P122" s="890">
        <f t="shared" si="45"/>
        <v>3216449.6799999662</v>
      </c>
      <c r="Q122" s="890">
        <f>N83</f>
        <v>10245570.899999997</v>
      </c>
      <c r="U122" s="886">
        <f t="shared" si="51"/>
        <v>-0.20152630739651572</v>
      </c>
    </row>
    <row r="123" spans="1:21" x14ac:dyDescent="0.25">
      <c r="A123" s="888" t="s">
        <v>1005</v>
      </c>
      <c r="B123" s="108">
        <f>VLOOKUP(A123,'[12]Resumen A2021'!$A$5:$B$29,2,0)</f>
        <v>5458751.5999999987</v>
      </c>
      <c r="C123" s="108">
        <f>VLOOKUP(A123,'[12]Resumen A2022'!$A$5:$B$27,2,0)</f>
        <v>73393.350000000006</v>
      </c>
      <c r="D123" s="108">
        <f>VLOOKUP(A123,'[12]Resumen A2023'!$A$5:$B$18,2,0)</f>
        <v>8928217.8200000003</v>
      </c>
      <c r="E123" s="108">
        <v>193379.24000000005</v>
      </c>
      <c r="F123" s="108">
        <f t="shared" si="48"/>
        <v>14653742.01</v>
      </c>
      <c r="H123" s="108">
        <f>'Base ETESA'!AJ66</f>
        <v>5458751.6699998677</v>
      </c>
      <c r="I123" s="108">
        <f>'Base ETESA'!AQ66</f>
        <v>12807.150000013411</v>
      </c>
      <c r="J123" s="108">
        <f>'Base ETESA'!AX66</f>
        <v>8932775.0199999958</v>
      </c>
      <c r="K123" s="108">
        <f>'Base ETESA'!BE66</f>
        <v>721267.70999997109</v>
      </c>
      <c r="L123" s="108">
        <f t="shared" si="49"/>
        <v>15125601.549999848</v>
      </c>
      <c r="N123" s="293" t="str">
        <f t="shared" si="44"/>
        <v>PATIO 230 KV-PANAMA</v>
      </c>
      <c r="O123" s="654">
        <f t="shared" si="50"/>
        <v>14653742.01</v>
      </c>
      <c r="P123" s="890">
        <f t="shared" si="45"/>
        <v>15125601.549999848</v>
      </c>
      <c r="Q123" s="890">
        <f>N84</f>
        <v>15369864.309999999</v>
      </c>
      <c r="U123" s="886">
        <f t="shared" si="51"/>
        <v>3.2200617403926046E-2</v>
      </c>
    </row>
    <row r="124" spans="1:21" x14ac:dyDescent="0.25">
      <c r="A124" s="888" t="s">
        <v>1006</v>
      </c>
      <c r="B124" s="108">
        <f>VLOOKUP(A124,'[12]Resumen A2021'!$A$5:$B$29,2,0)</f>
        <v>4102990.5600000005</v>
      </c>
      <c r="C124" s="108">
        <f>VLOOKUP(A124,'[12]Resumen A2022'!$A$5:$B$27,2,0)</f>
        <v>23933648.859999951</v>
      </c>
      <c r="D124" s="108"/>
      <c r="E124" s="108">
        <v>15157.6</v>
      </c>
      <c r="F124" s="108">
        <f t="shared" si="48"/>
        <v>28051797.019999951</v>
      </c>
      <c r="H124" s="108">
        <f>'Base ETESA'!AJ67</f>
        <v>3905268.8100000992</v>
      </c>
      <c r="I124" s="108">
        <f>'Base ETESA'!AQ67</f>
        <v>24833745.049999803</v>
      </c>
      <c r="J124" s="108">
        <f>'Base ETESA'!AX67</f>
        <v>-105983.49999999255</v>
      </c>
      <c r="K124" s="108">
        <f>'Base ETESA'!BE67</f>
        <v>15157.60000000149</v>
      </c>
      <c r="L124" s="108">
        <f t="shared" si="49"/>
        <v>28648187.959999911</v>
      </c>
      <c r="N124" s="293" t="str">
        <f t="shared" si="44"/>
        <v>PATIO 230 KV-PANAMA II</v>
      </c>
      <c r="O124" s="654">
        <f t="shared" si="50"/>
        <v>28051797.019999951</v>
      </c>
      <c r="P124" s="890">
        <f t="shared" si="45"/>
        <v>28648187.959999911</v>
      </c>
      <c r="Q124" s="890">
        <f>N85</f>
        <v>5014127.130000012</v>
      </c>
      <c r="U124" s="886">
        <f t="shared" si="51"/>
        <v>2.1260347049237325E-2</v>
      </c>
    </row>
    <row r="125" spans="1:21" x14ac:dyDescent="0.25">
      <c r="A125" s="1529" t="s">
        <v>1796</v>
      </c>
      <c r="B125" s="108"/>
      <c r="C125" s="108"/>
      <c r="D125" s="108"/>
      <c r="E125" s="702">
        <v>22184161.989999976</v>
      </c>
      <c r="F125" s="108"/>
      <c r="H125" s="108"/>
      <c r="I125" s="108"/>
      <c r="J125" s="108"/>
      <c r="K125" s="108">
        <f>'Base ETESA'!BE68</f>
        <v>22184161.989999998</v>
      </c>
      <c r="L125" s="108">
        <f t="shared" si="49"/>
        <v>22184161.989999998</v>
      </c>
      <c r="N125" s="293"/>
      <c r="O125" s="654"/>
      <c r="P125" s="890"/>
      <c r="Q125" s="890"/>
      <c r="U125" s="886"/>
    </row>
    <row r="126" spans="1:21" x14ac:dyDescent="0.25">
      <c r="A126" s="888" t="s">
        <v>1007</v>
      </c>
      <c r="B126" s="108">
        <f>VLOOKUP(A126,'[12]Resumen A2021'!$A$5:$B$29,2,0)</f>
        <v>1888568.15</v>
      </c>
      <c r="C126" s="108">
        <f>VLOOKUP(A126,'[12]Resumen A2022'!$A$5:$B$27,2,0)</f>
        <v>10040683.010000004</v>
      </c>
      <c r="D126" s="108"/>
      <c r="E126" s="108">
        <v>362542.94000000006</v>
      </c>
      <c r="F126" s="108">
        <f t="shared" si="48"/>
        <v>12291794.100000003</v>
      </c>
      <c r="H126" s="108">
        <f>'Base ETESA'!AJ70</f>
        <v>1888568.290000001</v>
      </c>
      <c r="I126" s="108">
        <f>'Base ETESA'!AQ70</f>
        <v>10040683.009999992</v>
      </c>
      <c r="J126" s="108">
        <f>'Base ETESA'!AX70</f>
        <v>0</v>
      </c>
      <c r="K126" s="108">
        <f>'Base ETESA'!BE70</f>
        <v>375076.61999998987</v>
      </c>
      <c r="L126" s="108">
        <f t="shared" si="49"/>
        <v>12304327.919999983</v>
      </c>
      <c r="N126" s="293" t="str">
        <f t="shared" si="44"/>
        <v>PATIO 230 KV-PROGRESO</v>
      </c>
      <c r="O126" s="654">
        <f t="shared" si="50"/>
        <v>12291794.100000003</v>
      </c>
      <c r="P126" s="890">
        <f t="shared" si="45"/>
        <v>12304327.919999983</v>
      </c>
      <c r="Q126" s="890">
        <f>N86</f>
        <v>7508308.3199999994</v>
      </c>
      <c r="U126" s="886">
        <f t="shared" si="51"/>
        <v>1.0196900385745808E-3</v>
      </c>
    </row>
    <row r="127" spans="1:21" x14ac:dyDescent="0.25">
      <c r="A127" s="888" t="s">
        <v>1303</v>
      </c>
      <c r="B127" s="108">
        <f>VLOOKUP(A127,'[12]Resumen A2021'!$A$5:$B$29,2,0)</f>
        <v>7275133.21</v>
      </c>
      <c r="C127" s="108"/>
      <c r="D127" s="108"/>
      <c r="E127" s="108"/>
      <c r="F127" s="108">
        <f t="shared" si="48"/>
        <v>7275133.21</v>
      </c>
      <c r="H127" s="108">
        <f>'Base ETESA'!AJ71</f>
        <v>7275133.21</v>
      </c>
      <c r="I127" s="108">
        <f>'Base ETESA'!AQ71</f>
        <v>0</v>
      </c>
      <c r="J127" s="108">
        <f>'Base ETESA'!AX71</f>
        <v>0</v>
      </c>
      <c r="K127" s="108">
        <f>'Base ETESA'!BE71</f>
        <v>15071973.309999999</v>
      </c>
      <c r="L127" s="108">
        <f t="shared" si="49"/>
        <v>22347106.52</v>
      </c>
      <c r="N127" s="293" t="str">
        <f t="shared" si="44"/>
        <v>PATIO 230 KV-SABANITAS (TERRENO)</v>
      </c>
      <c r="O127" s="890">
        <f t="shared" si="50"/>
        <v>7275133.21</v>
      </c>
      <c r="P127" s="890">
        <f t="shared" si="45"/>
        <v>22347106.52</v>
      </c>
      <c r="Q127" s="890">
        <f>N87</f>
        <v>22238112.63000001</v>
      </c>
      <c r="U127" s="886">
        <f t="shared" si="51"/>
        <v>2.0717109742104638</v>
      </c>
    </row>
    <row r="128" spans="1:21" x14ac:dyDescent="0.25">
      <c r="A128" s="1529" t="s">
        <v>1797</v>
      </c>
      <c r="B128" s="108"/>
      <c r="C128" s="108"/>
      <c r="D128" s="108"/>
      <c r="E128" s="702">
        <v>15071973.310000008</v>
      </c>
      <c r="F128" s="108"/>
      <c r="H128" s="108"/>
      <c r="I128" s="108"/>
      <c r="J128" s="108"/>
      <c r="K128" s="108"/>
      <c r="L128" s="108"/>
      <c r="N128" s="293"/>
      <c r="O128" s="890"/>
      <c r="P128" s="890"/>
      <c r="Q128" s="890"/>
      <c r="U128" s="886"/>
    </row>
    <row r="129" spans="1:21" x14ac:dyDescent="0.25">
      <c r="A129" s="1529" t="s">
        <v>1798</v>
      </c>
      <c r="B129" s="108"/>
      <c r="C129" s="108"/>
      <c r="D129" s="108"/>
      <c r="E129" s="702">
        <v>1945447.82</v>
      </c>
      <c r="F129" s="108"/>
      <c r="H129" s="108"/>
      <c r="I129" s="108"/>
      <c r="J129" s="108"/>
      <c r="K129" s="108">
        <f>'Base ETESA'!BE69</f>
        <v>1945447.82</v>
      </c>
      <c r="L129" s="108">
        <f t="shared" si="49"/>
        <v>1945447.82</v>
      </c>
      <c r="N129" s="293"/>
      <c r="O129" s="890"/>
      <c r="P129" s="890"/>
      <c r="Q129" s="890"/>
      <c r="U129" s="886"/>
    </row>
    <row r="130" spans="1:21" x14ac:dyDescent="0.25">
      <c r="A130" s="888" t="s">
        <v>1009</v>
      </c>
      <c r="B130" s="108">
        <f>VLOOKUP(A130,'[12]Resumen A2021'!$A$5:$B$29,2,0)</f>
        <v>5712227.4600000037</v>
      </c>
      <c r="C130" s="108">
        <f>VLOOKUP(A130,'[12]Resumen A2022'!$A$5:$B$27,2,0)</f>
        <v>52241.11</v>
      </c>
      <c r="D130" s="108"/>
      <c r="E130" s="108">
        <v>85990.65</v>
      </c>
      <c r="F130" s="108">
        <f t="shared" si="48"/>
        <v>5850459.2200000044</v>
      </c>
      <c r="H130" s="108">
        <f>'Base ETESA'!AJ72</f>
        <v>5712227.3900000341</v>
      </c>
      <c r="I130" s="108">
        <f>'Base ETESA'!AQ72</f>
        <v>52241.109999999404</v>
      </c>
      <c r="J130" s="108">
        <f>'Base ETESA'!AX72</f>
        <v>844746.29999999329</v>
      </c>
      <c r="K130" s="108">
        <f>'Base ETESA'!BE72</f>
        <v>85990.650000002235</v>
      </c>
      <c r="L130" s="108">
        <f t="shared" si="49"/>
        <v>6695205.4500000291</v>
      </c>
      <c r="N130" s="293" t="str">
        <f t="shared" si="44"/>
        <v>PATIO 230 KV-VELADERO</v>
      </c>
      <c r="O130" s="890">
        <f t="shared" si="50"/>
        <v>5850459.2200000044</v>
      </c>
      <c r="P130" s="890">
        <f t="shared" si="45"/>
        <v>6695205.4500000291</v>
      </c>
      <c r="Q130" s="654">
        <f>N88</f>
        <v>6556973.7799999993</v>
      </c>
      <c r="U130" s="886">
        <f t="shared" si="51"/>
        <v>0.14438973048683587</v>
      </c>
    </row>
    <row r="131" spans="1:21" x14ac:dyDescent="0.25">
      <c r="A131" s="888" t="s">
        <v>1207</v>
      </c>
      <c r="B131" s="678"/>
      <c r="C131" s="108">
        <f>VLOOKUP(A131,'[12]Resumen A2022'!$A$5:$B$27,2,0)</f>
        <v>2754605.5200000019</v>
      </c>
      <c r="D131" s="108"/>
      <c r="E131" s="108">
        <v>57327.1</v>
      </c>
      <c r="F131" s="108">
        <f t="shared" si="48"/>
        <v>2811932.620000002</v>
      </c>
      <c r="H131" s="108">
        <f>'Base ETESA'!AJ74</f>
        <v>0.23000000417232513</v>
      </c>
      <c r="I131" s="108">
        <f>'Base ETESA'!AQ74</f>
        <v>2754605.5200000014</v>
      </c>
      <c r="J131" s="108">
        <f>'Base ETESA'!AX74</f>
        <v>0</v>
      </c>
      <c r="K131" s="108">
        <f>'Base ETESA'!BE74</f>
        <v>57327.10000000149</v>
      </c>
      <c r="L131" s="108">
        <f t="shared" si="49"/>
        <v>2811932.8500000071</v>
      </c>
      <c r="N131" s="293" t="str">
        <f t="shared" si="44"/>
        <v>PATIO 230KV-CHORRERA-EL HIGO</v>
      </c>
      <c r="O131" s="890">
        <f t="shared" si="50"/>
        <v>2811932.620000002</v>
      </c>
      <c r="P131" s="890">
        <f t="shared" si="45"/>
        <v>2811932.8500000071</v>
      </c>
      <c r="Q131" s="293"/>
      <c r="U131" s="886">
        <f t="shared" si="51"/>
        <v>8.1794280370646842E-8</v>
      </c>
    </row>
    <row r="132" spans="1:21" x14ac:dyDescent="0.25">
      <c r="A132" s="888" t="s">
        <v>1015</v>
      </c>
      <c r="B132" s="108">
        <f>VLOOKUP(A132,'[12]Resumen A2021'!$A$5:$B$29,2,0)</f>
        <v>4249533.72</v>
      </c>
      <c r="C132" s="108"/>
      <c r="D132" s="108"/>
      <c r="E132" s="108">
        <v>153995.00999999998</v>
      </c>
      <c r="F132" s="108">
        <f t="shared" si="48"/>
        <v>4403528.7299999995</v>
      </c>
      <c r="H132" s="108">
        <f>'Base ETESA'!AJ75</f>
        <v>4249533.5699999835</v>
      </c>
      <c r="I132" s="108">
        <f>'Base ETESA'!AQ75</f>
        <v>0</v>
      </c>
      <c r="J132" s="108">
        <f>'Base ETESA'!AX75</f>
        <v>680462.59000000544</v>
      </c>
      <c r="K132" s="108">
        <f>'Base ETESA'!BE75</f>
        <v>153995.01000000536</v>
      </c>
      <c r="L132" s="108">
        <f t="shared" si="49"/>
        <v>5083991.1699999943</v>
      </c>
      <c r="N132" s="293" t="str">
        <f t="shared" si="44"/>
        <v>PATIO 230/34.5KV - SAN BARTOLO</v>
      </c>
      <c r="O132" s="890">
        <f t="shared" si="50"/>
        <v>4403528.7299999995</v>
      </c>
      <c r="P132" s="890">
        <f t="shared" si="45"/>
        <v>5083991.1699999943</v>
      </c>
      <c r="Q132" s="654">
        <f>N89</f>
        <v>4929996.3099999977</v>
      </c>
      <c r="U132" s="886">
        <f t="shared" si="51"/>
        <v>0.15452662664925884</v>
      </c>
    </row>
    <row r="133" spans="1:21" x14ac:dyDescent="0.25">
      <c r="A133" s="888" t="s">
        <v>1016</v>
      </c>
      <c r="B133" s="678"/>
      <c r="C133" s="108"/>
      <c r="D133" s="108"/>
      <c r="E133" s="108">
        <v>98935.459999999992</v>
      </c>
      <c r="F133" s="108">
        <f t="shared" si="48"/>
        <v>98935.459999999992</v>
      </c>
      <c r="H133" s="108">
        <f>'Base ETESA'!AJ76</f>
        <v>0.23999999696388841</v>
      </c>
      <c r="I133" s="108">
        <f>'Base ETESA'!AQ76</f>
        <v>0</v>
      </c>
      <c r="J133" s="108">
        <f>'Base ETESA'!AX76</f>
        <v>0</v>
      </c>
      <c r="K133" s="108">
        <f>'Base ETESA'!BE76</f>
        <v>98935.459999999963</v>
      </c>
      <c r="L133" s="108">
        <f t="shared" si="49"/>
        <v>98935.699999996927</v>
      </c>
      <c r="N133" s="293" t="str">
        <f t="shared" si="44"/>
        <v>PATIO 230KV - BELLA VISTA (NAVE 2)</v>
      </c>
      <c r="O133" s="654">
        <f t="shared" si="50"/>
        <v>98935.459999999992</v>
      </c>
      <c r="P133" s="654">
        <f t="shared" si="45"/>
        <v>98935.699999996927</v>
      </c>
      <c r="Q133" s="293"/>
      <c r="U133" s="886">
        <f t="shared" si="51"/>
        <v>2.4258238343945094E-6</v>
      </c>
    </row>
    <row r="134" spans="1:21" x14ac:dyDescent="0.25">
      <c r="A134" s="888" t="s">
        <v>1018</v>
      </c>
      <c r="B134" s="678"/>
      <c r="C134" s="108"/>
      <c r="D134" s="108"/>
      <c r="E134" s="108">
        <v>2159212.81</v>
      </c>
      <c r="F134" s="108"/>
      <c r="H134" s="108">
        <f>'Base ETESA'!AJ80</f>
        <v>4.000003170222044E-2</v>
      </c>
      <c r="I134" s="108">
        <f>'Base ETESA'!AQ80</f>
        <v>-45543.480000000447</v>
      </c>
      <c r="J134" s="108">
        <f>'Base ETESA'!AX80</f>
        <v>0</v>
      </c>
      <c r="K134" s="108">
        <f>'Base ETESA'!BE80</f>
        <v>2159212.8099999996</v>
      </c>
      <c r="L134" s="108">
        <f t="shared" ref="L134" si="52">SUM(H134:K134)</f>
        <v>2113669.3700000308</v>
      </c>
      <c r="N134" s="293" t="str">
        <f t="shared" si="44"/>
        <v>PATIO 115 KV-CACERES</v>
      </c>
      <c r="O134" s="654"/>
      <c r="P134" s="654">
        <f t="shared" si="45"/>
        <v>2113669.3700000308</v>
      </c>
      <c r="Q134" s="293"/>
      <c r="U134" s="886"/>
    </row>
    <row r="135" spans="1:21" x14ac:dyDescent="0.25">
      <c r="A135" s="888" t="s">
        <v>1019</v>
      </c>
      <c r="B135" s="678"/>
      <c r="C135" s="108"/>
      <c r="D135" s="108"/>
      <c r="E135" s="108">
        <v>360887.07</v>
      </c>
      <c r="F135" s="108">
        <f>SUM(B135:E135)</f>
        <v>360887.07</v>
      </c>
      <c r="H135" s="108">
        <f>'Base ETESA'!AJ81</f>
        <v>-41014.079999996349</v>
      </c>
      <c r="I135" s="108">
        <f>'Base ETESA'!AQ81</f>
        <v>0</v>
      </c>
      <c r="J135" s="108">
        <f>'Base ETESA'!AX81</f>
        <v>0</v>
      </c>
      <c r="K135" s="108">
        <f>'Base ETESA'!BE81</f>
        <v>622316.44000000134</v>
      </c>
      <c r="L135" s="108">
        <f>SUM(H135:K135)</f>
        <v>581302.36000000499</v>
      </c>
      <c r="N135" s="293" t="str">
        <f t="shared" si="44"/>
        <v>PATIO 115 KV-CALDERA</v>
      </c>
      <c r="O135" s="890">
        <f>F135</f>
        <v>360887.07</v>
      </c>
      <c r="P135" s="890">
        <f t="shared" si="45"/>
        <v>581302.36000000499</v>
      </c>
      <c r="Q135" s="293"/>
      <c r="U135" s="886">
        <f>(P135-O135)/O135</f>
        <v>0.61075973156922736</v>
      </c>
    </row>
    <row r="136" spans="1:21" x14ac:dyDescent="0.25">
      <c r="A136" s="888" t="s">
        <v>1021</v>
      </c>
      <c r="B136" s="678"/>
      <c r="C136" s="108"/>
      <c r="D136" s="108">
        <f>VLOOKUP(A136,'[12]Resumen A2023'!$A$5:$B$18,2,0)</f>
        <v>154871.47</v>
      </c>
      <c r="E136" s="108">
        <v>1060898.3800000001</v>
      </c>
      <c r="F136" s="108">
        <f>SUM(B136:E136)</f>
        <v>1215769.8500000001</v>
      </c>
      <c r="H136" s="108">
        <f>'Base ETESA'!AJ83</f>
        <v>362157.31000004895</v>
      </c>
      <c r="I136" s="108">
        <f>'Base ETESA'!AQ83</f>
        <v>1632456.6000000015</v>
      </c>
      <c r="J136" s="108">
        <f>'Base ETESA'!AX83</f>
        <v>154871.46999999881</v>
      </c>
      <c r="K136" s="108">
        <f>'Base ETESA'!BE83</f>
        <v>1060898.3800000008</v>
      </c>
      <c r="L136" s="108">
        <f>SUM(H136:K136)</f>
        <v>3210383.7600000501</v>
      </c>
      <c r="N136" s="293" t="str">
        <f t="shared" si="44"/>
        <v>PATIO 115 KV-PANAMA</v>
      </c>
      <c r="O136" s="890">
        <f>F136</f>
        <v>1215769.8500000001</v>
      </c>
      <c r="P136" s="890">
        <f t="shared" si="45"/>
        <v>3210383.7600000501</v>
      </c>
      <c r="Q136" s="293"/>
      <c r="U136" s="886">
        <f>(P136-O136)/O136</f>
        <v>1.6406180084166833</v>
      </c>
    </row>
    <row r="137" spans="1:21" x14ac:dyDescent="0.25">
      <c r="A137" s="1141" t="s">
        <v>1000</v>
      </c>
      <c r="B137" s="678">
        <f>'[12]Resumen A2021'!$B$17</f>
        <v>4328315.6100000013</v>
      </c>
      <c r="C137" s="108"/>
      <c r="D137" s="108"/>
      <c r="E137" s="108"/>
      <c r="F137" s="108">
        <f t="shared" si="41"/>
        <v>4328315.6100000013</v>
      </c>
      <c r="H137" s="108">
        <f>'Base ETESA'!AJ93</f>
        <v>4328315.6100000013</v>
      </c>
      <c r="I137" s="108">
        <f>'Base ETESA'!AQ93</f>
        <v>0</v>
      </c>
      <c r="J137" s="108">
        <f>'Base ETESA'!AX93</f>
        <v>1319858.1999999983</v>
      </c>
      <c r="K137" s="1553">
        <f>'Base ETESA'!BE93</f>
        <v>0</v>
      </c>
      <c r="L137" s="108">
        <f t="shared" si="42"/>
        <v>5648173.8099999996</v>
      </c>
      <c r="N137" s="293" t="str">
        <f t="shared" si="43"/>
        <v>PATIO 230 KV-CHORRERA</v>
      </c>
      <c r="O137" s="890">
        <f t="shared" si="32"/>
        <v>4328315.6100000013</v>
      </c>
      <c r="P137" s="890">
        <f t="shared" si="33"/>
        <v>5648173.8099999996</v>
      </c>
      <c r="Q137" s="654"/>
      <c r="U137" s="886">
        <f t="shared" si="34"/>
        <v>0.30493575767687559</v>
      </c>
    </row>
    <row r="138" spans="1:21" x14ac:dyDescent="0.25">
      <c r="A138" s="1141" t="s">
        <v>1009</v>
      </c>
      <c r="B138" s="678"/>
      <c r="C138" s="108"/>
      <c r="D138" s="108"/>
      <c r="E138" s="108"/>
      <c r="F138" s="108">
        <f t="shared" si="41"/>
        <v>0</v>
      </c>
      <c r="H138" s="108"/>
      <c r="I138" s="108"/>
      <c r="J138" s="108"/>
      <c r="K138" s="108"/>
      <c r="L138" s="108">
        <f t="shared" si="42"/>
        <v>0</v>
      </c>
      <c r="N138" s="293" t="str">
        <f t="shared" si="43"/>
        <v>PATIO 230 KV-VELADERO</v>
      </c>
      <c r="O138" s="890">
        <f t="shared" si="32"/>
        <v>0</v>
      </c>
      <c r="P138" s="890">
        <f t="shared" si="33"/>
        <v>0</v>
      </c>
      <c r="Q138" s="890">
        <f>N88</f>
        <v>6556973.7799999993</v>
      </c>
      <c r="U138" s="886" t="e">
        <f t="shared" si="34"/>
        <v>#DIV/0!</v>
      </c>
    </row>
    <row r="139" spans="1:21" x14ac:dyDescent="0.25">
      <c r="A139" s="1529" t="s">
        <v>1795</v>
      </c>
      <c r="B139" s="678"/>
      <c r="C139" s="108"/>
      <c r="D139" s="108"/>
      <c r="E139" s="108">
        <v>6935705.9099999927</v>
      </c>
      <c r="F139" s="108"/>
      <c r="H139" s="108"/>
      <c r="I139" s="108"/>
      <c r="J139" s="108"/>
      <c r="K139" s="1553">
        <f>'Base ETESA'!BE63</f>
        <v>6935705.9099999927</v>
      </c>
      <c r="L139" s="108">
        <f t="shared" si="42"/>
        <v>6935705.9099999927</v>
      </c>
      <c r="N139" s="293"/>
      <c r="O139" s="890"/>
      <c r="P139" s="890"/>
      <c r="Q139" s="890"/>
      <c r="U139" s="886"/>
    </row>
    <row r="140" spans="1:21" x14ac:dyDescent="0.25">
      <c r="A140" s="1141" t="s">
        <v>946</v>
      </c>
      <c r="B140" s="678"/>
      <c r="C140" s="108"/>
      <c r="D140" s="108"/>
      <c r="E140" s="108"/>
      <c r="F140" s="108"/>
      <c r="H140" s="108">
        <f>'Base ETESA'!AJ96</f>
        <v>-27462.80999999959</v>
      </c>
      <c r="I140" s="108">
        <f>'Base ETESA'!AQ96</f>
        <v>0</v>
      </c>
      <c r="J140" s="108">
        <f>'Base ETESA'!AX96</f>
        <v>0</v>
      </c>
      <c r="K140" s="1553">
        <f>'Base ETESA'!BE96</f>
        <v>0</v>
      </c>
      <c r="L140" s="108">
        <f t="shared" ref="L140" si="53">SUM(H140:K140)</f>
        <v>-27462.80999999959</v>
      </c>
      <c r="N140" s="293" t="str">
        <f t="shared" si="43"/>
        <v>PATIO 115 KV-CHARCO AZUL</v>
      </c>
      <c r="O140" s="654"/>
      <c r="P140" s="654">
        <f t="shared" si="33"/>
        <v>-27462.80999999959</v>
      </c>
      <c r="Q140" s="293"/>
      <c r="U140" s="886"/>
    </row>
    <row r="141" spans="1:21" x14ac:dyDescent="0.25">
      <c r="A141" s="1141" t="s">
        <v>947</v>
      </c>
      <c r="B141" s="678"/>
      <c r="C141" s="108"/>
      <c r="D141" s="108"/>
      <c r="E141" s="108"/>
      <c r="F141" s="108"/>
      <c r="H141" s="108">
        <f>'Base ETESA'!AJ97</f>
        <v>-246063.57000000402</v>
      </c>
      <c r="I141" s="108">
        <f>'Base ETESA'!AQ97</f>
        <v>0</v>
      </c>
      <c r="J141" s="108">
        <f>'Base ETESA'!AX97</f>
        <v>0</v>
      </c>
      <c r="K141" s="1553">
        <f>'Base ETESA'!BE97</f>
        <v>0</v>
      </c>
      <c r="L141" s="108">
        <f t="shared" ref="L141:L143" si="54">SUM(H141:K141)</f>
        <v>-246063.57000000402</v>
      </c>
      <c r="N141" s="293" t="str">
        <f t="shared" si="43"/>
        <v>PATIO 115 KV-LLANO SANCHEZ</v>
      </c>
      <c r="O141" s="654"/>
      <c r="P141" s="654">
        <f t="shared" si="33"/>
        <v>-246063.57000000402</v>
      </c>
      <c r="Q141" s="293"/>
      <c r="U141" s="886"/>
    </row>
    <row r="142" spans="1:21" x14ac:dyDescent="0.25">
      <c r="A142" s="1529" t="s">
        <v>1024</v>
      </c>
      <c r="B142" s="678"/>
      <c r="C142" s="108"/>
      <c r="D142" s="108"/>
      <c r="E142" s="108">
        <v>92359.860000000015</v>
      </c>
      <c r="F142" s="108"/>
      <c r="H142" s="108"/>
      <c r="I142" s="108"/>
      <c r="J142" s="108"/>
      <c r="K142" s="108">
        <f>'Base ETESA'!BE85</f>
        <v>92359.860000000335</v>
      </c>
      <c r="L142" s="108">
        <f t="shared" si="54"/>
        <v>92359.860000000335</v>
      </c>
      <c r="N142" s="293"/>
      <c r="O142" s="654"/>
      <c r="P142" s="654"/>
      <c r="Q142" s="293"/>
      <c r="U142" s="886"/>
    </row>
    <row r="143" spans="1:21" x14ac:dyDescent="0.25">
      <c r="A143" s="1529" t="s">
        <v>952</v>
      </c>
      <c r="B143" s="678"/>
      <c r="C143" s="108"/>
      <c r="D143" s="108"/>
      <c r="E143" s="108">
        <v>74133.240000000005</v>
      </c>
      <c r="F143" s="108"/>
      <c r="H143" s="108"/>
      <c r="I143" s="108"/>
      <c r="J143" s="108"/>
      <c r="K143" s="1553">
        <f>'Base ETESA'!BE101</f>
        <v>74133.239999999874</v>
      </c>
      <c r="L143" s="108">
        <f t="shared" si="54"/>
        <v>74133.239999999874</v>
      </c>
      <c r="N143" s="293"/>
      <c r="O143" s="654"/>
      <c r="P143" s="654"/>
      <c r="Q143" s="293"/>
      <c r="U143" s="886"/>
    </row>
    <row r="144" spans="1:21" x14ac:dyDescent="0.25">
      <c r="A144" s="1141" t="s">
        <v>951</v>
      </c>
      <c r="B144" s="678"/>
      <c r="C144" s="108"/>
      <c r="D144" s="108"/>
      <c r="E144" s="108">
        <v>38200.000000000007</v>
      </c>
      <c r="F144" s="108"/>
      <c r="H144" s="108">
        <f>'Base ETESA'!AJ102</f>
        <v>-28063.760000001639</v>
      </c>
      <c r="I144" s="108">
        <f>'Base ETESA'!AQ102</f>
        <v>0</v>
      </c>
      <c r="J144" s="108">
        <f>'Base ETESA'!AX102</f>
        <v>0</v>
      </c>
      <c r="K144" s="1553">
        <f>'Base ETESA'!BE102</f>
        <v>38200.000000000931</v>
      </c>
      <c r="L144" s="108">
        <f t="shared" ref="L144" si="55">SUM(H144:K144)</f>
        <v>10136.239999999292</v>
      </c>
      <c r="N144" s="293" t="str">
        <f>A144</f>
        <v>PATIO 34.5 KV-CHORRERA</v>
      </c>
      <c r="O144" s="654"/>
      <c r="P144" s="654">
        <f>L144</f>
        <v>10136.239999999292</v>
      </c>
      <c r="Q144" s="890"/>
      <c r="U144" s="886"/>
    </row>
    <row r="145" spans="1:21" x14ac:dyDescent="0.25">
      <c r="A145" s="1141" t="s">
        <v>953</v>
      </c>
      <c r="B145" s="678"/>
      <c r="C145" s="108">
        <f>VLOOKUP(A145,'[12]Resumen A2022'!$A$5:$B$27,2,0)</f>
        <v>2159627.189999999</v>
      </c>
      <c r="D145" s="108">
        <f>VLOOKUP(A145,'[12]Resumen A2023'!$A$5:$B$18,2,0)</f>
        <v>677544.60000000009</v>
      </c>
      <c r="E145" s="108">
        <v>373185.78</v>
      </c>
      <c r="F145" s="108">
        <f t="shared" si="41"/>
        <v>3210357.5699999994</v>
      </c>
      <c r="H145" s="108">
        <f>'Base ETESA'!AJ103</f>
        <v>-0.49999999965075403</v>
      </c>
      <c r="I145" s="108">
        <f>'Base ETESA'!AQ103</f>
        <v>2442552.2399999998</v>
      </c>
      <c r="J145" s="108">
        <f>'Base ETESA'!AX103</f>
        <v>677544.60000000102</v>
      </c>
      <c r="K145" s="1553">
        <f>'Base ETESA'!BE103</f>
        <v>373185.7799999998</v>
      </c>
      <c r="L145" s="108">
        <f t="shared" si="42"/>
        <v>3493282.120000001</v>
      </c>
      <c r="N145" s="293" t="str">
        <f t="shared" si="43"/>
        <v>PATIO 34.5 KV-LLANO SANCHEZ</v>
      </c>
      <c r="O145" s="890">
        <f t="shared" si="32"/>
        <v>3210357.5699999994</v>
      </c>
      <c r="P145" s="890">
        <f t="shared" si="33"/>
        <v>3493282.120000001</v>
      </c>
      <c r="Q145" s="890">
        <f>N90</f>
        <v>2159627.19</v>
      </c>
      <c r="U145" s="886">
        <f t="shared" si="34"/>
        <v>8.8128672221394241E-2</v>
      </c>
    </row>
    <row r="146" spans="1:21" x14ac:dyDescent="0.25">
      <c r="A146" s="1141" t="s">
        <v>954</v>
      </c>
      <c r="B146" s="678"/>
      <c r="C146" s="108"/>
      <c r="D146" s="108"/>
      <c r="E146" s="108"/>
      <c r="F146" s="108"/>
      <c r="H146" s="108">
        <f>'Base ETESA'!AJ104</f>
        <v>0.31000000005587935</v>
      </c>
      <c r="I146" s="108">
        <f>'Base ETESA'!AQ104</f>
        <v>0</v>
      </c>
      <c r="J146" s="108">
        <f>'Base ETESA'!AX104</f>
        <v>0</v>
      </c>
      <c r="K146" s="1553">
        <f>'Base ETESA'!BE104</f>
        <v>106516.35999999987</v>
      </c>
      <c r="L146" s="108">
        <f t="shared" ref="L146" si="56">SUM(H146:K146)</f>
        <v>106516.66999999993</v>
      </c>
      <c r="N146" s="293" t="str">
        <f t="shared" si="43"/>
        <v>PATIO 34.5 KV-MATA DE NANCE</v>
      </c>
      <c r="O146" s="890"/>
      <c r="P146" s="654">
        <f t="shared" si="33"/>
        <v>106516.66999999993</v>
      </c>
      <c r="Q146" s="890"/>
      <c r="U146" s="886"/>
    </row>
    <row r="147" spans="1:21" x14ac:dyDescent="0.25">
      <c r="A147" s="1141" t="s">
        <v>956</v>
      </c>
      <c r="B147" s="678"/>
      <c r="C147" s="108"/>
      <c r="D147" s="108"/>
      <c r="E147" s="108"/>
      <c r="F147" s="108"/>
      <c r="H147" s="108">
        <f>'Base ETESA'!AJ109</f>
        <v>153074.16000000003</v>
      </c>
      <c r="I147" s="108">
        <f>'Base ETESA'!AQ109</f>
        <v>0</v>
      </c>
      <c r="J147" s="108">
        <f>'Base ETESA'!AX109</f>
        <v>0</v>
      </c>
      <c r="K147" s="1553">
        <f>'Base ETESA'!BE109</f>
        <v>0</v>
      </c>
      <c r="L147" s="108">
        <f t="shared" ref="L147" si="57">SUM(H147:K147)</f>
        <v>153074.16000000003</v>
      </c>
      <c r="N147" s="293" t="str">
        <f t="shared" si="43"/>
        <v>L/T 115 KV-CALDERA-ESTRELLA-17</v>
      </c>
      <c r="O147" s="654"/>
      <c r="P147" s="654">
        <f t="shared" si="33"/>
        <v>153074.16000000003</v>
      </c>
      <c r="Q147" s="890"/>
      <c r="U147" s="886"/>
    </row>
    <row r="148" spans="1:21" x14ac:dyDescent="0.25">
      <c r="A148" s="1141" t="s">
        <v>957</v>
      </c>
      <c r="B148" s="678"/>
      <c r="C148" s="108"/>
      <c r="D148" s="108"/>
      <c r="E148" s="108"/>
      <c r="F148" s="108"/>
      <c r="H148" s="108">
        <f>'Base ETESA'!AJ110</f>
        <v>30377.440000000061</v>
      </c>
      <c r="I148" s="108">
        <f>'Base ETESA'!AQ110</f>
        <v>0</v>
      </c>
      <c r="J148" s="108">
        <f>'Base ETESA'!AX110</f>
        <v>0</v>
      </c>
      <c r="K148" s="1553">
        <f>'Base ETESA'!BE110</f>
        <v>0</v>
      </c>
      <c r="L148" s="108">
        <f t="shared" ref="L148" si="58">SUM(H148:K148)</f>
        <v>30377.440000000061</v>
      </c>
      <c r="N148" s="293" t="str">
        <f t="shared" si="43"/>
        <v>L/T 115 KV-CALDERA-LOS VALLES-18</v>
      </c>
      <c r="O148" s="654"/>
      <c r="P148" s="654">
        <f t="shared" si="33"/>
        <v>30377.440000000061</v>
      </c>
      <c r="Q148" s="890"/>
      <c r="U148" s="886"/>
    </row>
    <row r="149" spans="1:21" x14ac:dyDescent="0.25">
      <c r="A149" s="888" t="s">
        <v>321</v>
      </c>
      <c r="B149" s="108">
        <f>VLOOKUP(A149,'[12]Resumen A2021'!$A$5:$B$29,2,0)</f>
        <v>12679.5</v>
      </c>
      <c r="C149" s="108">
        <f>VLOOKUP(A149,'[12]Resumen A2022'!$A$5:$B$27,2,0)</f>
        <v>227863.38999999996</v>
      </c>
      <c r="D149" s="108">
        <f>VLOOKUP(A149,'[12]Resumen A2023'!$A$5:$B$18,2,0)</f>
        <v>407167.31</v>
      </c>
      <c r="E149" s="108">
        <v>822536.46999999811</v>
      </c>
      <c r="F149" s="108">
        <f t="shared" si="41"/>
        <v>1470246.6699999981</v>
      </c>
      <c r="H149" s="108">
        <f>'Base ETESA'!AJ123</f>
        <v>396651.26999997208</v>
      </c>
      <c r="I149" s="108">
        <f>'Base ETESA'!AQ123</f>
        <v>216841.14999999711</v>
      </c>
      <c r="J149" s="108">
        <f>'Base ETESA'!AX123</f>
        <v>240257.12000001967</v>
      </c>
      <c r="K149" s="108">
        <f>'Base ETESA'!BE123</f>
        <v>913612.40000001155</v>
      </c>
      <c r="L149" s="108">
        <f t="shared" si="42"/>
        <v>1767361.9400000004</v>
      </c>
      <c r="N149" s="293"/>
      <c r="O149" s="654">
        <f t="shared" si="32"/>
        <v>1470246.6699999981</v>
      </c>
      <c r="P149" s="654">
        <f t="shared" si="33"/>
        <v>1767361.9400000004</v>
      </c>
      <c r="Q149" s="293"/>
      <c r="U149" s="886">
        <f t="shared" si="34"/>
        <v>0.20208532082579228</v>
      </c>
    </row>
    <row r="150" spans="1:21" x14ac:dyDescent="0.25">
      <c r="A150" s="888" t="s">
        <v>812</v>
      </c>
      <c r="B150" s="108">
        <f>VLOOKUP(A150,'[12]Resumen A2021'!$A$5:$B$29,2,0)</f>
        <v>5879.66</v>
      </c>
      <c r="C150" s="108"/>
      <c r="D150" s="108"/>
      <c r="E150" s="108">
        <v>304880</v>
      </c>
      <c r="F150" s="108">
        <f t="shared" si="41"/>
        <v>310759.65999999997</v>
      </c>
      <c r="H150" s="108">
        <f>'Base ETESA'!AJ117</f>
        <v>-187501.63000004366</v>
      </c>
      <c r="I150" s="108">
        <f>'Base ETESA'!AQ117</f>
        <v>0</v>
      </c>
      <c r="J150" s="108">
        <f>'Base ETESA'!AX117</f>
        <v>0</v>
      </c>
      <c r="K150" s="108">
        <f>'Base ETESA'!BE117</f>
        <v>304879.99999990314</v>
      </c>
      <c r="L150" s="108">
        <f t="shared" si="42"/>
        <v>117378.36999985948</v>
      </c>
      <c r="N150" s="293"/>
      <c r="O150" s="654">
        <f t="shared" si="32"/>
        <v>310759.65999999997</v>
      </c>
      <c r="P150" s="654">
        <f t="shared" si="33"/>
        <v>117378.36999985948</v>
      </c>
      <c r="Q150" s="293"/>
      <c r="U150" s="886">
        <f t="shared" si="34"/>
        <v>-0.62228569177910831</v>
      </c>
    </row>
    <row r="151" spans="1:21" x14ac:dyDescent="0.25">
      <c r="A151" s="888" t="s">
        <v>812</v>
      </c>
      <c r="B151" s="678">
        <f>'[12]Resumen A2021'!$B$23</f>
        <v>23442.63</v>
      </c>
      <c r="C151" s="108"/>
      <c r="D151" s="108"/>
      <c r="E151" s="108"/>
      <c r="F151" s="108">
        <f t="shared" si="41"/>
        <v>23442.63</v>
      </c>
      <c r="L151" s="108">
        <f t="shared" si="42"/>
        <v>0</v>
      </c>
      <c r="N151" s="293"/>
      <c r="O151" s="654">
        <f t="shared" si="32"/>
        <v>23442.63</v>
      </c>
      <c r="P151" s="654">
        <f t="shared" si="33"/>
        <v>0</v>
      </c>
      <c r="Q151" s="293"/>
      <c r="U151" s="886">
        <f t="shared" si="34"/>
        <v>-1</v>
      </c>
    </row>
    <row r="152" spans="1:21" x14ac:dyDescent="0.25">
      <c r="A152" s="888" t="s">
        <v>324</v>
      </c>
      <c r="B152" s="108">
        <f>VLOOKUP(A152,'[12]Resumen A2021'!$A$5:$B$29,2,0)</f>
        <v>2285189.6400000025</v>
      </c>
      <c r="C152" s="108">
        <f>VLOOKUP(A152,'[12]Resumen A2022'!$A$5:$B$27,2,0)</f>
        <v>340123.49</v>
      </c>
      <c r="D152" s="108">
        <f>VLOOKUP(A152,'[12]Resumen A2023'!$A$5:$B$18,2,0)</f>
        <v>2883960.2000000007</v>
      </c>
      <c r="E152" s="108">
        <v>1970011.1199999982</v>
      </c>
      <c r="F152" s="108">
        <f t="shared" si="41"/>
        <v>7479284.450000002</v>
      </c>
      <c r="H152" s="108">
        <f>'Base ETESA'!AJ118</f>
        <v>2371639.3099999353</v>
      </c>
      <c r="I152" s="108">
        <f>'Base ETESA'!AQ118</f>
        <v>340123.48999994807</v>
      </c>
      <c r="J152" s="108">
        <f>'Base ETESA'!AX118</f>
        <v>730792.04999998957</v>
      </c>
      <c r="K152" s="108">
        <f>'Base ETESA'!BE118</f>
        <v>5514466.0599999297</v>
      </c>
      <c r="L152" s="108">
        <f t="shared" si="42"/>
        <v>8957020.9099998027</v>
      </c>
      <c r="N152" s="293"/>
      <c r="O152" s="654">
        <f t="shared" si="32"/>
        <v>7479284.450000002</v>
      </c>
      <c r="P152" s="654">
        <f t="shared" si="33"/>
        <v>8957020.9099998027</v>
      </c>
      <c r="Q152" s="293"/>
      <c r="U152" s="886">
        <f t="shared" si="34"/>
        <v>0.19757725085583558</v>
      </c>
    </row>
    <row r="153" spans="1:21" x14ac:dyDescent="0.25">
      <c r="A153" s="888" t="s">
        <v>324</v>
      </c>
      <c r="B153" s="108"/>
      <c r="C153" s="108"/>
      <c r="D153" s="108">
        <f>'[12]Resumen A2023'!$B$15</f>
        <v>557299.42000000039</v>
      </c>
      <c r="E153" s="108">
        <v>5514466.0599999614</v>
      </c>
      <c r="F153" s="108">
        <f t="shared" si="41"/>
        <v>6071765.4799999613</v>
      </c>
      <c r="L153" s="108">
        <f t="shared" si="42"/>
        <v>0</v>
      </c>
      <c r="N153" s="293"/>
      <c r="O153" s="654">
        <f t="shared" si="32"/>
        <v>6071765.4799999613</v>
      </c>
      <c r="P153" s="654">
        <f t="shared" si="33"/>
        <v>0</v>
      </c>
      <c r="Q153" s="293"/>
      <c r="U153" s="886">
        <f t="shared" si="34"/>
        <v>-1</v>
      </c>
    </row>
    <row r="154" spans="1:21" x14ac:dyDescent="0.25">
      <c r="A154" s="1529" t="s">
        <v>323</v>
      </c>
      <c r="B154" s="108"/>
      <c r="C154" s="108"/>
      <c r="D154" s="108"/>
      <c r="E154" s="702">
        <v>475058.5199999999</v>
      </c>
      <c r="F154" s="108"/>
      <c r="K154" s="108">
        <f>'Base ETESA'!BE119</f>
        <v>475058.52000000025</v>
      </c>
      <c r="L154" s="108"/>
      <c r="N154" s="293"/>
      <c r="O154" s="654"/>
      <c r="P154" s="654"/>
      <c r="Q154" s="293"/>
      <c r="U154" s="886"/>
    </row>
    <row r="155" spans="1:21" x14ac:dyDescent="0.25">
      <c r="A155" s="888" t="s">
        <v>322</v>
      </c>
      <c r="B155" s="108">
        <f>VLOOKUP(A155,'[12]Resumen A2021'!$A$5:$B$29,2,0)</f>
        <v>373617.51</v>
      </c>
      <c r="C155" s="108">
        <f>VLOOKUP(A155,'[12]Resumen A2022'!$A$5:$B$27,2,0)</f>
        <v>936334.72999999986</v>
      </c>
      <c r="D155" s="108">
        <f>VLOOKUP(A155,'[12]Resumen A2023'!$A$5:$B$18,2,0)</f>
        <v>879998.94999999972</v>
      </c>
      <c r="E155" s="108">
        <v>230912.01</v>
      </c>
      <c r="F155" s="108">
        <f t="shared" si="41"/>
        <v>2420863.1999999993</v>
      </c>
      <c r="H155" s="108">
        <f>'Base ETESA'!AJ120</f>
        <v>373617.83999998681</v>
      </c>
      <c r="I155" s="108">
        <f>'Base ETESA'!AQ120</f>
        <v>939758.73000000045</v>
      </c>
      <c r="J155" s="108">
        <f>'Base ETESA'!AX120</f>
        <v>879998.95000000671</v>
      </c>
      <c r="K155" s="108">
        <f>'Base ETESA'!BE120</f>
        <v>211381.97000000067</v>
      </c>
      <c r="L155" s="108">
        <f t="shared" si="42"/>
        <v>2404757.4899999946</v>
      </c>
      <c r="N155" s="293"/>
      <c r="O155" s="654">
        <f t="shared" si="32"/>
        <v>2420863.1999999993</v>
      </c>
      <c r="P155" s="654">
        <f t="shared" si="33"/>
        <v>2404757.4899999946</v>
      </c>
      <c r="Q155" s="293"/>
      <c r="U155" s="886">
        <f t="shared" si="34"/>
        <v>-6.652879022657961E-3</v>
      </c>
    </row>
    <row r="156" spans="1:21" x14ac:dyDescent="0.25">
      <c r="A156" s="1529" t="s">
        <v>319</v>
      </c>
      <c r="B156" s="108"/>
      <c r="C156" s="108"/>
      <c r="D156" s="108"/>
      <c r="E156" s="702">
        <v>3588739.7600000012</v>
      </c>
      <c r="F156" s="108"/>
      <c r="H156" s="108"/>
      <c r="I156" s="108"/>
      <c r="J156" s="108"/>
      <c r="K156" s="108"/>
      <c r="L156" s="108"/>
      <c r="N156" s="293"/>
      <c r="O156" s="654"/>
      <c r="P156" s="654"/>
      <c r="Q156" s="293"/>
      <c r="U156" s="886"/>
    </row>
    <row r="157" spans="1:21" x14ac:dyDescent="0.25">
      <c r="A157" s="888" t="s">
        <v>815</v>
      </c>
      <c r="B157" s="108">
        <f>VLOOKUP(A157,'[12]Resumen A2021'!$A$5:$B$29,2,0)</f>
        <v>373138.41999999934</v>
      </c>
      <c r="C157" s="108">
        <f>VLOOKUP(A157,'[12]Resumen A2022'!$A$5:$B$27,2,0)</f>
        <v>324740.57000000018</v>
      </c>
      <c r="D157" s="108">
        <f>VLOOKUP(A157,'[12]Resumen A2023'!$A$5:$B$18,2,0)</f>
        <v>239359.69</v>
      </c>
      <c r="E157" s="108">
        <v>67800</v>
      </c>
      <c r="F157" s="108">
        <f t="shared" si="41"/>
        <v>1005038.6799999995</v>
      </c>
      <c r="H157" s="108">
        <f>'Base ETESA'!AJ121</f>
        <v>373475.73999999836</v>
      </c>
      <c r="I157" s="108">
        <f>'Base ETESA'!AQ121</f>
        <v>329388.12999999989</v>
      </c>
      <c r="J157" s="108">
        <f>'Base ETESA'!AX121</f>
        <v>239359.69000000018</v>
      </c>
      <c r="K157" s="108">
        <f>'Base ETESA'!BE121</f>
        <v>495455.54999999586</v>
      </c>
      <c r="L157" s="108">
        <f t="shared" si="42"/>
        <v>1437679.1099999943</v>
      </c>
      <c r="N157" s="293"/>
      <c r="O157" s="654">
        <f t="shared" si="32"/>
        <v>1005038.6799999995</v>
      </c>
      <c r="P157" s="654">
        <f t="shared" si="33"/>
        <v>1437679.1099999943</v>
      </c>
      <c r="Q157" s="293"/>
      <c r="U157" s="886">
        <f t="shared" si="34"/>
        <v>0.43047142225411167</v>
      </c>
    </row>
    <row r="158" spans="1:21" x14ac:dyDescent="0.25">
      <c r="A158" s="1529" t="s">
        <v>815</v>
      </c>
      <c r="B158" s="108"/>
      <c r="C158" s="108"/>
      <c r="D158" s="108"/>
      <c r="E158" s="108">
        <v>495455.55000000051</v>
      </c>
      <c r="F158" s="108"/>
      <c r="H158" s="108"/>
      <c r="I158" s="108"/>
      <c r="J158" s="108"/>
      <c r="K158" s="108"/>
      <c r="L158" s="108"/>
      <c r="N158" s="293"/>
      <c r="O158" s="654"/>
      <c r="P158" s="654"/>
      <c r="Q158" s="293"/>
      <c r="U158" s="886"/>
    </row>
    <row r="159" spans="1:21" x14ac:dyDescent="0.25">
      <c r="A159" s="888" t="s">
        <v>311</v>
      </c>
      <c r="B159" s="108">
        <f>VLOOKUP(A159,'[12]Resumen A2021'!$A$5:$B$29,2,0)</f>
        <v>175364.4</v>
      </c>
      <c r="C159" s="108"/>
      <c r="D159" s="108"/>
      <c r="E159" s="108"/>
      <c r="F159" s="108">
        <f t="shared" si="41"/>
        <v>175364.4</v>
      </c>
      <c r="H159" s="108">
        <f>'Base ETESA'!AJ122</f>
        <v>175364.47999999986</v>
      </c>
      <c r="I159" s="108">
        <f>'Base ETESA'!AQ122</f>
        <v>0</v>
      </c>
      <c r="J159" s="108">
        <f>'Base ETESA'!AX122</f>
        <v>0</v>
      </c>
      <c r="K159" s="108">
        <f>'Base ETESA'!BE122</f>
        <v>0</v>
      </c>
      <c r="L159" s="108">
        <f t="shared" si="42"/>
        <v>175364.47999999986</v>
      </c>
      <c r="N159" s="293"/>
      <c r="O159" s="654">
        <f t="shared" si="32"/>
        <v>175364.4</v>
      </c>
      <c r="P159" s="654">
        <f t="shared" si="33"/>
        <v>175364.47999999986</v>
      </c>
      <c r="Q159" s="293"/>
      <c r="U159" s="886">
        <f t="shared" si="34"/>
        <v>4.5619293237840176E-7</v>
      </c>
    </row>
    <row r="160" spans="1:21" x14ac:dyDescent="0.25">
      <c r="A160" s="888" t="s">
        <v>321</v>
      </c>
      <c r="B160" s="678">
        <f>'[12]Resumen A2021'!$B$28</f>
        <v>402399.02</v>
      </c>
      <c r="C160" s="108"/>
      <c r="D160" s="108"/>
      <c r="E160" s="108"/>
      <c r="F160" s="108">
        <f t="shared" si="41"/>
        <v>402399.02</v>
      </c>
      <c r="L160" s="108">
        <f t="shared" si="42"/>
        <v>0</v>
      </c>
      <c r="N160" s="293"/>
      <c r="O160" s="654">
        <f t="shared" si="32"/>
        <v>402399.02</v>
      </c>
      <c r="P160" s="654">
        <f t="shared" si="33"/>
        <v>0</v>
      </c>
      <c r="Q160" s="293"/>
      <c r="U160" s="886">
        <f t="shared" si="34"/>
        <v>-1</v>
      </c>
    </row>
    <row r="161" spans="1:23" x14ac:dyDescent="0.25">
      <c r="A161" s="888" t="s">
        <v>316</v>
      </c>
      <c r="B161" s="108">
        <f>VLOOKUP(A161,'[12]Resumen A2021'!$A$5:$B$29,2,0)</f>
        <v>43881.78</v>
      </c>
      <c r="C161" s="108">
        <f>VLOOKUP(A161,'[12]Resumen A2022'!$A$5:$B$27,2,0)</f>
        <v>567.1</v>
      </c>
      <c r="D161" s="108"/>
      <c r="E161" s="108"/>
      <c r="F161" s="108">
        <f t="shared" si="41"/>
        <v>44448.88</v>
      </c>
      <c r="H161" s="108">
        <f>'Base ETESA'!AJ124</f>
        <v>43881.739999999816</v>
      </c>
      <c r="I161" s="108">
        <f>'Base ETESA'!AQ124</f>
        <v>-442031.6599999998</v>
      </c>
      <c r="J161" s="108">
        <f>'Base ETESA'!AX124</f>
        <v>0</v>
      </c>
      <c r="K161" s="108">
        <f>'Base ETESA'!BE124</f>
        <v>0</v>
      </c>
      <c r="L161" s="108">
        <f t="shared" si="42"/>
        <v>-398149.92</v>
      </c>
      <c r="N161" s="293"/>
      <c r="O161" s="654">
        <f t="shared" si="32"/>
        <v>44448.88</v>
      </c>
      <c r="P161" s="654">
        <f t="shared" si="33"/>
        <v>-398149.92</v>
      </c>
      <c r="Q161" s="293"/>
      <c r="U161" s="886">
        <f t="shared" si="34"/>
        <v>-9.9574792435714912</v>
      </c>
    </row>
    <row r="162" spans="1:23" x14ac:dyDescent="0.25">
      <c r="A162" s="888" t="s">
        <v>303</v>
      </c>
      <c r="B162" s="108"/>
      <c r="C162" s="108">
        <f>VLOOKUP(A162,'[12]Resumen A2022'!$A$5:$B$27,2,0)</f>
        <v>6420</v>
      </c>
      <c r="D162" s="108"/>
      <c r="E162" s="108">
        <v>460756.93</v>
      </c>
      <c r="F162" s="108">
        <f t="shared" si="41"/>
        <v>467176.93</v>
      </c>
      <c r="H162" s="108">
        <f>'Base ETESA'!AJ116</f>
        <v>-0.23000000230967999</v>
      </c>
      <c r="I162" s="108">
        <f>'Base ETESA'!AQ116</f>
        <v>23558.159999999916</v>
      </c>
      <c r="J162" s="108">
        <f>'Base ETESA'!AX116</f>
        <v>0</v>
      </c>
      <c r="K162" s="108">
        <f>'Base ETESA'!BE116</f>
        <v>275368.76</v>
      </c>
      <c r="L162" s="108">
        <f t="shared" si="42"/>
        <v>298926.68999999762</v>
      </c>
      <c r="N162" s="293"/>
      <c r="O162" s="654">
        <f t="shared" si="32"/>
        <v>467176.93</v>
      </c>
      <c r="P162" s="654">
        <f t="shared" si="33"/>
        <v>298926.68999999762</v>
      </c>
      <c r="Q162" s="293"/>
      <c r="U162" s="886">
        <f t="shared" si="34"/>
        <v>-0.36014244110898708</v>
      </c>
    </row>
    <row r="163" spans="1:23" x14ac:dyDescent="0.25">
      <c r="A163" s="1529" t="s">
        <v>303</v>
      </c>
      <c r="B163" s="108"/>
      <c r="C163" s="108"/>
      <c r="D163" s="108"/>
      <c r="E163" s="702">
        <v>275368.76</v>
      </c>
      <c r="F163" s="108"/>
      <c r="H163" s="108"/>
      <c r="I163" s="108"/>
      <c r="J163" s="108"/>
      <c r="K163" s="108"/>
      <c r="L163" s="108"/>
      <c r="N163" s="293"/>
      <c r="O163" s="654"/>
      <c r="P163" s="654"/>
      <c r="Q163" s="293"/>
      <c r="U163" s="886"/>
    </row>
    <row r="164" spans="1:23" x14ac:dyDescent="0.25">
      <c r="A164" s="888" t="s">
        <v>302</v>
      </c>
      <c r="B164" s="108"/>
      <c r="C164" s="108"/>
      <c r="D164" s="108"/>
      <c r="E164" s="108"/>
      <c r="F164" s="108"/>
      <c r="H164" s="108">
        <f>'Base ETESA'!AJ125</f>
        <v>-5000.1100000000151</v>
      </c>
      <c r="I164" s="108">
        <f>'Base ETESA'!AQ125</f>
        <v>0</v>
      </c>
      <c r="J164" s="108">
        <f>'Base ETESA'!AX125</f>
        <v>0</v>
      </c>
      <c r="K164" s="108">
        <f>'Base ETESA'!BE125</f>
        <v>0</v>
      </c>
      <c r="L164" s="108">
        <f t="shared" ref="L164" si="59">SUM(H164:K164)</f>
        <v>-5000.1100000000151</v>
      </c>
      <c r="N164" s="293"/>
      <c r="O164" s="654"/>
      <c r="P164" s="654"/>
      <c r="Q164" s="293"/>
      <c r="U164" s="886"/>
    </row>
    <row r="165" spans="1:23" x14ac:dyDescent="0.25">
      <c r="A165" s="888" t="s">
        <v>1346</v>
      </c>
      <c r="B165" s="108">
        <f>SUM(B97:B162)</f>
        <v>74718870.170000002</v>
      </c>
      <c r="C165" s="108">
        <f>SUM(C97:C162)</f>
        <v>115629639.35999995</v>
      </c>
      <c r="D165" s="108">
        <f>SUM(D97:D162)</f>
        <v>15092465.340000002</v>
      </c>
      <c r="E165" s="108">
        <f>SUM(E97:E163)</f>
        <v>139754227.86999983</v>
      </c>
      <c r="F165" s="108">
        <f t="shared" si="41"/>
        <v>345195202.73999977</v>
      </c>
      <c r="H165" s="108">
        <f>SUM(H97:H164)</f>
        <v>74462310.189997166</v>
      </c>
      <c r="I165" s="108">
        <f>SUM(I97:I164)</f>
        <v>110278023.9499997</v>
      </c>
      <c r="J165" s="108">
        <f>SUM(J97:J164)</f>
        <v>18949000.850000031</v>
      </c>
      <c r="K165" s="108">
        <f>SUM(K97:K164)</f>
        <v>136093966.17999974</v>
      </c>
      <c r="L165" s="108">
        <f t="shared" si="42"/>
        <v>339783301.16999662</v>
      </c>
      <c r="N165" s="293" t="str">
        <f>A165</f>
        <v>total</v>
      </c>
      <c r="O165" s="654">
        <f t="shared" si="32"/>
        <v>345195202.73999977</v>
      </c>
      <c r="P165" s="654">
        <f t="shared" si="33"/>
        <v>339783301.16999662</v>
      </c>
      <c r="Q165" s="654">
        <f>O165</f>
        <v>345195202.73999977</v>
      </c>
      <c r="R165" s="108">
        <f>N92</f>
        <v>208694725.16000012</v>
      </c>
      <c r="S165" s="108">
        <f>Q165-R165</f>
        <v>136500477.57999966</v>
      </c>
      <c r="U165" s="886">
        <f t="shared" si="34"/>
        <v>-1.5677800638728413E-2</v>
      </c>
    </row>
    <row r="166" spans="1:23" x14ac:dyDescent="0.25">
      <c r="A166" s="888" t="s">
        <v>228</v>
      </c>
      <c r="B166" s="108">
        <f>SUM(B149:B162)</f>
        <v>3695592.5600000015</v>
      </c>
      <c r="C166" s="108">
        <f t="shared" ref="C166:E166" si="60">SUM(C149:C162)</f>
        <v>1836049.2800000003</v>
      </c>
      <c r="D166" s="108">
        <f t="shared" si="60"/>
        <v>4967785.5700000012</v>
      </c>
      <c r="E166" s="108">
        <f t="shared" si="60"/>
        <v>13930616.419999959</v>
      </c>
      <c r="F166" s="108">
        <f t="shared" si="41"/>
        <v>24430043.829999961</v>
      </c>
      <c r="H166" s="108">
        <f>SUM(H149:H162)</f>
        <v>3547128.5199998464</v>
      </c>
      <c r="I166" s="108">
        <f t="shared" ref="I166:K166" si="61">SUM(I149:I162)</f>
        <v>1407637.9999999458</v>
      </c>
      <c r="J166" s="108">
        <f t="shared" si="61"/>
        <v>2090407.8100000161</v>
      </c>
      <c r="K166" s="108">
        <f t="shared" si="61"/>
        <v>8190223.2599998415</v>
      </c>
      <c r="L166" s="108">
        <f t="shared" si="42"/>
        <v>15235397.58999965</v>
      </c>
      <c r="N166" s="293" t="str">
        <f>A166</f>
        <v>Planta General</v>
      </c>
      <c r="O166" s="654">
        <f t="shared" si="32"/>
        <v>24430043.829999961</v>
      </c>
      <c r="P166" s="654">
        <f t="shared" si="33"/>
        <v>15235397.58999965</v>
      </c>
      <c r="Q166" s="293"/>
      <c r="U166" s="886">
        <f t="shared" si="34"/>
        <v>-0.37636634236035776</v>
      </c>
    </row>
    <row r="167" spans="1:23" x14ac:dyDescent="0.25">
      <c r="A167" s="888"/>
      <c r="B167" s="108"/>
      <c r="C167" s="108"/>
      <c r="D167" s="108"/>
      <c r="E167" s="108"/>
    </row>
    <row r="169" spans="1:23" hidden="1" x14ac:dyDescent="0.25">
      <c r="A169" s="110" t="s">
        <v>555</v>
      </c>
      <c r="G169" t="s">
        <v>556</v>
      </c>
    </row>
    <row r="170" spans="1:23" hidden="1" x14ac:dyDescent="0.25"/>
    <row r="171" spans="1:23" hidden="1" x14ac:dyDescent="0.25">
      <c r="A171" s="634" t="s">
        <v>557</v>
      </c>
      <c r="B171" s="635"/>
      <c r="C171" s="635"/>
      <c r="D171" s="636" t="s">
        <v>558</v>
      </c>
      <c r="E171" s="677" t="s">
        <v>559</v>
      </c>
      <c r="G171" s="635"/>
      <c r="H171" s="635"/>
      <c r="I171" s="635"/>
      <c r="J171" s="636" t="s">
        <v>560</v>
      </c>
      <c r="K171" s="677" t="s">
        <v>559</v>
      </c>
      <c r="M171" s="635"/>
      <c r="N171" s="635"/>
      <c r="O171" s="635"/>
      <c r="P171" s="636" t="s">
        <v>561</v>
      </c>
      <c r="Q171" s="677" t="s">
        <v>559</v>
      </c>
      <c r="S171" s="635"/>
      <c r="T171" s="635"/>
      <c r="U171" s="635"/>
      <c r="V171" s="644" t="s">
        <v>562</v>
      </c>
      <c r="W171" s="677" t="s">
        <v>559</v>
      </c>
    </row>
    <row r="172" spans="1:23" ht="60" hidden="1" x14ac:dyDescent="0.25">
      <c r="A172" s="637" t="s">
        <v>563</v>
      </c>
      <c r="B172" s="637" t="s">
        <v>564</v>
      </c>
      <c r="C172" s="637" t="s">
        <v>565</v>
      </c>
      <c r="D172" s="638" t="s">
        <v>566</v>
      </c>
      <c r="E172" s="647"/>
      <c r="G172" s="637" t="s">
        <v>567</v>
      </c>
      <c r="H172" s="637" t="s">
        <v>568</v>
      </c>
      <c r="I172" s="638">
        <v>2018</v>
      </c>
      <c r="J172" s="694">
        <v>82283</v>
      </c>
      <c r="K172" t="s">
        <v>569</v>
      </c>
      <c r="M172" s="637" t="s">
        <v>570</v>
      </c>
      <c r="N172" s="637" t="s">
        <v>571</v>
      </c>
      <c r="O172" s="638">
        <v>2019</v>
      </c>
      <c r="P172" s="694">
        <v>138818.22</v>
      </c>
      <c r="Q172" t="s">
        <v>572</v>
      </c>
      <c r="S172" s="637" t="s">
        <v>573</v>
      </c>
      <c r="T172" s="637" t="s">
        <v>574</v>
      </c>
      <c r="U172" s="638">
        <v>2020</v>
      </c>
      <c r="V172" s="694">
        <v>4586731.87</v>
      </c>
      <c r="W172" t="s">
        <v>575</v>
      </c>
    </row>
    <row r="173" spans="1:23" ht="60" hidden="1" x14ac:dyDescent="0.25">
      <c r="A173" s="637" t="s">
        <v>576</v>
      </c>
      <c r="B173" s="637" t="s">
        <v>577</v>
      </c>
      <c r="C173" s="638">
        <v>2017</v>
      </c>
      <c r="D173" s="695">
        <v>104466323.8</v>
      </c>
      <c r="E173" t="s">
        <v>578</v>
      </c>
      <c r="G173" s="637" t="s">
        <v>579</v>
      </c>
      <c r="H173" s="637" t="s">
        <v>580</v>
      </c>
      <c r="I173" s="638">
        <v>2018</v>
      </c>
      <c r="J173" s="694">
        <v>372230.47</v>
      </c>
      <c r="K173" t="s">
        <v>581</v>
      </c>
      <c r="M173" s="637" t="s">
        <v>582</v>
      </c>
      <c r="N173" s="637" t="s">
        <v>571</v>
      </c>
      <c r="O173" s="638">
        <v>2019</v>
      </c>
      <c r="P173" s="694">
        <v>24334901</v>
      </c>
      <c r="Q173" t="s">
        <v>572</v>
      </c>
      <c r="S173" s="637" t="s">
        <v>583</v>
      </c>
      <c r="T173" s="637" t="s">
        <v>584</v>
      </c>
      <c r="U173" s="638">
        <v>2020</v>
      </c>
      <c r="V173" s="694">
        <v>122666.72</v>
      </c>
      <c r="W173" t="s">
        <v>575</v>
      </c>
    </row>
    <row r="174" spans="1:23" ht="45" hidden="1" x14ac:dyDescent="0.25">
      <c r="A174" s="637" t="s">
        <v>585</v>
      </c>
      <c r="B174" s="637" t="s">
        <v>586</v>
      </c>
      <c r="C174" s="638">
        <v>2017</v>
      </c>
      <c r="D174" s="694">
        <v>6310875.7699999996</v>
      </c>
      <c r="E174" t="s">
        <v>578</v>
      </c>
      <c r="G174" s="637" t="s">
        <v>587</v>
      </c>
      <c r="H174" s="637" t="s">
        <v>588</v>
      </c>
      <c r="I174" s="638">
        <v>2018</v>
      </c>
      <c r="J174" s="694">
        <v>80999</v>
      </c>
      <c r="K174" t="s">
        <v>572</v>
      </c>
      <c r="M174" s="637" t="s">
        <v>589</v>
      </c>
      <c r="N174" s="637" t="s">
        <v>590</v>
      </c>
      <c r="O174" s="638">
        <v>2019</v>
      </c>
      <c r="P174" s="694">
        <v>5126865.59</v>
      </c>
      <c r="Q174" t="s">
        <v>578</v>
      </c>
      <c r="S174" s="637" t="s">
        <v>591</v>
      </c>
      <c r="T174" s="637" t="s">
        <v>592</v>
      </c>
      <c r="U174" s="638">
        <v>2020</v>
      </c>
      <c r="V174" s="694">
        <v>187306.71</v>
      </c>
      <c r="W174" t="s">
        <v>572</v>
      </c>
    </row>
    <row r="175" spans="1:23" ht="60" hidden="1" x14ac:dyDescent="0.25">
      <c r="A175" s="640" t="s">
        <v>593</v>
      </c>
      <c r="B175" s="637" t="s">
        <v>594</v>
      </c>
      <c r="C175" s="638">
        <v>2017</v>
      </c>
      <c r="D175" s="694">
        <v>40431847.539999999</v>
      </c>
      <c r="E175" t="s">
        <v>578</v>
      </c>
      <c r="G175" s="637" t="s">
        <v>595</v>
      </c>
      <c r="H175" s="637" t="s">
        <v>266</v>
      </c>
      <c r="I175" s="638">
        <v>2018</v>
      </c>
      <c r="J175" s="694">
        <v>229486.68</v>
      </c>
      <c r="K175" t="s">
        <v>572</v>
      </c>
      <c r="M175" s="637" t="s">
        <v>596</v>
      </c>
      <c r="N175" s="641" t="s">
        <v>597</v>
      </c>
      <c r="O175" s="638">
        <v>2019</v>
      </c>
      <c r="P175" s="694">
        <v>14147444.039999999</v>
      </c>
      <c r="Q175" t="s">
        <v>572</v>
      </c>
      <c r="S175" s="637" t="s">
        <v>598</v>
      </c>
      <c r="T175" s="637" t="s">
        <v>599</v>
      </c>
      <c r="U175" s="638">
        <v>2020</v>
      </c>
      <c r="V175" s="694">
        <v>714240.39</v>
      </c>
      <c r="W175" t="s">
        <v>572</v>
      </c>
    </row>
    <row r="176" spans="1:23" ht="45" hidden="1" x14ac:dyDescent="0.25">
      <c r="A176" s="637" t="s">
        <v>600</v>
      </c>
      <c r="B176" s="641" t="s">
        <v>601</v>
      </c>
      <c r="C176" s="638">
        <v>2017</v>
      </c>
      <c r="D176" s="694">
        <v>12906180.119999999</v>
      </c>
      <c r="E176" t="s">
        <v>578</v>
      </c>
      <c r="G176" s="637" t="s">
        <v>602</v>
      </c>
      <c r="H176" s="637" t="s">
        <v>603</v>
      </c>
      <c r="I176" s="638">
        <v>2018</v>
      </c>
      <c r="J176" s="694">
        <v>110097.62</v>
      </c>
      <c r="K176" t="s">
        <v>604</v>
      </c>
      <c r="M176" s="637" t="s">
        <v>605</v>
      </c>
      <c r="N176" s="641" t="s">
        <v>606</v>
      </c>
      <c r="O176" s="638">
        <v>2019</v>
      </c>
      <c r="P176" s="694">
        <v>240795.18</v>
      </c>
      <c r="Q176" t="s">
        <v>572</v>
      </c>
      <c r="S176" s="637" t="s">
        <v>607</v>
      </c>
      <c r="T176" s="637" t="s">
        <v>608</v>
      </c>
      <c r="U176" s="638">
        <v>2020</v>
      </c>
      <c r="V176" s="694">
        <v>159274.85</v>
      </c>
      <c r="W176" t="s">
        <v>572</v>
      </c>
    </row>
    <row r="177" spans="1:24" ht="45" hidden="1" x14ac:dyDescent="0.25">
      <c r="A177" s="637" t="s">
        <v>609</v>
      </c>
      <c r="B177" s="641" t="s">
        <v>610</v>
      </c>
      <c r="C177" s="638">
        <v>2017</v>
      </c>
      <c r="D177" s="694">
        <v>14716178.99</v>
      </c>
      <c r="E177" t="s">
        <v>578</v>
      </c>
      <c r="G177" s="637" t="s">
        <v>611</v>
      </c>
      <c r="H177" s="637" t="s">
        <v>612</v>
      </c>
      <c r="I177" s="638">
        <v>2018</v>
      </c>
      <c r="J177" s="694">
        <v>816599.06</v>
      </c>
      <c r="K177" t="s">
        <v>604</v>
      </c>
      <c r="M177" s="637" t="s">
        <v>613</v>
      </c>
      <c r="N177" s="641" t="s">
        <v>614</v>
      </c>
      <c r="O177" s="638">
        <v>2019</v>
      </c>
      <c r="P177" s="694">
        <v>7922683.1600000001</v>
      </c>
      <c r="Q177" t="s">
        <v>572</v>
      </c>
      <c r="S177" s="637" t="s">
        <v>615</v>
      </c>
      <c r="T177" s="637" t="s">
        <v>616</v>
      </c>
      <c r="U177" s="638">
        <v>2020</v>
      </c>
      <c r="V177" s="694">
        <v>10836128.48</v>
      </c>
      <c r="W177" t="s">
        <v>572</v>
      </c>
    </row>
    <row r="178" spans="1:24" ht="45" hidden="1" x14ac:dyDescent="0.25">
      <c r="A178" s="637" t="s">
        <v>617</v>
      </c>
      <c r="B178" s="641" t="s">
        <v>618</v>
      </c>
      <c r="C178" s="638">
        <v>2017</v>
      </c>
      <c r="D178" s="694">
        <v>15208248.15</v>
      </c>
      <c r="E178" t="s">
        <v>578</v>
      </c>
      <c r="G178" s="637" t="s">
        <v>619</v>
      </c>
      <c r="H178" s="637" t="s">
        <v>620</v>
      </c>
      <c r="I178" s="638">
        <v>2018</v>
      </c>
      <c r="J178" s="694">
        <v>704625.1</v>
      </c>
      <c r="K178" t="s">
        <v>604</v>
      </c>
      <c r="M178" s="637" t="s">
        <v>621</v>
      </c>
      <c r="N178" s="637" t="s">
        <v>622</v>
      </c>
      <c r="O178" s="638">
        <v>2019</v>
      </c>
      <c r="P178" s="694">
        <v>2204000</v>
      </c>
      <c r="Q178" t="s">
        <v>578</v>
      </c>
      <c r="S178" s="637" t="s">
        <v>623</v>
      </c>
      <c r="T178" s="637" t="s">
        <v>624</v>
      </c>
      <c r="U178" s="638">
        <v>2020</v>
      </c>
      <c r="V178" s="694">
        <v>3921823.39</v>
      </c>
      <c r="W178" t="s">
        <v>572</v>
      </c>
    </row>
    <row r="179" spans="1:24" ht="60" hidden="1" x14ac:dyDescent="0.25">
      <c r="A179" s="637" t="s">
        <v>625</v>
      </c>
      <c r="B179" s="637" t="s">
        <v>626</v>
      </c>
      <c r="C179" s="638">
        <v>2017</v>
      </c>
      <c r="D179" s="695">
        <v>82282045.430000007</v>
      </c>
      <c r="E179" t="s">
        <v>578</v>
      </c>
      <c r="G179" s="637" t="s">
        <v>627</v>
      </c>
      <c r="H179" s="637" t="s">
        <v>628</v>
      </c>
      <c r="I179" s="638">
        <v>2018</v>
      </c>
      <c r="J179" s="694">
        <v>2856908.02</v>
      </c>
      <c r="K179" t="s">
        <v>581</v>
      </c>
      <c r="M179" s="637" t="s">
        <v>629</v>
      </c>
      <c r="N179" s="637" t="s">
        <v>630</v>
      </c>
      <c r="O179" s="638">
        <v>2019</v>
      </c>
      <c r="P179" s="694">
        <v>1810378.15</v>
      </c>
      <c r="Q179" t="s">
        <v>572</v>
      </c>
      <c r="S179" s="637" t="s">
        <v>631</v>
      </c>
      <c r="T179" s="637" t="s">
        <v>273</v>
      </c>
      <c r="U179" s="638">
        <v>2020</v>
      </c>
      <c r="V179" s="694">
        <v>7869022</v>
      </c>
      <c r="W179" t="s">
        <v>572</v>
      </c>
    </row>
    <row r="180" spans="1:24" ht="45" hidden="1" x14ac:dyDescent="0.25">
      <c r="A180" s="637" t="s">
        <v>587</v>
      </c>
      <c r="B180" s="637" t="s">
        <v>588</v>
      </c>
      <c r="C180" s="638">
        <v>2017</v>
      </c>
      <c r="D180" s="694">
        <v>166417.28</v>
      </c>
      <c r="E180" t="s">
        <v>572</v>
      </c>
      <c r="G180" s="637" t="s">
        <v>632</v>
      </c>
      <c r="H180" s="637" t="s">
        <v>633</v>
      </c>
      <c r="I180" s="638">
        <v>2018</v>
      </c>
      <c r="J180" s="694">
        <v>249880</v>
      </c>
      <c r="K180" t="s">
        <v>604</v>
      </c>
      <c r="M180" s="637" t="s">
        <v>634</v>
      </c>
      <c r="N180" s="637" t="s">
        <v>635</v>
      </c>
      <c r="O180" s="638">
        <v>2019</v>
      </c>
      <c r="P180" s="694">
        <v>1949990</v>
      </c>
      <c r="Q180" t="s">
        <v>604</v>
      </c>
      <c r="S180" s="637" t="s">
        <v>636</v>
      </c>
      <c r="T180" s="637" t="s">
        <v>276</v>
      </c>
      <c r="U180" s="638">
        <v>2020</v>
      </c>
      <c r="V180" s="694">
        <v>4567571.09</v>
      </c>
      <c r="W180" t="s">
        <v>572</v>
      </c>
    </row>
    <row r="181" spans="1:24" ht="60" hidden="1" x14ac:dyDescent="0.25">
      <c r="A181" s="637" t="s">
        <v>637</v>
      </c>
      <c r="B181" s="637" t="s">
        <v>638</v>
      </c>
      <c r="C181" s="638">
        <v>2017</v>
      </c>
      <c r="D181" s="694">
        <v>2242.7199999999998</v>
      </c>
      <c r="E181" t="s">
        <v>569</v>
      </c>
      <c r="G181" s="637" t="s">
        <v>639</v>
      </c>
      <c r="H181" s="637" t="s">
        <v>640</v>
      </c>
      <c r="I181" s="638">
        <v>2018</v>
      </c>
      <c r="J181" s="694">
        <v>931057.53</v>
      </c>
      <c r="K181" t="s">
        <v>604</v>
      </c>
      <c r="M181" s="637" t="s">
        <v>641</v>
      </c>
      <c r="N181" s="637" t="s">
        <v>642</v>
      </c>
      <c r="O181" s="638">
        <v>2019</v>
      </c>
      <c r="P181" s="694">
        <v>113006.38</v>
      </c>
      <c r="Q181" t="s">
        <v>604</v>
      </c>
      <c r="S181" s="637" t="s">
        <v>643</v>
      </c>
      <c r="T181" s="637" t="s">
        <v>644</v>
      </c>
      <c r="U181" s="638">
        <v>2020</v>
      </c>
      <c r="V181" s="694">
        <v>515637.02</v>
      </c>
      <c r="W181" t="s">
        <v>572</v>
      </c>
    </row>
    <row r="182" spans="1:24" ht="45" hidden="1" x14ac:dyDescent="0.25">
      <c r="A182" s="637" t="s">
        <v>645</v>
      </c>
      <c r="B182" s="637" t="s">
        <v>646</v>
      </c>
      <c r="C182" s="638">
        <v>2017</v>
      </c>
      <c r="D182" s="694">
        <v>74433.48</v>
      </c>
      <c r="E182" t="s">
        <v>569</v>
      </c>
      <c r="G182" s="637" t="s">
        <v>647</v>
      </c>
      <c r="H182" s="637" t="s">
        <v>648</v>
      </c>
      <c r="I182" s="638">
        <v>2018</v>
      </c>
      <c r="J182" s="694">
        <v>623957.53</v>
      </c>
      <c r="K182" t="s">
        <v>604</v>
      </c>
      <c r="M182" s="637" t="s">
        <v>649</v>
      </c>
      <c r="N182" s="637" t="s">
        <v>650</v>
      </c>
      <c r="O182" s="638">
        <v>2019</v>
      </c>
      <c r="P182" s="694">
        <v>359894.51</v>
      </c>
      <c r="Q182" t="s">
        <v>604</v>
      </c>
      <c r="S182" s="637" t="s">
        <v>651</v>
      </c>
      <c r="T182" s="637" t="s">
        <v>652</v>
      </c>
      <c r="U182" s="638">
        <v>2020</v>
      </c>
      <c r="V182" s="694">
        <v>784131.48</v>
      </c>
      <c r="W182" t="s">
        <v>572</v>
      </c>
    </row>
    <row r="183" spans="1:24" ht="60" hidden="1" x14ac:dyDescent="0.25">
      <c r="A183" s="637" t="s">
        <v>653</v>
      </c>
      <c r="B183" s="637" t="s">
        <v>654</v>
      </c>
      <c r="C183" s="638">
        <v>2017</v>
      </c>
      <c r="D183" s="694">
        <v>305762.75</v>
      </c>
      <c r="E183" t="s">
        <v>569</v>
      </c>
      <c r="G183" s="637" t="s">
        <v>655</v>
      </c>
      <c r="H183" s="637" t="s">
        <v>656</v>
      </c>
      <c r="I183" s="638">
        <v>2018</v>
      </c>
      <c r="J183" s="694">
        <v>415388.17</v>
      </c>
      <c r="K183" t="s">
        <v>569</v>
      </c>
      <c r="M183" s="637" t="s">
        <v>657</v>
      </c>
      <c r="N183" s="637" t="s">
        <v>658</v>
      </c>
      <c r="O183" s="638">
        <v>2019</v>
      </c>
      <c r="P183" s="694">
        <v>242640.91</v>
      </c>
      <c r="Q183" t="s">
        <v>604</v>
      </c>
      <c r="S183" s="637" t="s">
        <v>659</v>
      </c>
      <c r="T183" s="637" t="s">
        <v>660</v>
      </c>
      <c r="U183" s="638">
        <v>2020</v>
      </c>
      <c r="V183" s="694">
        <v>754639.09</v>
      </c>
      <c r="W183" t="s">
        <v>575</v>
      </c>
    </row>
    <row r="184" spans="1:24" ht="60" hidden="1" x14ac:dyDescent="0.25">
      <c r="A184" s="637" t="s">
        <v>661</v>
      </c>
      <c r="B184" s="637" t="s">
        <v>662</v>
      </c>
      <c r="C184" s="638">
        <v>2017</v>
      </c>
      <c r="D184" s="694">
        <v>1189069.6200000001</v>
      </c>
      <c r="E184" t="s">
        <v>569</v>
      </c>
      <c r="G184" s="637" t="s">
        <v>663</v>
      </c>
      <c r="H184" s="637" t="s">
        <v>664</v>
      </c>
      <c r="I184" s="638">
        <v>2018</v>
      </c>
      <c r="J184" s="694">
        <v>41204208.399999999</v>
      </c>
      <c r="K184" t="s">
        <v>578</v>
      </c>
      <c r="M184" s="637" t="s">
        <v>665</v>
      </c>
      <c r="N184" s="637" t="s">
        <v>666</v>
      </c>
      <c r="O184" s="638">
        <v>2019</v>
      </c>
      <c r="P184" s="694">
        <v>426635</v>
      </c>
      <c r="Q184" t="s">
        <v>578</v>
      </c>
      <c r="S184" s="637" t="s">
        <v>667</v>
      </c>
      <c r="T184" s="637" t="s">
        <v>340</v>
      </c>
      <c r="U184" s="638">
        <v>2020</v>
      </c>
      <c r="V184" s="694">
        <v>3646237.32</v>
      </c>
      <c r="W184" t="s">
        <v>575</v>
      </c>
    </row>
    <row r="185" spans="1:24" ht="75" hidden="1" x14ac:dyDescent="0.25">
      <c r="A185" s="640" t="s">
        <v>668</v>
      </c>
      <c r="B185" s="637" t="s">
        <v>669</v>
      </c>
      <c r="C185" s="638">
        <v>2017</v>
      </c>
      <c r="D185" s="694">
        <v>1000369.1</v>
      </c>
      <c r="E185" t="s">
        <v>569</v>
      </c>
      <c r="G185" s="637" t="s">
        <v>670</v>
      </c>
      <c r="H185" s="637" t="s">
        <v>275</v>
      </c>
      <c r="I185" s="638">
        <v>2018</v>
      </c>
      <c r="J185" s="694">
        <v>578016.13</v>
      </c>
      <c r="K185" t="s">
        <v>575</v>
      </c>
      <c r="M185" s="637" t="s">
        <v>609</v>
      </c>
      <c r="N185" s="641" t="s">
        <v>671</v>
      </c>
      <c r="O185" s="638">
        <v>2019</v>
      </c>
      <c r="P185" s="694">
        <v>5417</v>
      </c>
      <c r="Q185" t="s">
        <v>572</v>
      </c>
      <c r="S185" s="637" t="s">
        <v>672</v>
      </c>
      <c r="T185" s="637" t="s">
        <v>673</v>
      </c>
      <c r="U185" s="638">
        <v>2020</v>
      </c>
      <c r="V185" s="694">
        <v>4096387.44</v>
      </c>
      <c r="W185" t="s">
        <v>572</v>
      </c>
    </row>
    <row r="186" spans="1:24" ht="60" hidden="1" x14ac:dyDescent="0.25">
      <c r="A186" s="640" t="s">
        <v>674</v>
      </c>
      <c r="B186" s="640" t="s">
        <v>675</v>
      </c>
      <c r="C186" s="638">
        <v>2017</v>
      </c>
      <c r="D186" s="694">
        <v>2404032.5699999998</v>
      </c>
      <c r="E186" t="s">
        <v>569</v>
      </c>
      <c r="G186" s="637" t="s">
        <v>676</v>
      </c>
      <c r="H186" s="637" t="s">
        <v>677</v>
      </c>
      <c r="I186" s="638">
        <v>2018</v>
      </c>
      <c r="J186" s="694">
        <v>1598359.23</v>
      </c>
      <c r="K186" t="s">
        <v>572</v>
      </c>
      <c r="M186" s="637" t="s">
        <v>627</v>
      </c>
      <c r="N186" s="637" t="s">
        <v>628</v>
      </c>
      <c r="O186" s="638">
        <v>2019</v>
      </c>
      <c r="P186" s="694">
        <v>409631</v>
      </c>
      <c r="Q186" t="s">
        <v>581</v>
      </c>
      <c r="S186" s="637" t="s">
        <v>678</v>
      </c>
      <c r="T186" s="637" t="s">
        <v>679</v>
      </c>
      <c r="U186" s="638">
        <v>2020</v>
      </c>
      <c r="V186" s="694">
        <v>6089786.7000000002</v>
      </c>
      <c r="W186" s="2" t="s">
        <v>572</v>
      </c>
      <c r="X186" s="2" t="s">
        <v>680</v>
      </c>
    </row>
    <row r="187" spans="1:24" ht="45" hidden="1" x14ac:dyDescent="0.25">
      <c r="A187" s="640" t="s">
        <v>681</v>
      </c>
      <c r="B187" s="640" t="s">
        <v>682</v>
      </c>
      <c r="C187" s="638">
        <v>2017</v>
      </c>
      <c r="D187" s="694">
        <v>400672.09</v>
      </c>
      <c r="E187" t="s">
        <v>569</v>
      </c>
      <c r="G187" s="643" t="s">
        <v>683</v>
      </c>
      <c r="H187" s="643" t="s">
        <v>684</v>
      </c>
      <c r="I187" s="639">
        <v>2018</v>
      </c>
      <c r="J187" s="695">
        <v>70040.41</v>
      </c>
      <c r="K187" t="s">
        <v>581</v>
      </c>
      <c r="M187" s="635"/>
      <c r="N187" s="635"/>
      <c r="O187" s="635"/>
      <c r="P187" s="694">
        <f>+SUM(P172:P186)</f>
        <v>59433100.139999993</v>
      </c>
      <c r="S187" s="635"/>
      <c r="T187" s="635"/>
      <c r="U187" s="635"/>
      <c r="V187" s="694">
        <f>+SUM(V172:V186)</f>
        <v>48851584.550000004</v>
      </c>
    </row>
    <row r="188" spans="1:24" ht="60" hidden="1" x14ac:dyDescent="0.25">
      <c r="A188" s="640" t="s">
        <v>685</v>
      </c>
      <c r="B188" s="640" t="s">
        <v>686</v>
      </c>
      <c r="C188" s="638">
        <v>2017</v>
      </c>
      <c r="D188" s="694">
        <v>12519883.529999999</v>
      </c>
      <c r="E188" t="s">
        <v>578</v>
      </c>
      <c r="G188" s="643" t="s">
        <v>687</v>
      </c>
      <c r="H188" s="643" t="s">
        <v>688</v>
      </c>
      <c r="I188" s="639">
        <v>2018</v>
      </c>
      <c r="J188" s="695">
        <v>262620.23</v>
      </c>
      <c r="K188" t="s">
        <v>581</v>
      </c>
    </row>
    <row r="189" spans="1:24" ht="45" hidden="1" x14ac:dyDescent="0.25">
      <c r="A189" s="640" t="s">
        <v>689</v>
      </c>
      <c r="B189" s="640" t="s">
        <v>690</v>
      </c>
      <c r="C189" s="638">
        <v>2017</v>
      </c>
      <c r="D189" s="694">
        <v>11331258.189999999</v>
      </c>
      <c r="E189" t="s">
        <v>578</v>
      </c>
      <c r="G189" s="637" t="s">
        <v>685</v>
      </c>
      <c r="H189" s="637" t="s">
        <v>691</v>
      </c>
      <c r="I189" s="638">
        <v>2018</v>
      </c>
      <c r="J189" s="694">
        <v>802166.03</v>
      </c>
      <c r="K189" t="s">
        <v>578</v>
      </c>
    </row>
    <row r="190" spans="1:24" ht="45" hidden="1" x14ac:dyDescent="0.25">
      <c r="A190" s="640" t="s">
        <v>692</v>
      </c>
      <c r="B190" s="640" t="s">
        <v>693</v>
      </c>
      <c r="C190" s="638">
        <v>2017</v>
      </c>
      <c r="D190" s="694">
        <v>12201836.85</v>
      </c>
      <c r="E190" t="s">
        <v>572</v>
      </c>
      <c r="G190" s="637" t="s">
        <v>694</v>
      </c>
      <c r="H190" s="637" t="s">
        <v>695</v>
      </c>
      <c r="I190" s="638">
        <v>2018</v>
      </c>
      <c r="J190" s="694">
        <v>3889120.58</v>
      </c>
      <c r="K190" t="s">
        <v>578</v>
      </c>
    </row>
    <row r="191" spans="1:24" ht="45" hidden="1" x14ac:dyDescent="0.25">
      <c r="A191" s="637" t="s">
        <v>605</v>
      </c>
      <c r="B191" s="637" t="s">
        <v>696</v>
      </c>
      <c r="C191" s="638">
        <v>2017</v>
      </c>
      <c r="D191" s="694">
        <v>7345712.3799999999</v>
      </c>
      <c r="E191" t="s">
        <v>572</v>
      </c>
      <c r="G191" s="643" t="s">
        <v>697</v>
      </c>
      <c r="H191" s="637" t="s">
        <v>698</v>
      </c>
      <c r="I191" s="638">
        <v>2018</v>
      </c>
      <c r="J191" s="694">
        <v>1282.5</v>
      </c>
      <c r="K191" t="s">
        <v>572</v>
      </c>
    </row>
    <row r="192" spans="1:24" ht="60" hidden="1" x14ac:dyDescent="0.25">
      <c r="A192" s="637" t="s">
        <v>699</v>
      </c>
      <c r="B192" s="637" t="s">
        <v>700</v>
      </c>
      <c r="C192" s="638">
        <v>2017</v>
      </c>
      <c r="D192" s="694">
        <v>260401.78</v>
      </c>
      <c r="E192" t="s">
        <v>572</v>
      </c>
      <c r="G192" s="637" t="s">
        <v>697</v>
      </c>
      <c r="H192" s="637" t="s">
        <v>701</v>
      </c>
      <c r="I192" s="638">
        <v>2018</v>
      </c>
      <c r="J192" s="694">
        <v>506.57</v>
      </c>
      <c r="K192" t="s">
        <v>581</v>
      </c>
    </row>
    <row r="193" spans="1:11" ht="75" hidden="1" x14ac:dyDescent="0.25">
      <c r="A193" s="637" t="s">
        <v>702</v>
      </c>
      <c r="B193" s="637" t="s">
        <v>703</v>
      </c>
      <c r="C193" s="638">
        <v>2017</v>
      </c>
      <c r="D193" s="694">
        <v>3413861.44</v>
      </c>
      <c r="E193" s="676" t="s">
        <v>578</v>
      </c>
      <c r="F193" s="676" t="s">
        <v>704</v>
      </c>
      <c r="G193" s="637" t="s">
        <v>705</v>
      </c>
      <c r="H193" s="637" t="s">
        <v>706</v>
      </c>
      <c r="I193" s="638">
        <v>2018</v>
      </c>
      <c r="J193" s="694">
        <v>803563.49</v>
      </c>
      <c r="K193" t="s">
        <v>578</v>
      </c>
    </row>
    <row r="194" spans="1:11" ht="45" hidden="1" x14ac:dyDescent="0.25">
      <c r="A194" s="637" t="s">
        <v>707</v>
      </c>
      <c r="B194" s="637" t="s">
        <v>708</v>
      </c>
      <c r="C194" s="638">
        <v>2017</v>
      </c>
      <c r="D194" s="694">
        <v>2365980.37</v>
      </c>
      <c r="E194" s="676" t="s">
        <v>578</v>
      </c>
      <c r="F194" s="676" t="s">
        <v>709</v>
      </c>
      <c r="G194" s="637" t="s">
        <v>710</v>
      </c>
      <c r="H194" s="637" t="s">
        <v>711</v>
      </c>
      <c r="I194" s="638">
        <v>2018</v>
      </c>
      <c r="J194" s="694">
        <v>238480.27</v>
      </c>
      <c r="K194" t="s">
        <v>581</v>
      </c>
    </row>
    <row r="195" spans="1:11" ht="45" hidden="1" x14ac:dyDescent="0.25">
      <c r="A195" s="637" t="s">
        <v>712</v>
      </c>
      <c r="B195" s="637" t="s">
        <v>713</v>
      </c>
      <c r="C195" s="638">
        <v>2017</v>
      </c>
      <c r="D195" s="694">
        <v>11713154</v>
      </c>
      <c r="E195" t="s">
        <v>572</v>
      </c>
      <c r="G195" s="637" t="s">
        <v>689</v>
      </c>
      <c r="H195" s="637" t="s">
        <v>714</v>
      </c>
      <c r="I195" s="638">
        <v>2018</v>
      </c>
      <c r="J195" s="694">
        <v>673329.27</v>
      </c>
      <c r="K195" t="s">
        <v>578</v>
      </c>
    </row>
    <row r="196" spans="1:11" ht="60" hidden="1" x14ac:dyDescent="0.25">
      <c r="A196" s="637" t="s">
        <v>715</v>
      </c>
      <c r="B196" s="637" t="s">
        <v>716</v>
      </c>
      <c r="C196" s="638">
        <v>2017</v>
      </c>
      <c r="D196" s="694">
        <v>499384.91</v>
      </c>
      <c r="E196" t="s">
        <v>569</v>
      </c>
      <c r="G196" s="637" t="s">
        <v>717</v>
      </c>
      <c r="H196" s="641" t="s">
        <v>718</v>
      </c>
      <c r="I196" s="638">
        <v>2018</v>
      </c>
      <c r="J196" s="694">
        <v>39441.120000000003</v>
      </c>
      <c r="K196" t="s">
        <v>578</v>
      </c>
    </row>
    <row r="197" spans="1:11" ht="45" hidden="1" x14ac:dyDescent="0.25">
      <c r="A197" s="637" t="s">
        <v>719</v>
      </c>
      <c r="B197" s="637" t="s">
        <v>720</v>
      </c>
      <c r="C197" s="638">
        <v>2017</v>
      </c>
      <c r="D197" s="694">
        <v>1033.6199999999999</v>
      </c>
      <c r="E197" t="s">
        <v>569</v>
      </c>
      <c r="G197" s="637" t="s">
        <v>721</v>
      </c>
      <c r="H197" s="641" t="s">
        <v>722</v>
      </c>
      <c r="I197" s="638">
        <v>2018</v>
      </c>
      <c r="J197" s="694">
        <v>446617.48</v>
      </c>
      <c r="K197" t="s">
        <v>578</v>
      </c>
    </row>
    <row r="198" spans="1:11" ht="30" hidden="1" x14ac:dyDescent="0.25">
      <c r="A198" s="637" t="s">
        <v>694</v>
      </c>
      <c r="B198" s="637" t="s">
        <v>723</v>
      </c>
      <c r="C198" s="638">
        <v>2017</v>
      </c>
      <c r="D198" s="694">
        <v>39893878.880000003</v>
      </c>
      <c r="E198" t="s">
        <v>578</v>
      </c>
      <c r="G198" s="637" t="s">
        <v>724</v>
      </c>
      <c r="H198" s="641" t="s">
        <v>725</v>
      </c>
      <c r="I198" s="638">
        <v>2018</v>
      </c>
      <c r="J198" s="694">
        <v>10554.53</v>
      </c>
      <c r="K198" t="s">
        <v>578</v>
      </c>
    </row>
    <row r="199" spans="1:11" ht="60" hidden="1" x14ac:dyDescent="0.25">
      <c r="A199" s="640" t="s">
        <v>724</v>
      </c>
      <c r="B199" s="642" t="s">
        <v>726</v>
      </c>
      <c r="C199" s="638">
        <v>2017</v>
      </c>
      <c r="D199" s="694">
        <v>287366.82</v>
      </c>
      <c r="E199" t="s">
        <v>578</v>
      </c>
      <c r="G199" s="637" t="s">
        <v>727</v>
      </c>
      <c r="H199" s="641" t="s">
        <v>728</v>
      </c>
      <c r="I199" s="638">
        <v>2018</v>
      </c>
      <c r="J199" s="694">
        <v>158757.78</v>
      </c>
      <c r="K199" t="s">
        <v>578</v>
      </c>
    </row>
    <row r="200" spans="1:11" ht="60" hidden="1" x14ac:dyDescent="0.25">
      <c r="A200" s="640" t="s">
        <v>727</v>
      </c>
      <c r="B200" s="642" t="s">
        <v>729</v>
      </c>
      <c r="C200" s="638">
        <v>2017</v>
      </c>
      <c r="D200" s="694">
        <v>390144.58</v>
      </c>
      <c r="E200" t="s">
        <v>578</v>
      </c>
      <c r="G200" s="637" t="s">
        <v>730</v>
      </c>
      <c r="H200" s="641" t="s">
        <v>731</v>
      </c>
      <c r="I200" s="638">
        <v>2018</v>
      </c>
      <c r="J200" s="694">
        <v>20715.009999999998</v>
      </c>
      <c r="K200" t="s">
        <v>578</v>
      </c>
    </row>
    <row r="201" spans="1:11" ht="45" hidden="1" x14ac:dyDescent="0.25">
      <c r="A201" s="640" t="s">
        <v>730</v>
      </c>
      <c r="B201" s="642" t="s">
        <v>732</v>
      </c>
      <c r="C201" s="638">
        <v>2017</v>
      </c>
      <c r="D201" s="694">
        <v>348683.62</v>
      </c>
      <c r="E201" t="s">
        <v>578</v>
      </c>
      <c r="G201" s="637" t="s">
        <v>733</v>
      </c>
      <c r="H201" s="641" t="s">
        <v>734</v>
      </c>
      <c r="I201" s="638">
        <v>2018</v>
      </c>
      <c r="J201" s="694">
        <v>6915.65</v>
      </c>
      <c r="K201" t="s">
        <v>578</v>
      </c>
    </row>
    <row r="202" spans="1:11" ht="75" hidden="1" x14ac:dyDescent="0.25">
      <c r="A202" s="640" t="s">
        <v>733</v>
      </c>
      <c r="B202" s="642" t="s">
        <v>735</v>
      </c>
      <c r="C202" s="638">
        <v>2017</v>
      </c>
      <c r="D202" s="694">
        <v>255328.53</v>
      </c>
      <c r="E202" t="s">
        <v>578</v>
      </c>
      <c r="G202" s="637" t="s">
        <v>736</v>
      </c>
      <c r="H202" s="641" t="s">
        <v>737</v>
      </c>
      <c r="I202" s="638">
        <v>2018</v>
      </c>
      <c r="J202" s="694">
        <v>5672130.7699999996</v>
      </c>
      <c r="K202" t="s">
        <v>578</v>
      </c>
    </row>
    <row r="203" spans="1:11" ht="75" hidden="1" x14ac:dyDescent="0.25">
      <c r="A203" s="637" t="s">
        <v>738</v>
      </c>
      <c r="B203" s="641" t="s">
        <v>739</v>
      </c>
      <c r="C203" s="638">
        <v>2017</v>
      </c>
      <c r="D203" s="694">
        <v>3944730.97</v>
      </c>
      <c r="E203" t="s">
        <v>578</v>
      </c>
      <c r="G203" s="637" t="s">
        <v>740</v>
      </c>
      <c r="H203" s="641" t="s">
        <v>737</v>
      </c>
      <c r="I203" s="638">
        <v>2018</v>
      </c>
      <c r="J203" s="694">
        <v>7745364.2199999997</v>
      </c>
      <c r="K203" t="s">
        <v>578</v>
      </c>
    </row>
    <row r="204" spans="1:11" ht="75" hidden="1" x14ac:dyDescent="0.25">
      <c r="A204" s="635"/>
      <c r="B204" s="635"/>
      <c r="C204" s="635"/>
      <c r="D204" s="694">
        <f>+SUM(D173:D203)</f>
        <v>388637339.88</v>
      </c>
      <c r="E204" s="647"/>
      <c r="G204" s="637" t="s">
        <v>741</v>
      </c>
      <c r="H204" s="641" t="s">
        <v>737</v>
      </c>
      <c r="I204" s="638">
        <v>2018</v>
      </c>
      <c r="J204" s="694">
        <v>7042367.1799999997</v>
      </c>
      <c r="K204" t="s">
        <v>578</v>
      </c>
    </row>
    <row r="205" spans="1:11" ht="75" hidden="1" x14ac:dyDescent="0.25">
      <c r="G205" s="637" t="s">
        <v>742</v>
      </c>
      <c r="H205" s="641" t="s">
        <v>737</v>
      </c>
      <c r="I205" s="638">
        <v>2018</v>
      </c>
      <c r="J205" s="694">
        <v>23641.64</v>
      </c>
      <c r="K205" t="s">
        <v>578</v>
      </c>
    </row>
    <row r="206" spans="1:11" ht="75" hidden="1" x14ac:dyDescent="0.25">
      <c r="G206" s="637" t="s">
        <v>743</v>
      </c>
      <c r="H206" s="641" t="s">
        <v>737</v>
      </c>
      <c r="I206" s="638">
        <v>2018</v>
      </c>
      <c r="J206" s="694">
        <v>13655.43</v>
      </c>
      <c r="K206" t="s">
        <v>578</v>
      </c>
    </row>
    <row r="207" spans="1:11" ht="75" hidden="1" x14ac:dyDescent="0.25">
      <c r="G207" s="637" t="s">
        <v>744</v>
      </c>
      <c r="H207" s="641" t="s">
        <v>737</v>
      </c>
      <c r="I207" s="638">
        <v>2018</v>
      </c>
      <c r="J207" s="694">
        <v>189367.81</v>
      </c>
      <c r="K207" t="s">
        <v>578</v>
      </c>
    </row>
    <row r="208" spans="1:11" ht="75" hidden="1" x14ac:dyDescent="0.25">
      <c r="G208" s="637" t="s">
        <v>745</v>
      </c>
      <c r="H208" s="641" t="s">
        <v>737</v>
      </c>
      <c r="I208" s="638">
        <v>2018</v>
      </c>
      <c r="J208" s="694">
        <v>189367.81</v>
      </c>
      <c r="K208" t="s">
        <v>578</v>
      </c>
    </row>
    <row r="209" spans="1:22" hidden="1" x14ac:dyDescent="0.25">
      <c r="G209" s="635"/>
      <c r="H209" s="635"/>
      <c r="I209" s="635"/>
      <c r="J209" s="694">
        <f>+SUM(J172:J208)</f>
        <v>79154101.720000014</v>
      </c>
      <c r="K209" s="647"/>
    </row>
    <row r="210" spans="1:22" x14ac:dyDescent="0.25">
      <c r="A210" s="110"/>
      <c r="G210" s="646"/>
      <c r="H210" s="646"/>
      <c r="I210" s="646"/>
      <c r="J210" s="647"/>
      <c r="K210" s="647"/>
    </row>
    <row r="211" spans="1:22" hidden="1" x14ac:dyDescent="0.25">
      <c r="A211" s="110" t="s">
        <v>746</v>
      </c>
      <c r="G211" s="646"/>
      <c r="H211" s="646"/>
      <c r="I211" s="646"/>
      <c r="J211" s="647"/>
      <c r="K211" s="647"/>
    </row>
    <row r="212" spans="1:22" hidden="1" x14ac:dyDescent="0.25">
      <c r="A212" t="s">
        <v>747</v>
      </c>
      <c r="B212" t="s">
        <v>748</v>
      </c>
      <c r="G212" s="646"/>
      <c r="H212" s="646"/>
      <c r="I212" s="646"/>
      <c r="J212" s="647"/>
    </row>
    <row r="213" spans="1:22" hidden="1" x14ac:dyDescent="0.25">
      <c r="A213">
        <v>2017</v>
      </c>
      <c r="B213" s="108">
        <v>460918.52</v>
      </c>
      <c r="G213" s="646"/>
      <c r="H213" s="646"/>
      <c r="I213" s="646"/>
      <c r="J213" s="647"/>
    </row>
    <row r="214" spans="1:22" hidden="1" x14ac:dyDescent="0.25">
      <c r="A214">
        <v>2018</v>
      </c>
      <c r="B214" s="108">
        <v>28780728.280000001</v>
      </c>
      <c r="G214" s="646"/>
      <c r="H214" s="646"/>
      <c r="I214" s="646"/>
      <c r="J214" s="647"/>
    </row>
    <row r="215" spans="1:22" hidden="1" x14ac:dyDescent="0.25">
      <c r="A215">
        <v>2019</v>
      </c>
      <c r="B215" s="108">
        <v>3515660.19</v>
      </c>
      <c r="G215" s="646"/>
      <c r="H215" s="646"/>
      <c r="I215" s="646"/>
      <c r="J215" s="647"/>
    </row>
    <row r="216" spans="1:22" hidden="1" x14ac:dyDescent="0.25">
      <c r="A216">
        <v>2020</v>
      </c>
      <c r="B216" s="108">
        <v>7819967.1100000003</v>
      </c>
      <c r="G216" s="646"/>
      <c r="H216" s="646"/>
      <c r="I216" s="646"/>
      <c r="J216" s="647"/>
    </row>
    <row r="217" spans="1:22" hidden="1" x14ac:dyDescent="0.25">
      <c r="A217" t="s">
        <v>749</v>
      </c>
      <c r="B217" s="108">
        <v>40577274.100000001</v>
      </c>
    </row>
    <row r="219" spans="1:22" ht="18.75" x14ac:dyDescent="0.3">
      <c r="A219" s="956" t="s">
        <v>1397</v>
      </c>
      <c r="B219" s="957"/>
      <c r="C219" s="957"/>
      <c r="D219" s="957"/>
      <c r="E219" s="957"/>
      <c r="F219" s="957"/>
      <c r="G219" s="957"/>
      <c r="H219" s="957"/>
      <c r="I219" s="957"/>
      <c r="J219" s="957"/>
      <c r="K219" s="957"/>
      <c r="L219" s="957"/>
      <c r="M219" s="957"/>
      <c r="N219" s="957"/>
      <c r="O219" s="957"/>
      <c r="P219" s="957"/>
      <c r="Q219" s="957"/>
      <c r="R219" s="957"/>
      <c r="S219" s="957"/>
      <c r="T219" s="957"/>
      <c r="U219" s="957"/>
      <c r="V219" s="957"/>
    </row>
    <row r="220" spans="1:22" x14ac:dyDescent="0.25">
      <c r="M220" s="110" t="s">
        <v>750</v>
      </c>
      <c r="N220" s="110"/>
      <c r="O220" s="111">
        <f>+SUM(L296:O296)</f>
        <v>-8556528</v>
      </c>
    </row>
    <row r="221" spans="1:22" x14ac:dyDescent="0.25">
      <c r="C221" t="s">
        <v>751</v>
      </c>
      <c r="L221" t="s">
        <v>148</v>
      </c>
    </row>
    <row r="222" spans="1:22" x14ac:dyDescent="0.25">
      <c r="C222">
        <v>2017</v>
      </c>
      <c r="D222">
        <v>2018</v>
      </c>
      <c r="E222">
        <v>2019</v>
      </c>
      <c r="F222">
        <v>2020</v>
      </c>
      <c r="G222">
        <v>2021</v>
      </c>
      <c r="H222">
        <v>2022</v>
      </c>
      <c r="I222">
        <v>2023</v>
      </c>
      <c r="J222">
        <v>2024</v>
      </c>
      <c r="L222">
        <v>2017</v>
      </c>
      <c r="M222">
        <v>2018</v>
      </c>
      <c r="N222">
        <v>2019</v>
      </c>
      <c r="O222">
        <v>2020</v>
      </c>
    </row>
    <row r="223" spans="1:22" x14ac:dyDescent="0.25">
      <c r="A223" t="s">
        <v>752</v>
      </c>
      <c r="C223" s="108"/>
      <c r="D223" s="108"/>
      <c r="E223" s="108"/>
      <c r="F223" s="108"/>
      <c r="G223" s="108"/>
      <c r="L223" s="108"/>
      <c r="M223" s="108"/>
      <c r="N223" s="108"/>
      <c r="O223" s="108"/>
    </row>
    <row r="224" spans="1:22" x14ac:dyDescent="0.25">
      <c r="A224" t="s">
        <v>302</v>
      </c>
      <c r="C224" s="108">
        <v>0</v>
      </c>
      <c r="D224" s="108">
        <v>0</v>
      </c>
      <c r="E224" s="108">
        <v>0</v>
      </c>
      <c r="F224" s="108">
        <v>0</v>
      </c>
      <c r="G224" s="108"/>
      <c r="H224" s="108"/>
      <c r="I224" s="108"/>
      <c r="J224" s="108"/>
      <c r="L224" s="108">
        <v>0</v>
      </c>
      <c r="M224" s="108">
        <v>0</v>
      </c>
      <c r="N224" s="108">
        <v>0</v>
      </c>
      <c r="O224" s="108">
        <v>0</v>
      </c>
    </row>
    <row r="225" spans="1:15" x14ac:dyDescent="0.25">
      <c r="A225" t="s">
        <v>303</v>
      </c>
      <c r="C225" s="108"/>
      <c r="D225" s="108">
        <v>0</v>
      </c>
      <c r="E225" s="108">
        <v>0</v>
      </c>
      <c r="F225" s="108">
        <v>0</v>
      </c>
      <c r="G225" s="108"/>
      <c r="H225" s="108"/>
      <c r="I225" s="108"/>
      <c r="J225" s="108"/>
      <c r="L225" s="108">
        <v>0</v>
      </c>
      <c r="M225" s="108">
        <v>0</v>
      </c>
      <c r="N225" s="108">
        <v>0</v>
      </c>
      <c r="O225" s="108">
        <v>0</v>
      </c>
    </row>
    <row r="226" spans="1:15" x14ac:dyDescent="0.25">
      <c r="A226" t="s">
        <v>304</v>
      </c>
      <c r="C226" s="108"/>
      <c r="D226" s="108">
        <v>0</v>
      </c>
      <c r="E226" s="108">
        <v>0</v>
      </c>
      <c r="F226" s="108">
        <v>0</v>
      </c>
      <c r="G226" s="108"/>
      <c r="H226" s="108"/>
      <c r="I226" s="108"/>
      <c r="J226" s="108"/>
      <c r="L226" s="108">
        <v>0</v>
      </c>
      <c r="M226" s="108">
        <v>0</v>
      </c>
      <c r="N226" s="108">
        <v>0</v>
      </c>
      <c r="O226" s="108">
        <v>0</v>
      </c>
    </row>
    <row r="227" spans="1:15" x14ac:dyDescent="0.25">
      <c r="A227" t="s">
        <v>305</v>
      </c>
      <c r="C227" s="108">
        <v>66786019</v>
      </c>
      <c r="D227" s="108">
        <v>791580</v>
      </c>
      <c r="E227" s="108">
        <v>30229578</v>
      </c>
      <c r="F227" s="108">
        <v>0</v>
      </c>
      <c r="G227" s="108">
        <f>BS01_BS02!I31</f>
        <v>865808.90000000596</v>
      </c>
      <c r="H227" s="108">
        <f>BS01_BS02!J31</f>
        <v>13248268.599999994</v>
      </c>
      <c r="I227" s="108">
        <f>BS01_BS02!K31</f>
        <v>17662388.74000001</v>
      </c>
      <c r="J227" s="108">
        <f>BS01_BS02!L31</f>
        <v>20723610.75999999</v>
      </c>
      <c r="L227" s="108">
        <v>0</v>
      </c>
      <c r="M227" s="108">
        <v>0</v>
      </c>
      <c r="N227" s="108">
        <v>0</v>
      </c>
      <c r="O227" s="108">
        <v>-224829</v>
      </c>
    </row>
    <row r="228" spans="1:15" x14ac:dyDescent="0.25">
      <c r="A228" t="s">
        <v>306</v>
      </c>
      <c r="C228" s="108">
        <v>0</v>
      </c>
      <c r="D228" s="108">
        <v>0</v>
      </c>
      <c r="E228" s="108">
        <v>0</v>
      </c>
      <c r="F228" s="108">
        <v>0</v>
      </c>
      <c r="G228" s="108"/>
      <c r="H228" s="108"/>
      <c r="I228" s="108"/>
      <c r="J228" s="108"/>
      <c r="L228" s="108">
        <v>0</v>
      </c>
      <c r="M228" s="108">
        <v>0</v>
      </c>
      <c r="N228" s="108">
        <v>0</v>
      </c>
      <c r="O228" s="108">
        <v>0</v>
      </c>
    </row>
    <row r="229" spans="1:15" x14ac:dyDescent="0.25">
      <c r="A229" t="s">
        <v>307</v>
      </c>
      <c r="C229" s="108">
        <v>0</v>
      </c>
      <c r="D229" s="108">
        <v>0</v>
      </c>
      <c r="E229" s="108">
        <v>0</v>
      </c>
      <c r="F229" s="108">
        <v>0</v>
      </c>
      <c r="G229" s="108"/>
      <c r="H229" s="108"/>
      <c r="I229" s="108"/>
      <c r="J229" s="108"/>
      <c r="L229" s="108">
        <v>0</v>
      </c>
      <c r="M229" s="108">
        <v>0</v>
      </c>
      <c r="N229" s="108">
        <v>0</v>
      </c>
      <c r="O229" s="108">
        <v>0</v>
      </c>
    </row>
    <row r="230" spans="1:15" x14ac:dyDescent="0.25">
      <c r="A230" t="s">
        <v>308</v>
      </c>
      <c r="C230" s="108">
        <v>35802343</v>
      </c>
      <c r="D230" s="108">
        <v>3333427</v>
      </c>
      <c r="E230" s="108">
        <v>16332501</v>
      </c>
      <c r="F230" s="108">
        <v>18331588</v>
      </c>
      <c r="G230" s="108">
        <f>BS01_BS02!I29</f>
        <v>47604834.50000003</v>
      </c>
      <c r="H230" s="108">
        <f>BS01_BS02!J29</f>
        <v>44679080.99999997</v>
      </c>
      <c r="I230" s="108">
        <f>BS01_BS02!K29</f>
        <v>6759085.5199999809</v>
      </c>
      <c r="J230" s="108">
        <f>BS01_BS02!L29</f>
        <v>31638415.980000019</v>
      </c>
      <c r="L230" s="108">
        <v>0</v>
      </c>
      <c r="M230" s="108">
        <v>0</v>
      </c>
      <c r="N230" s="108">
        <v>0</v>
      </c>
      <c r="O230" s="108">
        <v>-3737083</v>
      </c>
    </row>
    <row r="231" spans="1:15" x14ac:dyDescent="0.25">
      <c r="A231" t="s">
        <v>309</v>
      </c>
      <c r="C231" s="108">
        <v>110116289</v>
      </c>
      <c r="D231" s="108">
        <v>2016274</v>
      </c>
      <c r="E231" s="108">
        <v>10470477</v>
      </c>
      <c r="F231" s="108">
        <v>3815019</v>
      </c>
      <c r="G231" s="108">
        <f>BS01_BS02!I30</f>
        <v>981503.10000002384</v>
      </c>
      <c r="H231" s="108">
        <f>BS01_BS02!J30</f>
        <v>16408777.49999997</v>
      </c>
      <c r="I231" s="108">
        <f>BS01_BS02!K30</f>
        <v>2901847.369999975</v>
      </c>
      <c r="J231" s="108">
        <f>BS01_BS02!L30</f>
        <v>29534681.030000031</v>
      </c>
      <c r="L231" s="108">
        <v>0</v>
      </c>
      <c r="M231" s="108">
        <v>0</v>
      </c>
      <c r="N231" s="108">
        <v>0</v>
      </c>
      <c r="O231" s="108">
        <v>0</v>
      </c>
    </row>
    <row r="232" spans="1:15" x14ac:dyDescent="0.25">
      <c r="A232" t="s">
        <v>310</v>
      </c>
      <c r="C232" s="108">
        <v>125316728</v>
      </c>
      <c r="D232" s="108">
        <v>72062853</v>
      </c>
      <c r="E232" s="108">
        <v>0</v>
      </c>
      <c r="F232" s="108">
        <v>2705136</v>
      </c>
      <c r="G232" s="108">
        <f>BS01_BS02!I33</f>
        <v>3050138.9799999595</v>
      </c>
      <c r="H232" s="108">
        <f>BS01_BS02!J33</f>
        <v>24591660.520000041</v>
      </c>
      <c r="I232" s="108">
        <f>BS01_BS02!K33</f>
        <v>14507585.50999999</v>
      </c>
      <c r="J232" s="108">
        <f>BS01_BS02!L33</f>
        <v>32665821.99000001</v>
      </c>
      <c r="L232" s="108">
        <v>0</v>
      </c>
      <c r="M232" s="108">
        <v>0</v>
      </c>
      <c r="N232" s="108">
        <v>0</v>
      </c>
      <c r="O232" s="108">
        <v>-200000</v>
      </c>
    </row>
    <row r="233" spans="1:15" x14ac:dyDescent="0.25">
      <c r="A233" t="s">
        <v>311</v>
      </c>
      <c r="C233" s="108">
        <v>0</v>
      </c>
      <c r="D233" s="108">
        <v>0</v>
      </c>
      <c r="E233" s="108">
        <v>0</v>
      </c>
      <c r="F233" s="108">
        <v>0</v>
      </c>
      <c r="G233" s="108"/>
      <c r="H233" s="108"/>
      <c r="I233" s="108"/>
      <c r="J233" s="108"/>
      <c r="L233" s="108">
        <v>0</v>
      </c>
      <c r="M233" s="108">
        <v>0</v>
      </c>
      <c r="N233" s="108">
        <v>0</v>
      </c>
      <c r="O233" s="108">
        <v>0</v>
      </c>
    </row>
    <row r="234" spans="1:15" x14ac:dyDescent="0.25">
      <c r="A234" t="s">
        <v>312</v>
      </c>
      <c r="C234" s="108">
        <v>0</v>
      </c>
      <c r="D234" s="108">
        <v>0</v>
      </c>
      <c r="E234" s="108">
        <v>0</v>
      </c>
      <c r="F234" s="108">
        <v>0</v>
      </c>
      <c r="G234" s="108"/>
      <c r="H234" s="108"/>
      <c r="I234" s="108"/>
      <c r="J234" s="108"/>
      <c r="L234" s="108">
        <v>0</v>
      </c>
      <c r="M234" s="108">
        <v>0</v>
      </c>
      <c r="N234" s="108">
        <v>0</v>
      </c>
      <c r="O234" s="108">
        <v>0</v>
      </c>
    </row>
    <row r="235" spans="1:15" x14ac:dyDescent="0.25">
      <c r="A235" t="s">
        <v>313</v>
      </c>
      <c r="C235" s="108">
        <v>0</v>
      </c>
      <c r="D235" s="108">
        <v>0</v>
      </c>
      <c r="E235" s="108">
        <v>240795</v>
      </c>
      <c r="F235" s="108">
        <v>0</v>
      </c>
      <c r="G235" s="108"/>
      <c r="H235" s="108"/>
      <c r="I235" s="108"/>
      <c r="J235" s="108"/>
      <c r="L235" s="108">
        <v>0</v>
      </c>
      <c r="M235" s="108">
        <v>0</v>
      </c>
      <c r="N235" s="108">
        <v>0</v>
      </c>
      <c r="O235" s="108">
        <v>0</v>
      </c>
    </row>
    <row r="236" spans="1:15" x14ac:dyDescent="0.25">
      <c r="A236" t="s">
        <v>314</v>
      </c>
      <c r="C236" s="108">
        <v>3493224</v>
      </c>
      <c r="D236" s="108">
        <v>464780</v>
      </c>
      <c r="E236" s="108">
        <v>10178491</v>
      </c>
      <c r="F236" s="108">
        <v>9157404</v>
      </c>
      <c r="G236" s="108">
        <f>BS01_BS02!I35</f>
        <v>14709598.859999999</v>
      </c>
      <c r="H236" s="108">
        <f>BS01_BS02!J35</f>
        <v>13968227.640000001</v>
      </c>
      <c r="I236" s="108">
        <f>BS01_BS02!K35</f>
        <v>461221.53000000119</v>
      </c>
      <c r="J236" s="108">
        <f>BS01_BS02!L35</f>
        <v>11858766.969999999</v>
      </c>
      <c r="L236" s="108">
        <v>0</v>
      </c>
      <c r="M236" s="108">
        <v>0</v>
      </c>
      <c r="N236" s="108">
        <v>0</v>
      </c>
      <c r="O236" s="108">
        <v>-2604000</v>
      </c>
    </row>
    <row r="237" spans="1:15" x14ac:dyDescent="0.25">
      <c r="A237" t="s">
        <v>315</v>
      </c>
      <c r="C237" s="108">
        <v>0</v>
      </c>
      <c r="D237" s="108">
        <v>0</v>
      </c>
      <c r="E237" s="108">
        <v>0</v>
      </c>
      <c r="F237" s="108">
        <v>0</v>
      </c>
      <c r="G237" s="108"/>
      <c r="H237" s="108"/>
      <c r="I237" s="108"/>
      <c r="J237" s="108"/>
      <c r="L237" s="108">
        <v>0</v>
      </c>
      <c r="M237" s="108">
        <v>0</v>
      </c>
      <c r="N237" s="108">
        <v>0</v>
      </c>
      <c r="O237" s="108">
        <v>0</v>
      </c>
    </row>
    <row r="238" spans="1:15" x14ac:dyDescent="0.25">
      <c r="A238" t="s">
        <v>316</v>
      </c>
      <c r="C238" s="108">
        <v>0</v>
      </c>
      <c r="D238" s="108">
        <v>0</v>
      </c>
      <c r="E238" s="108">
        <v>0</v>
      </c>
      <c r="F238" s="108">
        <v>0</v>
      </c>
      <c r="G238" s="108"/>
      <c r="H238" s="108"/>
      <c r="I238" s="108"/>
      <c r="J238" s="108"/>
      <c r="L238" s="108">
        <v>0</v>
      </c>
      <c r="M238" s="108">
        <v>0</v>
      </c>
      <c r="N238" s="108">
        <v>0</v>
      </c>
      <c r="O238" s="108">
        <v>0</v>
      </c>
    </row>
    <row r="239" spans="1:15" x14ac:dyDescent="0.25">
      <c r="A239" s="110" t="s">
        <v>317</v>
      </c>
      <c r="C239" s="108">
        <v>341514603</v>
      </c>
      <c r="D239" s="108">
        <v>78668914</v>
      </c>
      <c r="E239" s="108">
        <v>67451842</v>
      </c>
      <c r="F239" s="108">
        <v>34009147</v>
      </c>
      <c r="G239" s="111">
        <f>SUM(G224:G238)</f>
        <v>67211884.340000018</v>
      </c>
      <c r="H239" s="111">
        <f t="shared" ref="H239:J239" si="62">SUM(H224:H238)</f>
        <v>112896015.25999998</v>
      </c>
      <c r="I239" s="111">
        <f t="shared" si="62"/>
        <v>42292128.669999957</v>
      </c>
      <c r="J239" s="111">
        <f t="shared" si="62"/>
        <v>126421296.73000005</v>
      </c>
      <c r="L239" s="108">
        <v>0</v>
      </c>
      <c r="M239" s="108">
        <v>0</v>
      </c>
      <c r="N239" s="108">
        <v>0</v>
      </c>
      <c r="O239" s="108">
        <v>-6765912</v>
      </c>
    </row>
    <row r="240" spans="1:15" x14ac:dyDescent="0.25">
      <c r="A240" t="s">
        <v>31</v>
      </c>
      <c r="C240" s="108"/>
      <c r="D240" s="108"/>
      <c r="E240" s="108"/>
      <c r="F240" s="108"/>
      <c r="G240" s="108"/>
      <c r="L240" s="108"/>
      <c r="M240" s="108"/>
      <c r="N240" s="108"/>
      <c r="O240" s="108"/>
    </row>
    <row r="241" spans="1:15" x14ac:dyDescent="0.25">
      <c r="A241" t="s">
        <v>302</v>
      </c>
      <c r="C241" s="108">
        <v>0</v>
      </c>
      <c r="D241" s="108">
        <v>0</v>
      </c>
      <c r="E241" s="108">
        <v>0</v>
      </c>
      <c r="F241" s="108">
        <v>0</v>
      </c>
      <c r="G241" s="108"/>
      <c r="H241" s="108"/>
      <c r="I241" s="108"/>
      <c r="J241" s="108"/>
      <c r="L241" s="108">
        <v>0</v>
      </c>
      <c r="M241" s="108">
        <v>0</v>
      </c>
      <c r="N241" s="108">
        <v>0</v>
      </c>
      <c r="O241" s="108">
        <v>0</v>
      </c>
    </row>
    <row r="242" spans="1:15" x14ac:dyDescent="0.25">
      <c r="A242" t="s">
        <v>303</v>
      </c>
      <c r="C242" s="108">
        <v>0</v>
      </c>
      <c r="D242" s="108">
        <v>0</v>
      </c>
      <c r="E242" s="108">
        <v>0</v>
      </c>
      <c r="F242" s="108">
        <v>0</v>
      </c>
      <c r="G242" s="108"/>
      <c r="H242" s="108"/>
      <c r="I242" s="108"/>
      <c r="J242" s="108"/>
      <c r="L242" s="108">
        <v>0</v>
      </c>
      <c r="M242" s="108">
        <v>0</v>
      </c>
      <c r="N242" s="108">
        <v>0</v>
      </c>
      <c r="O242" s="108">
        <v>0</v>
      </c>
    </row>
    <row r="243" spans="1:15" x14ac:dyDescent="0.25">
      <c r="A243" t="s">
        <v>305</v>
      </c>
      <c r="C243" s="108">
        <v>0</v>
      </c>
      <c r="D243" s="108">
        <v>0</v>
      </c>
      <c r="E243" s="108">
        <v>0</v>
      </c>
      <c r="F243" s="108">
        <v>0</v>
      </c>
      <c r="G243" s="108"/>
      <c r="H243" s="108"/>
      <c r="I243" s="108"/>
      <c r="J243" s="108"/>
      <c r="L243" s="108">
        <v>0</v>
      </c>
      <c r="M243" s="108">
        <v>0</v>
      </c>
      <c r="N243" s="108">
        <v>0</v>
      </c>
      <c r="O243" s="108">
        <v>0</v>
      </c>
    </row>
    <row r="244" spans="1:15" x14ac:dyDescent="0.25">
      <c r="A244" t="s">
        <v>306</v>
      </c>
      <c r="C244" s="108">
        <v>0</v>
      </c>
      <c r="D244" s="108">
        <v>0</v>
      </c>
      <c r="E244" s="108">
        <v>0</v>
      </c>
      <c r="F244" s="108">
        <v>0</v>
      </c>
      <c r="G244" s="108"/>
      <c r="H244" s="108"/>
      <c r="I244" s="108"/>
      <c r="J244" s="108"/>
      <c r="L244" s="108">
        <v>0</v>
      </c>
      <c r="M244" s="108">
        <v>0</v>
      </c>
      <c r="N244" s="108">
        <v>0</v>
      </c>
      <c r="O244" s="108">
        <v>0</v>
      </c>
    </row>
    <row r="245" spans="1:15" x14ac:dyDescent="0.25">
      <c r="A245" t="s">
        <v>308</v>
      </c>
      <c r="C245" s="108">
        <v>0</v>
      </c>
      <c r="D245" s="108">
        <v>0</v>
      </c>
      <c r="E245" s="108">
        <v>0</v>
      </c>
      <c r="F245" s="108">
        <v>746443</v>
      </c>
      <c r="G245" s="108">
        <f>BS01_BS02!I38</f>
        <v>3159796.0999999978</v>
      </c>
      <c r="H245" s="108">
        <f>BS01_BS02!J38</f>
        <v>1121128.9000000022</v>
      </c>
      <c r="I245" s="108">
        <f>BS01_BS02!K38</f>
        <v>1207550.5600000024</v>
      </c>
      <c r="J245" s="108">
        <f>BS01_BS02!L38</f>
        <v>1602294.4399999976</v>
      </c>
      <c r="L245" s="108">
        <v>0</v>
      </c>
      <c r="M245" s="108">
        <v>0</v>
      </c>
      <c r="N245" s="108">
        <v>0</v>
      </c>
      <c r="O245" s="108">
        <v>0</v>
      </c>
    </row>
    <row r="246" spans="1:15" x14ac:dyDescent="0.25">
      <c r="A246" t="s">
        <v>309</v>
      </c>
      <c r="C246" s="108">
        <v>0</v>
      </c>
      <c r="D246" s="108">
        <v>0</v>
      </c>
      <c r="E246" s="108">
        <v>0</v>
      </c>
      <c r="F246" s="108">
        <v>0</v>
      </c>
      <c r="G246" s="108"/>
      <c r="H246" s="108"/>
      <c r="I246" s="108"/>
      <c r="J246" s="108"/>
      <c r="L246" s="108">
        <v>0</v>
      </c>
      <c r="M246" s="108">
        <v>0</v>
      </c>
      <c r="N246" s="108">
        <v>0</v>
      </c>
      <c r="O246" s="108">
        <v>0</v>
      </c>
    </row>
    <row r="247" spans="1:15" x14ac:dyDescent="0.25">
      <c r="A247" t="s">
        <v>310</v>
      </c>
      <c r="C247" s="108">
        <v>0</v>
      </c>
      <c r="D247" s="108">
        <v>0</v>
      </c>
      <c r="E247" s="108">
        <v>0</v>
      </c>
      <c r="F247" s="108">
        <v>0</v>
      </c>
      <c r="G247" s="108">
        <f>BS01_BS02!I42</f>
        <v>196411.95999999996</v>
      </c>
      <c r="H247" s="108">
        <f>BS01_BS02!J42</f>
        <v>333386</v>
      </c>
      <c r="I247" s="108">
        <f>BS01_BS02!K42</f>
        <v>59893.139999999898</v>
      </c>
      <c r="J247" s="108">
        <f>BS01_BS02!L42</f>
        <v>0</v>
      </c>
      <c r="L247" s="108">
        <v>0</v>
      </c>
      <c r="M247" s="108">
        <v>0</v>
      </c>
      <c r="N247" s="108">
        <v>0</v>
      </c>
      <c r="O247" s="108">
        <v>0</v>
      </c>
    </row>
    <row r="248" spans="1:15" x14ac:dyDescent="0.25">
      <c r="A248" t="s">
        <v>312</v>
      </c>
      <c r="C248" s="108">
        <v>0</v>
      </c>
      <c r="D248" s="108">
        <v>0</v>
      </c>
      <c r="E248" s="108">
        <v>0</v>
      </c>
      <c r="F248" s="108">
        <v>0</v>
      </c>
      <c r="G248" s="108"/>
      <c r="H248" s="108"/>
      <c r="I248" s="108"/>
      <c r="J248" s="108"/>
      <c r="L248" s="108">
        <v>0</v>
      </c>
      <c r="M248" s="108">
        <v>0</v>
      </c>
      <c r="N248" s="108">
        <v>0</v>
      </c>
      <c r="O248" s="108">
        <v>0</v>
      </c>
    </row>
    <row r="249" spans="1:15" x14ac:dyDescent="0.25">
      <c r="A249" t="s">
        <v>313</v>
      </c>
      <c r="C249" s="108">
        <v>0</v>
      </c>
      <c r="D249" s="108">
        <v>0</v>
      </c>
      <c r="E249" s="108">
        <v>0</v>
      </c>
      <c r="F249" s="108">
        <v>0</v>
      </c>
      <c r="G249" s="108"/>
      <c r="H249" s="108"/>
      <c r="I249" s="108"/>
      <c r="J249" s="108"/>
      <c r="L249" s="108">
        <v>0</v>
      </c>
      <c r="M249" s="108">
        <v>0</v>
      </c>
      <c r="N249" s="108">
        <v>0</v>
      </c>
      <c r="O249" s="108">
        <v>0</v>
      </c>
    </row>
    <row r="250" spans="1:15" x14ac:dyDescent="0.25">
      <c r="A250" t="s">
        <v>314</v>
      </c>
      <c r="C250" s="108">
        <v>0</v>
      </c>
      <c r="D250" s="108">
        <v>0</v>
      </c>
      <c r="E250" s="108">
        <v>0</v>
      </c>
      <c r="F250" s="108">
        <v>0</v>
      </c>
      <c r="G250" s="108">
        <f>BS01_BS02!I44</f>
        <v>171342.97999999998</v>
      </c>
      <c r="H250" s="108">
        <f>BS01_BS02!J44</f>
        <v>705847.02</v>
      </c>
      <c r="I250" s="108">
        <f>BS01_BS02!K44</f>
        <v>52414.5</v>
      </c>
      <c r="J250" s="108">
        <f>BS01_BS02!L44</f>
        <v>0</v>
      </c>
      <c r="L250" s="108">
        <v>0</v>
      </c>
      <c r="M250" s="108">
        <v>0</v>
      </c>
      <c r="N250" s="108">
        <v>0</v>
      </c>
      <c r="O250" s="108">
        <v>0</v>
      </c>
    </row>
    <row r="251" spans="1:15" x14ac:dyDescent="0.25">
      <c r="A251" s="110" t="s">
        <v>317</v>
      </c>
      <c r="C251" s="108">
        <v>0</v>
      </c>
      <c r="D251" s="108">
        <v>0</v>
      </c>
      <c r="E251" s="108">
        <v>0</v>
      </c>
      <c r="F251" s="108">
        <v>746443</v>
      </c>
      <c r="G251" s="111">
        <f>SUM(G241:G250)</f>
        <v>3527551.0399999977</v>
      </c>
      <c r="H251" s="111">
        <f t="shared" ref="H251:J251" si="63">SUM(H241:H250)</f>
        <v>2160361.9200000023</v>
      </c>
      <c r="I251" s="111">
        <f t="shared" si="63"/>
        <v>1319858.2000000023</v>
      </c>
      <c r="J251" s="111">
        <f t="shared" si="63"/>
        <v>1602294.4399999976</v>
      </c>
      <c r="L251" s="108">
        <v>0</v>
      </c>
      <c r="M251" s="108">
        <v>0</v>
      </c>
      <c r="N251" s="108">
        <v>0</v>
      </c>
      <c r="O251" s="108">
        <v>0</v>
      </c>
    </row>
    <row r="252" spans="1:15" x14ac:dyDescent="0.25">
      <c r="A252" t="s">
        <v>277</v>
      </c>
      <c r="C252" s="108"/>
      <c r="D252" s="108"/>
      <c r="E252" s="108"/>
      <c r="F252" s="108"/>
      <c r="G252" s="108"/>
      <c r="L252" s="108"/>
      <c r="M252" s="108"/>
      <c r="N252" s="108"/>
      <c r="O252" s="108"/>
    </row>
    <row r="253" spans="1:15" x14ac:dyDescent="0.25">
      <c r="A253" t="s">
        <v>303</v>
      </c>
      <c r="C253" s="108">
        <v>244960</v>
      </c>
      <c r="D253" s="108">
        <v>0</v>
      </c>
      <c r="E253" s="108">
        <v>0</v>
      </c>
      <c r="F253" s="108">
        <v>0</v>
      </c>
      <c r="G253" s="108">
        <f>BS01_BS02!I47</f>
        <v>12679.639999999898</v>
      </c>
      <c r="H253" s="108">
        <f>BS01_BS02!J47</f>
        <v>6420.3600000001024</v>
      </c>
      <c r="I253" s="108">
        <f>BS01_BS02!K47</f>
        <v>0</v>
      </c>
      <c r="J253" s="108">
        <f>BS01_BS02!L47</f>
        <v>460756</v>
      </c>
      <c r="L253" s="108">
        <v>0</v>
      </c>
      <c r="M253" s="108">
        <v>0</v>
      </c>
      <c r="N253" s="108">
        <v>0</v>
      </c>
      <c r="O253" s="108">
        <v>0</v>
      </c>
    </row>
    <row r="254" spans="1:15" x14ac:dyDescent="0.25">
      <c r="A254" t="s">
        <v>319</v>
      </c>
      <c r="C254" s="108">
        <v>0</v>
      </c>
      <c r="D254" s="108">
        <v>0</v>
      </c>
      <c r="E254" s="108">
        <v>0</v>
      </c>
      <c r="F254" s="108">
        <v>0</v>
      </c>
      <c r="G254" s="108"/>
      <c r="H254" s="108"/>
      <c r="I254" s="108"/>
      <c r="J254" s="108"/>
      <c r="L254" s="108">
        <v>0</v>
      </c>
      <c r="M254" s="108">
        <v>0</v>
      </c>
      <c r="N254" s="108">
        <v>0</v>
      </c>
      <c r="O254" s="108">
        <v>0</v>
      </c>
    </row>
    <row r="255" spans="1:15" x14ac:dyDescent="0.25">
      <c r="A255" t="s">
        <v>307</v>
      </c>
      <c r="C255" s="108">
        <v>112564</v>
      </c>
      <c r="D255" s="108">
        <v>0</v>
      </c>
      <c r="E255" s="108">
        <v>0</v>
      </c>
      <c r="F255" s="108">
        <v>0</v>
      </c>
      <c r="G255" s="108"/>
      <c r="H255" s="108"/>
      <c r="I255" s="108"/>
      <c r="J255" s="108"/>
      <c r="L255" s="108">
        <v>0</v>
      </c>
      <c r="M255" s="108">
        <v>0</v>
      </c>
      <c r="N255" s="108">
        <v>0</v>
      </c>
      <c r="O255" s="108">
        <v>0</v>
      </c>
    </row>
    <row r="256" spans="1:15" x14ac:dyDescent="0.25">
      <c r="A256" t="s">
        <v>312</v>
      </c>
      <c r="C256" s="108">
        <v>0</v>
      </c>
      <c r="D256" s="108">
        <v>0</v>
      </c>
      <c r="E256" s="108">
        <v>0</v>
      </c>
      <c r="F256" s="108">
        <v>0</v>
      </c>
      <c r="G256" s="108"/>
      <c r="H256" s="108"/>
      <c r="I256" s="108"/>
      <c r="J256" s="108"/>
      <c r="L256" s="108">
        <v>0</v>
      </c>
      <c r="M256" s="108">
        <v>0</v>
      </c>
      <c r="N256" s="108">
        <v>0</v>
      </c>
      <c r="O256" s="108">
        <v>0</v>
      </c>
    </row>
    <row r="257" spans="1:15" x14ac:dyDescent="0.25">
      <c r="A257" t="s">
        <v>320</v>
      </c>
      <c r="C257" s="108">
        <v>5203767</v>
      </c>
      <c r="D257" s="108">
        <v>0</v>
      </c>
      <c r="E257" s="108">
        <v>0</v>
      </c>
      <c r="F257" s="108">
        <v>24825</v>
      </c>
      <c r="G257" s="108">
        <f>BS01_BS02!I48+BS01_BS02!I49</f>
        <v>704604.87999999989</v>
      </c>
      <c r="H257" s="108">
        <f>BS01_BS02!J48+BS01_BS02!J49</f>
        <v>0.12000000011175871</v>
      </c>
      <c r="I257" s="108">
        <f>BS01_BS02!K48+BS01_BS02!K49</f>
        <v>2883960.1999999997</v>
      </c>
      <c r="J257" s="108">
        <f>BS01_BS02!L48+BS01_BS02!L49</f>
        <v>5626550.8000000007</v>
      </c>
      <c r="L257" s="108">
        <v>0</v>
      </c>
      <c r="M257" s="108">
        <v>0</v>
      </c>
      <c r="N257" s="108">
        <v>-5504</v>
      </c>
      <c r="O257" s="108">
        <v>0</v>
      </c>
    </row>
    <row r="258" spans="1:15" x14ac:dyDescent="0.25">
      <c r="A258" t="s">
        <v>321</v>
      </c>
      <c r="C258" s="108">
        <v>156176</v>
      </c>
      <c r="D258" s="108">
        <v>0</v>
      </c>
      <c r="E258" s="108">
        <v>0</v>
      </c>
      <c r="F258" s="108">
        <v>0</v>
      </c>
      <c r="G258" s="108"/>
      <c r="H258" s="108"/>
      <c r="I258" s="108"/>
      <c r="J258" s="108"/>
      <c r="L258" s="108">
        <v>0</v>
      </c>
      <c r="M258" s="108">
        <v>0</v>
      </c>
      <c r="N258" s="108">
        <v>-44888</v>
      </c>
      <c r="O258" s="108">
        <v>0</v>
      </c>
    </row>
    <row r="259" spans="1:15" x14ac:dyDescent="0.25">
      <c r="A259" t="s">
        <v>322</v>
      </c>
      <c r="C259" s="108">
        <v>0</v>
      </c>
      <c r="D259" s="108">
        <v>0</v>
      </c>
      <c r="E259" s="108">
        <v>0</v>
      </c>
      <c r="F259" s="108">
        <v>0</v>
      </c>
      <c r="G259" s="108">
        <f>BS01_BS02!I50</f>
        <v>-704604.96</v>
      </c>
      <c r="H259" s="108">
        <f>BS01_BS02!J50</f>
        <v>-4.0000000037252903E-2</v>
      </c>
      <c r="I259" s="108">
        <f>BS01_BS02!K50</f>
        <v>0</v>
      </c>
      <c r="J259" s="108">
        <f>BS01_BS02!L50</f>
        <v>0</v>
      </c>
      <c r="L259" s="108">
        <v>0</v>
      </c>
      <c r="M259" s="108">
        <v>0</v>
      </c>
      <c r="N259" s="108">
        <v>0</v>
      </c>
      <c r="O259" s="108">
        <v>0</v>
      </c>
    </row>
    <row r="260" spans="1:15" x14ac:dyDescent="0.25">
      <c r="A260" s="110" t="s">
        <v>317</v>
      </c>
      <c r="C260" s="108">
        <v>5717467</v>
      </c>
      <c r="D260" s="108">
        <v>0</v>
      </c>
      <c r="E260" s="108">
        <v>0</v>
      </c>
      <c r="F260" s="108">
        <v>24825</v>
      </c>
      <c r="G260" s="111">
        <f>SUM(G253:G259)</f>
        <v>12679.559999999823</v>
      </c>
      <c r="H260" s="111">
        <f t="shared" ref="H260:J260" si="64">SUM(H253:H259)</f>
        <v>6420.440000000177</v>
      </c>
      <c r="I260" s="111">
        <f t="shared" si="64"/>
        <v>2883960.1999999997</v>
      </c>
      <c r="J260" s="111">
        <f t="shared" si="64"/>
        <v>6087306.8000000007</v>
      </c>
      <c r="L260" s="108">
        <v>0</v>
      </c>
      <c r="M260" s="108">
        <v>0</v>
      </c>
      <c r="N260" s="108">
        <v>-50392</v>
      </c>
      <c r="O260" s="108">
        <v>0</v>
      </c>
    </row>
    <row r="261" spans="1:15" x14ac:dyDescent="0.25">
      <c r="A261" t="s">
        <v>753</v>
      </c>
      <c r="C261" s="108"/>
      <c r="D261" s="108"/>
      <c r="E261" s="108"/>
      <c r="F261" s="108"/>
      <c r="G261" s="108"/>
      <c r="L261" s="108"/>
      <c r="M261" s="108"/>
      <c r="N261" s="108"/>
      <c r="O261" s="108"/>
    </row>
    <row r="262" spans="1:15" x14ac:dyDescent="0.25">
      <c r="A262" t="s">
        <v>307</v>
      </c>
      <c r="C262" s="108">
        <v>0</v>
      </c>
      <c r="D262" s="108">
        <v>0</v>
      </c>
      <c r="E262" s="108">
        <v>0</v>
      </c>
      <c r="F262" s="108">
        <v>0</v>
      </c>
      <c r="G262" s="108"/>
      <c r="L262" s="108">
        <v>0</v>
      </c>
      <c r="M262" s="108">
        <v>0</v>
      </c>
      <c r="N262" s="108">
        <v>0</v>
      </c>
      <c r="O262" s="108">
        <v>0</v>
      </c>
    </row>
    <row r="263" spans="1:15" x14ac:dyDescent="0.25">
      <c r="A263" t="s">
        <v>312</v>
      </c>
      <c r="C263" s="108">
        <v>0</v>
      </c>
      <c r="D263" s="108">
        <v>0</v>
      </c>
      <c r="E263" s="108">
        <v>0</v>
      </c>
      <c r="F263" s="108">
        <v>0</v>
      </c>
      <c r="G263" s="108"/>
      <c r="L263" s="108">
        <v>0</v>
      </c>
      <c r="M263" s="108">
        <v>0</v>
      </c>
      <c r="N263" s="108">
        <v>0</v>
      </c>
      <c r="O263" s="108">
        <v>0</v>
      </c>
    </row>
    <row r="264" spans="1:15" x14ac:dyDescent="0.25">
      <c r="A264" t="s">
        <v>320</v>
      </c>
      <c r="C264" s="108">
        <v>0</v>
      </c>
      <c r="D264" s="108">
        <v>0</v>
      </c>
      <c r="E264" s="108">
        <v>943878</v>
      </c>
      <c r="F264" s="108">
        <v>0</v>
      </c>
      <c r="G264" s="108"/>
      <c r="L264" s="108">
        <v>0</v>
      </c>
      <c r="M264" s="108">
        <v>0</v>
      </c>
      <c r="N264" s="108">
        <v>0</v>
      </c>
      <c r="O264" s="108">
        <v>0</v>
      </c>
    </row>
    <row r="265" spans="1:15" x14ac:dyDescent="0.25">
      <c r="A265" t="s">
        <v>315</v>
      </c>
      <c r="C265" s="108">
        <v>0</v>
      </c>
      <c r="D265" s="108">
        <v>0</v>
      </c>
      <c r="E265" s="108">
        <v>0</v>
      </c>
      <c r="F265" s="108">
        <v>0</v>
      </c>
      <c r="G265" s="108"/>
      <c r="L265" s="108">
        <v>0</v>
      </c>
      <c r="M265" s="108">
        <v>0</v>
      </c>
      <c r="N265" s="108">
        <v>-68088</v>
      </c>
      <c r="O265" s="108">
        <v>0</v>
      </c>
    </row>
    <row r="266" spans="1:15" x14ac:dyDescent="0.25">
      <c r="A266" t="s">
        <v>322</v>
      </c>
      <c r="C266" s="108">
        <v>0</v>
      </c>
      <c r="D266" s="108">
        <v>0</v>
      </c>
      <c r="E266" s="108">
        <v>0</v>
      </c>
      <c r="F266" s="108">
        <v>0</v>
      </c>
      <c r="G266" s="108"/>
      <c r="L266" s="108">
        <v>0</v>
      </c>
      <c r="M266" s="108">
        <v>0</v>
      </c>
      <c r="N266" s="108">
        <v>0</v>
      </c>
      <c r="O266" s="108">
        <v>0</v>
      </c>
    </row>
    <row r="267" spans="1:15" x14ac:dyDescent="0.25">
      <c r="A267" t="s">
        <v>754</v>
      </c>
      <c r="C267" s="108">
        <v>0</v>
      </c>
      <c r="D267" s="108">
        <v>0</v>
      </c>
      <c r="E267" s="108">
        <v>3132110</v>
      </c>
      <c r="F267" s="108">
        <v>0</v>
      </c>
      <c r="G267" s="108"/>
      <c r="L267" s="108">
        <v>0</v>
      </c>
      <c r="M267" s="108">
        <v>0</v>
      </c>
      <c r="N267" s="108">
        <v>0</v>
      </c>
      <c r="O267" s="108">
        <v>-33359</v>
      </c>
    </row>
    <row r="268" spans="1:15" x14ac:dyDescent="0.25">
      <c r="A268" t="s">
        <v>755</v>
      </c>
      <c r="C268" s="108">
        <v>0</v>
      </c>
      <c r="D268" s="108">
        <v>3235267</v>
      </c>
      <c r="E268" s="108">
        <v>0</v>
      </c>
      <c r="F268" s="108">
        <v>0</v>
      </c>
      <c r="G268" s="108"/>
      <c r="L268" s="108">
        <v>0</v>
      </c>
      <c r="M268" s="108">
        <v>0</v>
      </c>
      <c r="N268" s="108">
        <v>-1580593</v>
      </c>
      <c r="O268" s="108">
        <v>0</v>
      </c>
    </row>
    <row r="269" spans="1:15" x14ac:dyDescent="0.25">
      <c r="A269" t="s">
        <v>756</v>
      </c>
      <c r="C269" s="108">
        <v>0</v>
      </c>
      <c r="D269" s="108">
        <v>0</v>
      </c>
      <c r="E269" s="108">
        <v>0</v>
      </c>
      <c r="F269" s="108">
        <v>0</v>
      </c>
      <c r="G269" s="108"/>
      <c r="L269" s="108">
        <v>0</v>
      </c>
      <c r="M269" s="108">
        <v>0</v>
      </c>
      <c r="N269" s="108">
        <v>0</v>
      </c>
      <c r="O269" s="108">
        <v>0</v>
      </c>
    </row>
    <row r="270" spans="1:15" x14ac:dyDescent="0.25">
      <c r="A270" s="110" t="s">
        <v>317</v>
      </c>
      <c r="C270" s="108">
        <v>0</v>
      </c>
      <c r="D270" s="108">
        <v>3235267</v>
      </c>
      <c r="E270" s="108">
        <v>4075988</v>
      </c>
      <c r="F270" s="108">
        <v>0</v>
      </c>
      <c r="G270" s="108"/>
      <c r="L270" s="108">
        <v>0</v>
      </c>
      <c r="M270" s="108">
        <v>0</v>
      </c>
      <c r="N270" s="108">
        <v>-1648681</v>
      </c>
      <c r="O270" s="108">
        <v>-33359</v>
      </c>
    </row>
    <row r="271" spans="1:15" x14ac:dyDescent="0.25">
      <c r="A271" t="s">
        <v>278</v>
      </c>
      <c r="C271" s="108"/>
      <c r="D271" s="108"/>
      <c r="E271" s="108"/>
      <c r="F271" s="108"/>
      <c r="G271" s="108"/>
      <c r="L271" s="108"/>
      <c r="M271" s="108"/>
      <c r="N271" s="108"/>
      <c r="O271" s="108"/>
    </row>
    <row r="272" spans="1:15" x14ac:dyDescent="0.25">
      <c r="C272" s="108"/>
      <c r="D272" s="108"/>
      <c r="E272" s="108"/>
      <c r="F272" s="108"/>
      <c r="G272" s="108"/>
      <c r="L272" s="108"/>
      <c r="M272" s="108"/>
      <c r="N272" s="108"/>
      <c r="O272" s="108"/>
    </row>
    <row r="273" spans="1:15" x14ac:dyDescent="0.25">
      <c r="A273" t="s">
        <v>302</v>
      </c>
      <c r="C273" s="108">
        <v>0</v>
      </c>
      <c r="D273" s="108">
        <v>0</v>
      </c>
      <c r="E273" s="108">
        <v>0</v>
      </c>
      <c r="F273" s="108">
        <v>0</v>
      </c>
      <c r="G273" s="108">
        <f>BS01_BS02!I23</f>
        <v>0</v>
      </c>
      <c r="H273" s="108">
        <f>BS01_BS02!J23</f>
        <v>0</v>
      </c>
      <c r="I273" s="108">
        <f>BS01_BS02!K23</f>
        <v>0</v>
      </c>
      <c r="J273" s="108">
        <f>BS01_BS02!L23</f>
        <v>0</v>
      </c>
      <c r="L273" s="108">
        <v>0</v>
      </c>
      <c r="M273" s="108">
        <v>-9547</v>
      </c>
      <c r="N273" s="108">
        <v>-46122</v>
      </c>
      <c r="O273" s="108">
        <v>0</v>
      </c>
    </row>
    <row r="274" spans="1:15" x14ac:dyDescent="0.25">
      <c r="A274" t="s">
        <v>303</v>
      </c>
      <c r="C274" s="108">
        <v>0</v>
      </c>
      <c r="D274" s="108">
        <v>372230</v>
      </c>
      <c r="E274" s="108">
        <v>106238</v>
      </c>
      <c r="F274" s="108">
        <v>1894</v>
      </c>
      <c r="G274" s="108">
        <f>BS01_BS02!I24</f>
        <v>17137.930000000633</v>
      </c>
      <c r="H274" s="108">
        <f>BS01_BS02!J24</f>
        <v>0</v>
      </c>
      <c r="I274" s="108">
        <f>BS01_BS02!K24</f>
        <v>205049.45000000019</v>
      </c>
      <c r="J274" s="108">
        <f>BS01_BS02!L24</f>
        <v>974661.61999999918</v>
      </c>
      <c r="L274" s="108">
        <v>0</v>
      </c>
      <c r="M274" s="108">
        <v>0</v>
      </c>
      <c r="N274" s="108">
        <v>0</v>
      </c>
      <c r="O274" s="108">
        <v>0</v>
      </c>
    </row>
    <row r="275" spans="1:15" x14ac:dyDescent="0.25">
      <c r="A275" t="s">
        <v>307</v>
      </c>
      <c r="C275" s="108">
        <v>0</v>
      </c>
      <c r="D275" s="108">
        <v>0</v>
      </c>
      <c r="E275" s="108">
        <v>0</v>
      </c>
      <c r="F275" s="108">
        <v>0</v>
      </c>
      <c r="G275" s="108"/>
      <c r="H275" s="108"/>
      <c r="I275" s="108"/>
      <c r="J275" s="108"/>
      <c r="L275" s="108">
        <v>0</v>
      </c>
      <c r="M275" s="108">
        <v>0</v>
      </c>
      <c r="N275" s="108">
        <v>0</v>
      </c>
      <c r="O275" s="108">
        <v>0</v>
      </c>
    </row>
    <row r="276" spans="1:15" x14ac:dyDescent="0.25">
      <c r="A276" t="s">
        <v>323</v>
      </c>
      <c r="C276" s="108">
        <v>0</v>
      </c>
      <c r="D276" s="108">
        <v>0</v>
      </c>
      <c r="E276" s="108">
        <v>0</v>
      </c>
      <c r="F276" s="108">
        <v>0</v>
      </c>
      <c r="G276" s="108"/>
      <c r="H276" s="108"/>
      <c r="I276" s="108"/>
      <c r="J276" s="108"/>
      <c r="L276" s="108">
        <v>0</v>
      </c>
      <c r="M276" s="108">
        <v>0</v>
      </c>
      <c r="N276" s="108">
        <v>0</v>
      </c>
      <c r="O276" s="108">
        <v>0</v>
      </c>
    </row>
    <row r="277" spans="1:15" x14ac:dyDescent="0.25">
      <c r="A277" t="s">
        <v>311</v>
      </c>
      <c r="C277" s="108">
        <v>0</v>
      </c>
      <c r="D277" s="108">
        <v>0</v>
      </c>
      <c r="E277" s="108">
        <v>0</v>
      </c>
      <c r="F277" s="108">
        <v>0</v>
      </c>
      <c r="G277" s="108"/>
      <c r="H277" s="108"/>
      <c r="I277" s="108"/>
      <c r="J277" s="108"/>
      <c r="L277" s="108">
        <v>0</v>
      </c>
      <c r="M277" s="108">
        <v>0</v>
      </c>
      <c r="N277" s="108">
        <v>0</v>
      </c>
      <c r="O277" s="108">
        <v>0</v>
      </c>
    </row>
    <row r="278" spans="1:15" x14ac:dyDescent="0.25">
      <c r="A278" t="s">
        <v>312</v>
      </c>
      <c r="C278" s="108">
        <v>1245841</v>
      </c>
      <c r="D278" s="108">
        <v>850767</v>
      </c>
      <c r="E278" s="108">
        <v>2016105</v>
      </c>
      <c r="F278" s="108">
        <v>1532890</v>
      </c>
      <c r="G278" s="108">
        <f>BS01_BS02!I27</f>
        <v>989444.78999999911</v>
      </c>
      <c r="H278" s="108">
        <f>BS01_BS02!J27</f>
        <v>827114.71000000089</v>
      </c>
      <c r="I278" s="108">
        <f>BS01_BS02!K27</f>
        <v>1119358.6400000006</v>
      </c>
      <c r="J278" s="108">
        <f>BS01_BS02!L27</f>
        <v>1222562.8599999994</v>
      </c>
      <c r="L278" s="108">
        <v>0</v>
      </c>
      <c r="M278" s="108">
        <v>0</v>
      </c>
      <c r="N278" s="108">
        <v>0</v>
      </c>
      <c r="O278" s="108">
        <v>0</v>
      </c>
    </row>
    <row r="279" spans="1:15" x14ac:dyDescent="0.25">
      <c r="A279" t="s">
        <v>324</v>
      </c>
      <c r="C279" s="108">
        <v>877230</v>
      </c>
      <c r="D279" s="108">
        <v>1982651</v>
      </c>
      <c r="E279" s="108">
        <v>1721364</v>
      </c>
      <c r="F279" s="108">
        <v>647260</v>
      </c>
      <c r="G279" s="108">
        <f>BS01_BS02!I25</f>
        <v>2452806.2899999991</v>
      </c>
      <c r="H279" s="108">
        <f>BS01_BS02!J25</f>
        <v>340123.71000000089</v>
      </c>
      <c r="I279" s="108">
        <f>BS01_BS02!K25</f>
        <v>733119.15000000037</v>
      </c>
      <c r="J279" s="108">
        <f>BS01_BS02!L25</f>
        <v>4796554.8499999996</v>
      </c>
      <c r="L279" s="108">
        <v>0</v>
      </c>
      <c r="M279" s="108">
        <v>0</v>
      </c>
      <c r="N279" s="108">
        <v>0</v>
      </c>
      <c r="O279" s="108">
        <v>0</v>
      </c>
    </row>
    <row r="280" spans="1:15" x14ac:dyDescent="0.25">
      <c r="A280" t="s">
        <v>321</v>
      </c>
      <c r="C280" s="108">
        <v>15658</v>
      </c>
      <c r="D280" s="108">
        <v>286060</v>
      </c>
      <c r="E280" s="108">
        <v>53889</v>
      </c>
      <c r="F280" s="108">
        <v>362071</v>
      </c>
      <c r="G280" s="108">
        <f>BS01_BS02!I26</f>
        <v>212784.12000000011</v>
      </c>
      <c r="H280" s="108">
        <f>BS01_BS02!J26</f>
        <v>232659.87999999989</v>
      </c>
      <c r="I280" s="108">
        <f>BS01_BS02!K26</f>
        <v>29459.979999999516</v>
      </c>
      <c r="J280" s="108">
        <f>BS01_BS02!L26</f>
        <v>932648.02000000048</v>
      </c>
      <c r="L280" s="108">
        <v>0</v>
      </c>
      <c r="M280" s="108">
        <v>0</v>
      </c>
      <c r="N280" s="108">
        <v>0</v>
      </c>
      <c r="O280" s="108">
        <v>-2515</v>
      </c>
    </row>
    <row r="281" spans="1:15" x14ac:dyDescent="0.25">
      <c r="A281" t="s">
        <v>322</v>
      </c>
      <c r="C281" s="108">
        <v>0</v>
      </c>
      <c r="D281" s="108">
        <v>0</v>
      </c>
      <c r="E281" s="108">
        <v>0</v>
      </c>
      <c r="F281" s="108">
        <v>0</v>
      </c>
      <c r="G281" s="108"/>
      <c r="H281" s="108"/>
      <c r="I281" s="108"/>
      <c r="J281" s="108"/>
      <c r="L281" s="108">
        <v>0</v>
      </c>
      <c r="M281" s="108">
        <v>0</v>
      </c>
      <c r="N281" s="108">
        <v>0</v>
      </c>
      <c r="O281" s="108">
        <v>0</v>
      </c>
    </row>
    <row r="282" spans="1:15" x14ac:dyDescent="0.25">
      <c r="A282" t="s">
        <v>316</v>
      </c>
      <c r="C282" s="108">
        <v>0</v>
      </c>
      <c r="D282" s="108">
        <v>0</v>
      </c>
      <c r="E282" s="108">
        <v>0</v>
      </c>
      <c r="F282" s="108">
        <v>0</v>
      </c>
      <c r="G282" s="108"/>
      <c r="H282" s="108"/>
      <c r="I282" s="108"/>
      <c r="J282" s="108"/>
      <c r="L282" s="108">
        <v>0</v>
      </c>
      <c r="M282" s="108">
        <v>0</v>
      </c>
      <c r="N282" s="108">
        <v>0</v>
      </c>
      <c r="O282" s="108">
        <v>0</v>
      </c>
    </row>
    <row r="283" spans="1:15" x14ac:dyDescent="0.25">
      <c r="A283" s="110" t="s">
        <v>317</v>
      </c>
      <c r="C283" s="108">
        <v>2138729</v>
      </c>
      <c r="D283" s="108">
        <v>3491708</v>
      </c>
      <c r="E283" s="108">
        <v>3897596</v>
      </c>
      <c r="F283" s="108">
        <v>2544115</v>
      </c>
      <c r="G283" s="111">
        <f>SUM(G273:G282)</f>
        <v>3672173.129999999</v>
      </c>
      <c r="H283" s="111">
        <f t="shared" ref="H283:J283" si="65">SUM(H273:H282)</f>
        <v>1399898.3000000017</v>
      </c>
      <c r="I283" s="111">
        <f t="shared" si="65"/>
        <v>2086987.2200000007</v>
      </c>
      <c r="J283" s="111">
        <f t="shared" si="65"/>
        <v>7926427.3499999987</v>
      </c>
      <c r="L283" s="108">
        <v>0</v>
      </c>
      <c r="M283" s="108">
        <v>-9547</v>
      </c>
      <c r="N283" s="108">
        <v>-46122</v>
      </c>
      <c r="O283" s="108">
        <v>-2515</v>
      </c>
    </row>
    <row r="284" spans="1:15" x14ac:dyDescent="0.25">
      <c r="A284" t="s">
        <v>287</v>
      </c>
      <c r="C284" s="108"/>
      <c r="D284" s="108"/>
      <c r="E284" s="108"/>
      <c r="F284" s="108"/>
      <c r="G284" s="108"/>
      <c r="H284" s="108"/>
      <c r="I284" s="108"/>
      <c r="J284" s="108"/>
      <c r="L284" s="108"/>
      <c r="M284" s="108"/>
      <c r="N284" s="108"/>
      <c r="O284" s="108"/>
    </row>
    <row r="285" spans="1:15" x14ac:dyDescent="0.25">
      <c r="C285" s="108"/>
      <c r="D285" s="108"/>
      <c r="E285" s="108"/>
      <c r="F285" s="108"/>
      <c r="G285" s="108"/>
      <c r="L285" s="108"/>
      <c r="M285" s="108"/>
      <c r="N285" s="108"/>
      <c r="O285" s="108"/>
    </row>
    <row r="286" spans="1:15" x14ac:dyDescent="0.25">
      <c r="A286" t="s">
        <v>303</v>
      </c>
      <c r="C286" s="108">
        <v>0</v>
      </c>
      <c r="D286" s="108">
        <v>0</v>
      </c>
      <c r="E286" s="108">
        <v>0</v>
      </c>
      <c r="F286" s="108">
        <v>0</v>
      </c>
      <c r="G286" s="108"/>
      <c r="L286" s="108">
        <v>0</v>
      </c>
      <c r="M286" s="108">
        <v>0</v>
      </c>
      <c r="N286" s="108">
        <v>0</v>
      </c>
      <c r="O286" s="108">
        <v>0</v>
      </c>
    </row>
    <row r="287" spans="1:15" x14ac:dyDescent="0.25">
      <c r="A287" t="s">
        <v>317</v>
      </c>
      <c r="C287" s="108">
        <v>0</v>
      </c>
      <c r="D287" s="108">
        <v>0</v>
      </c>
      <c r="E287" s="108">
        <v>0</v>
      </c>
      <c r="F287" s="108">
        <v>0</v>
      </c>
      <c r="G287" s="108"/>
      <c r="L287" s="108">
        <v>0</v>
      </c>
      <c r="M287" s="108">
        <v>0</v>
      </c>
      <c r="N287" s="108">
        <v>0</v>
      </c>
      <c r="O287" s="108">
        <v>0</v>
      </c>
    </row>
    <row r="288" spans="1:15" x14ac:dyDescent="0.25">
      <c r="C288" s="108"/>
      <c r="D288" s="108"/>
      <c r="E288" s="108"/>
      <c r="F288" s="108"/>
      <c r="G288" s="108"/>
      <c r="L288" s="108"/>
      <c r="M288" s="108"/>
      <c r="N288" s="108"/>
      <c r="O288" s="108"/>
    </row>
    <row r="289" spans="1:15" x14ac:dyDescent="0.25">
      <c r="A289" s="110" t="s">
        <v>325</v>
      </c>
      <c r="C289" s="108">
        <v>349370799</v>
      </c>
      <c r="D289" s="108">
        <v>85395889</v>
      </c>
      <c r="E289" s="108">
        <v>75425426</v>
      </c>
      <c r="F289" s="108">
        <v>37324530</v>
      </c>
      <c r="G289" s="108"/>
      <c r="L289" s="108">
        <v>0</v>
      </c>
      <c r="M289" s="108">
        <v>-9547</v>
      </c>
      <c r="N289" s="108">
        <v>-1745195</v>
      </c>
      <c r="O289" s="108">
        <v>-6801786</v>
      </c>
    </row>
    <row r="290" spans="1:15" x14ac:dyDescent="0.25">
      <c r="C290" s="108"/>
      <c r="D290" s="108"/>
      <c r="E290" s="108"/>
      <c r="F290" s="108"/>
      <c r="G290" s="108"/>
      <c r="L290" s="108"/>
      <c r="M290" s="108"/>
      <c r="N290" s="108"/>
      <c r="O290" s="108"/>
    </row>
    <row r="291" spans="1:15" x14ac:dyDescent="0.25">
      <c r="A291" t="s">
        <v>326</v>
      </c>
      <c r="C291" s="108">
        <v>0</v>
      </c>
      <c r="D291" s="108">
        <v>0</v>
      </c>
      <c r="E291" s="108">
        <v>0</v>
      </c>
      <c r="F291" s="108">
        <v>0</v>
      </c>
      <c r="G291" s="108"/>
      <c r="L291" s="108">
        <v>0</v>
      </c>
      <c r="M291" s="108">
        <v>0</v>
      </c>
      <c r="N291" s="108">
        <v>0</v>
      </c>
      <c r="O291" s="108">
        <v>0</v>
      </c>
    </row>
    <row r="292" spans="1:15" x14ac:dyDescent="0.25">
      <c r="A292" t="s">
        <v>327</v>
      </c>
      <c r="C292" s="108">
        <v>0</v>
      </c>
      <c r="D292" s="108">
        <v>0</v>
      </c>
      <c r="E292" s="108">
        <v>0</v>
      </c>
      <c r="F292" s="108">
        <v>0</v>
      </c>
      <c r="G292" s="108"/>
      <c r="L292" s="108">
        <v>0</v>
      </c>
      <c r="M292" s="108">
        <v>0</v>
      </c>
      <c r="N292" s="108">
        <v>0</v>
      </c>
      <c r="O292" s="108">
        <v>0</v>
      </c>
    </row>
    <row r="293" spans="1:15" x14ac:dyDescent="0.25">
      <c r="A293" t="s">
        <v>328</v>
      </c>
      <c r="C293" s="108">
        <v>0</v>
      </c>
      <c r="D293" s="108">
        <v>0</v>
      </c>
      <c r="E293" s="108">
        <v>0</v>
      </c>
      <c r="F293" s="108">
        <v>0</v>
      </c>
      <c r="G293" s="108"/>
      <c r="L293" s="108">
        <v>0</v>
      </c>
      <c r="M293" s="108">
        <v>0</v>
      </c>
      <c r="N293" s="108">
        <v>0</v>
      </c>
      <c r="O293" s="108">
        <v>0</v>
      </c>
    </row>
    <row r="294" spans="1:15" x14ac:dyDescent="0.25">
      <c r="C294" s="108">
        <v>0</v>
      </c>
      <c r="D294" s="108">
        <v>0</v>
      </c>
      <c r="E294" s="108">
        <v>0</v>
      </c>
      <c r="F294" s="108">
        <v>0</v>
      </c>
      <c r="G294" s="108"/>
      <c r="L294" s="108">
        <v>0</v>
      </c>
      <c r="M294" s="108">
        <v>0</v>
      </c>
      <c r="N294" s="108">
        <v>0</v>
      </c>
      <c r="O294" s="108">
        <v>0</v>
      </c>
    </row>
    <row r="295" spans="1:15" x14ac:dyDescent="0.25">
      <c r="C295" s="108"/>
      <c r="D295" s="108"/>
      <c r="E295" s="108"/>
      <c r="F295" s="108"/>
      <c r="G295" s="108"/>
      <c r="L295" s="108"/>
      <c r="M295" s="108"/>
      <c r="N295" s="108"/>
      <c r="O295" s="108"/>
    </row>
    <row r="296" spans="1:15" x14ac:dyDescent="0.25">
      <c r="A296" s="110" t="s">
        <v>329</v>
      </c>
      <c r="C296" s="111">
        <v>349370799</v>
      </c>
      <c r="D296" s="111">
        <v>85395889</v>
      </c>
      <c r="E296" s="111">
        <v>75425426</v>
      </c>
      <c r="F296" s="111">
        <v>37324530</v>
      </c>
      <c r="G296" s="111">
        <f>G239+G251+G260+G283</f>
        <v>74424288.070000008</v>
      </c>
      <c r="H296" s="111">
        <f t="shared" ref="H296:J296" si="66">H239+H251+H260+H283</f>
        <v>116462695.91999997</v>
      </c>
      <c r="I296" s="111">
        <f t="shared" si="66"/>
        <v>48582934.289999962</v>
      </c>
      <c r="J296" s="111">
        <f t="shared" si="66"/>
        <v>142037325.32000005</v>
      </c>
      <c r="L296" s="111">
        <v>0</v>
      </c>
      <c r="M296" s="111">
        <v>-9547</v>
      </c>
      <c r="N296" s="111">
        <v>-1745195</v>
      </c>
      <c r="O296" s="111">
        <v>-6801786</v>
      </c>
    </row>
    <row r="297" spans="1:15" x14ac:dyDescent="0.25">
      <c r="A297" s="110"/>
      <c r="C297" s="111"/>
      <c r="D297" s="111"/>
      <c r="E297" s="111"/>
      <c r="F297" s="111"/>
      <c r="G297" s="111"/>
      <c r="H297" s="111"/>
      <c r="I297" s="111"/>
      <c r="J297" s="111"/>
      <c r="L297" s="111"/>
      <c r="M297" s="111"/>
      <c r="N297" s="111"/>
      <c r="O297" s="111"/>
    </row>
    <row r="298" spans="1:15" x14ac:dyDescent="0.25">
      <c r="A298" s="110"/>
      <c r="C298" s="111"/>
      <c r="D298" s="111"/>
      <c r="E298" s="111"/>
      <c r="F298" s="111"/>
      <c r="G298" s="111">
        <f>G222</f>
        <v>2021</v>
      </c>
      <c r="H298" s="111">
        <f t="shared" ref="H298:J298" si="67">H222</f>
        <v>2022</v>
      </c>
      <c r="I298" s="111">
        <f t="shared" si="67"/>
        <v>2023</v>
      </c>
      <c r="J298" s="111">
        <f t="shared" si="67"/>
        <v>2024</v>
      </c>
      <c r="L298" s="111"/>
      <c r="M298" s="111"/>
      <c r="N298" s="111"/>
      <c r="O298" s="111"/>
    </row>
    <row r="299" spans="1:15" x14ac:dyDescent="0.25">
      <c r="A299" t="s">
        <v>1387</v>
      </c>
      <c r="C299" s="111"/>
      <c r="D299" s="111"/>
      <c r="E299" s="111"/>
      <c r="F299" s="111"/>
      <c r="G299" s="108">
        <f>G239-G224-G227+G251-G241-G243</f>
        <v>69873626.480000004</v>
      </c>
      <c r="H299" s="108">
        <f t="shared" ref="H299:J299" si="68">H239-H224-H227+H251-H241-H243</f>
        <v>101808108.57999998</v>
      </c>
      <c r="I299" s="108">
        <f t="shared" si="68"/>
        <v>25949598.129999951</v>
      </c>
      <c r="J299" s="108">
        <f t="shared" si="68"/>
        <v>107299980.41000006</v>
      </c>
      <c r="L299" s="111"/>
      <c r="M299" s="111"/>
      <c r="N299" s="111"/>
      <c r="O299" s="111"/>
    </row>
    <row r="300" spans="1:15" x14ac:dyDescent="0.25">
      <c r="A300" t="s">
        <v>1388</v>
      </c>
      <c r="C300" s="111"/>
      <c r="D300" s="111"/>
      <c r="E300" s="111"/>
      <c r="F300" s="111"/>
      <c r="G300" s="108">
        <f>G283-G273+G260</f>
        <v>3684852.6899999985</v>
      </c>
      <c r="H300" s="108">
        <f t="shared" ref="H300:J300" si="69">H283-H273+H260</f>
        <v>1406318.7400000019</v>
      </c>
      <c r="I300" s="108">
        <f t="shared" si="69"/>
        <v>4970947.42</v>
      </c>
      <c r="J300" s="108">
        <f t="shared" si="69"/>
        <v>14013734.149999999</v>
      </c>
      <c r="L300" s="111"/>
      <c r="M300" s="111"/>
      <c r="N300" s="111"/>
      <c r="O300" s="111"/>
    </row>
    <row r="301" spans="1:15" x14ac:dyDescent="0.25">
      <c r="A301" t="s">
        <v>1389</v>
      </c>
      <c r="C301" s="111"/>
      <c r="D301" s="111"/>
      <c r="E301" s="111"/>
      <c r="F301" s="111"/>
      <c r="G301" s="108">
        <f>G224+G227+G241+G243+G273</f>
        <v>865808.90000000596</v>
      </c>
      <c r="H301" s="108">
        <f>H224+H227+H241+H243+H273</f>
        <v>13248268.599999994</v>
      </c>
      <c r="I301" s="108">
        <f>I224+I227+I241+I243+I273</f>
        <v>17662388.74000001</v>
      </c>
      <c r="J301" s="108">
        <f t="shared" ref="J301" si="70">J224+J227+J241+J243+J273</f>
        <v>20723610.75999999</v>
      </c>
      <c r="L301" s="111"/>
      <c r="M301" s="111"/>
      <c r="N301" s="111"/>
      <c r="O301" s="111"/>
    </row>
    <row r="302" spans="1:15" x14ac:dyDescent="0.25">
      <c r="A302" t="s">
        <v>1390</v>
      </c>
      <c r="C302" s="111"/>
      <c r="D302" s="111"/>
      <c r="E302" s="111"/>
      <c r="F302" s="111"/>
      <c r="G302" s="108">
        <f>G270+G291</f>
        <v>0</v>
      </c>
      <c r="H302" s="108">
        <f t="shared" ref="H302:J302" si="71">H270+H291</f>
        <v>0</v>
      </c>
      <c r="I302" s="108">
        <f t="shared" si="71"/>
        <v>0</v>
      </c>
      <c r="J302" s="108">
        <f t="shared" si="71"/>
        <v>0</v>
      </c>
      <c r="L302" s="111"/>
      <c r="M302" s="111"/>
      <c r="N302" s="111"/>
      <c r="O302" s="111"/>
    </row>
    <row r="303" spans="1:15" x14ac:dyDescent="0.25">
      <c r="A303" s="110" t="s">
        <v>28</v>
      </c>
      <c r="C303" s="111"/>
      <c r="D303" s="111"/>
      <c r="E303" s="111"/>
      <c r="F303" s="111"/>
      <c r="G303" s="111">
        <f>SUM(G299:G302)</f>
        <v>74424288.070000008</v>
      </c>
      <c r="H303" s="111">
        <f t="shared" ref="H303:J303" si="72">SUM(H299:H302)</f>
        <v>116462695.91999997</v>
      </c>
      <c r="I303" s="111">
        <f t="shared" si="72"/>
        <v>48582934.289999962</v>
      </c>
      <c r="J303" s="111">
        <f t="shared" si="72"/>
        <v>142037325.32000005</v>
      </c>
      <c r="L303" s="111"/>
      <c r="M303" s="111"/>
      <c r="N303" s="111"/>
      <c r="O303" s="111"/>
    </row>
    <row r="304" spans="1:15" x14ac:dyDescent="0.25">
      <c r="A304" s="110"/>
      <c r="C304" s="111"/>
      <c r="D304" s="111"/>
      <c r="E304" s="111"/>
      <c r="F304" s="111"/>
      <c r="G304" s="111"/>
      <c r="H304" s="111"/>
      <c r="I304" s="111"/>
      <c r="J304" s="111"/>
      <c r="L304" s="111"/>
      <c r="M304" s="111"/>
      <c r="N304" s="111"/>
      <c r="O304" s="111"/>
    </row>
    <row r="305" spans="1:11" s="710" customFormat="1" x14ac:dyDescent="0.25">
      <c r="C305" s="711"/>
      <c r="D305" s="711"/>
      <c r="E305" s="711"/>
      <c r="F305" s="711"/>
      <c r="G305" s="711"/>
      <c r="H305" s="711"/>
      <c r="I305" s="711"/>
      <c r="J305" s="711"/>
      <c r="K305" s="711"/>
    </row>
    <row r="306" spans="1:11" x14ac:dyDescent="0.25">
      <c r="C306" s="108"/>
      <c r="D306" s="108"/>
      <c r="E306" s="108"/>
      <c r="F306" s="108"/>
      <c r="G306" s="108"/>
      <c r="H306" s="108"/>
      <c r="I306" s="108"/>
      <c r="J306" s="108"/>
      <c r="K306" s="108"/>
    </row>
    <row r="307" spans="1:11" hidden="1" x14ac:dyDescent="0.25">
      <c r="A307" s="110" t="s">
        <v>506</v>
      </c>
    </row>
    <row r="308" spans="1:11" hidden="1" x14ac:dyDescent="0.25">
      <c r="A308" s="110" t="s">
        <v>757</v>
      </c>
      <c r="B308" s="110" t="s">
        <v>758</v>
      </c>
    </row>
    <row r="309" spans="1:11" hidden="1" x14ac:dyDescent="0.25">
      <c r="A309" t="s">
        <v>759</v>
      </c>
      <c r="B309" t="s">
        <v>760</v>
      </c>
      <c r="C309" t="s">
        <v>761</v>
      </c>
      <c r="D309" t="s">
        <v>762</v>
      </c>
      <c r="E309" t="s">
        <v>763</v>
      </c>
      <c r="G309" t="s">
        <v>764</v>
      </c>
    </row>
    <row r="310" spans="1:11" hidden="1" x14ac:dyDescent="0.25">
      <c r="A310" t="s">
        <v>676</v>
      </c>
      <c r="B310" t="s">
        <v>677</v>
      </c>
      <c r="C310">
        <v>2018</v>
      </c>
      <c r="D310" s="108">
        <v>2176375.36</v>
      </c>
      <c r="E310" s="645" t="s">
        <v>572</v>
      </c>
      <c r="F310" t="s">
        <v>765</v>
      </c>
    </row>
    <row r="311" spans="1:11" hidden="1" x14ac:dyDescent="0.25">
      <c r="A311" t="s">
        <v>595</v>
      </c>
      <c r="B311" t="s">
        <v>266</v>
      </c>
      <c r="C311">
        <v>2018</v>
      </c>
      <c r="D311" s="108">
        <v>229486.68</v>
      </c>
      <c r="E311" s="645" t="s">
        <v>572</v>
      </c>
      <c r="F311" t="s">
        <v>765</v>
      </c>
      <c r="G311" t="s">
        <v>766</v>
      </c>
    </row>
    <row r="312" spans="1:11" hidden="1" x14ac:dyDescent="0.25">
      <c r="A312" t="s">
        <v>670</v>
      </c>
      <c r="B312" t="s">
        <v>275</v>
      </c>
      <c r="C312">
        <v>2018</v>
      </c>
      <c r="D312" s="108">
        <v>578016.13</v>
      </c>
      <c r="E312" s="645" t="s">
        <v>575</v>
      </c>
      <c r="F312" t="s">
        <v>765</v>
      </c>
    </row>
    <row r="313" spans="1:11" hidden="1" x14ac:dyDescent="0.25">
      <c r="A313" t="s">
        <v>567</v>
      </c>
      <c r="B313" t="s">
        <v>568</v>
      </c>
      <c r="C313">
        <v>2019</v>
      </c>
      <c r="D313" s="108">
        <v>82283</v>
      </c>
      <c r="E313" s="645" t="s">
        <v>572</v>
      </c>
    </row>
    <row r="314" spans="1:11" hidden="1" x14ac:dyDescent="0.25">
      <c r="A314" t="s">
        <v>570</v>
      </c>
      <c r="B314" t="s">
        <v>571</v>
      </c>
      <c r="C314">
        <v>2019</v>
      </c>
      <c r="D314" s="108">
        <v>138818.22</v>
      </c>
      <c r="E314" s="645" t="s">
        <v>572</v>
      </c>
    </row>
    <row r="315" spans="1:11" hidden="1" x14ac:dyDescent="0.25">
      <c r="A315" t="s">
        <v>582</v>
      </c>
      <c r="B315" t="s">
        <v>571</v>
      </c>
      <c r="C315">
        <v>2019</v>
      </c>
      <c r="D315" s="108">
        <v>29461766.59</v>
      </c>
      <c r="E315" s="645" t="s">
        <v>572</v>
      </c>
      <c r="F315" t="s">
        <v>765</v>
      </c>
    </row>
    <row r="316" spans="1:11" hidden="1" x14ac:dyDescent="0.25">
      <c r="A316" t="s">
        <v>596</v>
      </c>
      <c r="B316" t="s">
        <v>767</v>
      </c>
      <c r="C316">
        <v>2019</v>
      </c>
      <c r="D316" s="108">
        <v>14147444.039999999</v>
      </c>
      <c r="E316" s="645" t="s">
        <v>572</v>
      </c>
      <c r="F316" t="s">
        <v>765</v>
      </c>
    </row>
    <row r="317" spans="1:11" hidden="1" x14ac:dyDescent="0.25">
      <c r="A317" t="s">
        <v>613</v>
      </c>
      <c r="B317" t="s">
        <v>768</v>
      </c>
      <c r="C317">
        <v>2019</v>
      </c>
      <c r="D317" s="108">
        <v>7922683.1600000001</v>
      </c>
      <c r="E317" s="645" t="s">
        <v>572</v>
      </c>
      <c r="F317" t="s">
        <v>765</v>
      </c>
    </row>
    <row r="318" spans="1:11" hidden="1" x14ac:dyDescent="0.25">
      <c r="A318" t="s">
        <v>663</v>
      </c>
      <c r="B318" t="s">
        <v>272</v>
      </c>
      <c r="C318">
        <v>2019</v>
      </c>
      <c r="D318" s="108">
        <v>41168546.75</v>
      </c>
      <c r="E318" s="645" t="s">
        <v>578</v>
      </c>
      <c r="F318" t="s">
        <v>765</v>
      </c>
    </row>
    <row r="319" spans="1:11" hidden="1" x14ac:dyDescent="0.25">
      <c r="A319" t="s">
        <v>615</v>
      </c>
      <c r="B319" t="s">
        <v>616</v>
      </c>
      <c r="C319">
        <v>2020</v>
      </c>
      <c r="D319" s="108">
        <v>10836128.48</v>
      </c>
      <c r="E319" s="645" t="s">
        <v>572</v>
      </c>
      <c r="F319" t="s">
        <v>765</v>
      </c>
    </row>
    <row r="320" spans="1:11" hidden="1" x14ac:dyDescent="0.25">
      <c r="A320" t="s">
        <v>631</v>
      </c>
      <c r="B320" t="s">
        <v>273</v>
      </c>
      <c r="C320">
        <v>2020</v>
      </c>
      <c r="D320" s="108">
        <v>7869022</v>
      </c>
      <c r="E320" s="645" t="s">
        <v>572</v>
      </c>
    </row>
    <row r="321" spans="1:6" hidden="1" x14ac:dyDescent="0.25">
      <c r="A321" t="s">
        <v>591</v>
      </c>
      <c r="B321" t="s">
        <v>592</v>
      </c>
      <c r="C321">
        <v>2020</v>
      </c>
      <c r="D321" s="108">
        <v>187306.71</v>
      </c>
      <c r="E321" s="645" t="s">
        <v>769</v>
      </c>
      <c r="F321" t="s">
        <v>765</v>
      </c>
    </row>
    <row r="322" spans="1:6" hidden="1" x14ac:dyDescent="0.25">
      <c r="A322" t="s">
        <v>598</v>
      </c>
      <c r="B322" t="s">
        <v>770</v>
      </c>
      <c r="C322">
        <v>2020</v>
      </c>
      <c r="D322" s="108">
        <v>714240.39</v>
      </c>
      <c r="E322" s="645" t="s">
        <v>572</v>
      </c>
      <c r="F322" t="s">
        <v>765</v>
      </c>
    </row>
    <row r="323" spans="1:6" hidden="1" x14ac:dyDescent="0.25">
      <c r="A323" t="s">
        <v>607</v>
      </c>
      <c r="B323" t="s">
        <v>771</v>
      </c>
      <c r="C323">
        <v>2020</v>
      </c>
      <c r="D323" s="108">
        <v>159274.85</v>
      </c>
      <c r="E323" s="645" t="s">
        <v>572</v>
      </c>
      <c r="F323" t="s">
        <v>765</v>
      </c>
    </row>
    <row r="324" spans="1:6" hidden="1" x14ac:dyDescent="0.25">
      <c r="A324" t="s">
        <v>643</v>
      </c>
      <c r="B324" t="s">
        <v>269</v>
      </c>
      <c r="C324">
        <v>2020</v>
      </c>
      <c r="D324" s="108">
        <v>515636.98</v>
      </c>
      <c r="E324" s="645" t="s">
        <v>572</v>
      </c>
      <c r="F324" t="s">
        <v>765</v>
      </c>
    </row>
    <row r="325" spans="1:6" hidden="1" x14ac:dyDescent="0.25">
      <c r="A325" t="s">
        <v>659</v>
      </c>
      <c r="B325" t="s">
        <v>339</v>
      </c>
      <c r="C325">
        <v>2020</v>
      </c>
      <c r="D325" s="108">
        <v>754639.09</v>
      </c>
      <c r="E325" s="645" t="s">
        <v>575</v>
      </c>
      <c r="F325" t="s">
        <v>765</v>
      </c>
    </row>
    <row r="326" spans="1:6" hidden="1" x14ac:dyDescent="0.25">
      <c r="A326" t="s">
        <v>667</v>
      </c>
      <c r="B326" t="s">
        <v>340</v>
      </c>
      <c r="C326">
        <v>2020</v>
      </c>
      <c r="D326" s="108">
        <v>3646237.32</v>
      </c>
      <c r="E326" s="645" t="s">
        <v>575</v>
      </c>
      <c r="F326" t="s">
        <v>765</v>
      </c>
    </row>
    <row r="327" spans="1:6" hidden="1" x14ac:dyDescent="0.25">
      <c r="A327" t="s">
        <v>772</v>
      </c>
      <c r="B327" t="s">
        <v>773</v>
      </c>
      <c r="C327">
        <v>2020</v>
      </c>
      <c r="D327" s="108">
        <v>4586731.87</v>
      </c>
      <c r="E327" s="645" t="s">
        <v>575</v>
      </c>
      <c r="F327" t="s">
        <v>765</v>
      </c>
    </row>
    <row r="328" spans="1:6" hidden="1" x14ac:dyDescent="0.25">
      <c r="A328" t="s">
        <v>774</v>
      </c>
      <c r="B328" t="s">
        <v>775</v>
      </c>
      <c r="C328">
        <v>2020</v>
      </c>
      <c r="D328" s="108">
        <v>3921823.32</v>
      </c>
      <c r="E328" s="645" t="s">
        <v>572</v>
      </c>
    </row>
    <row r="329" spans="1:6" hidden="1" x14ac:dyDescent="0.25">
      <c r="A329" t="s">
        <v>672</v>
      </c>
      <c r="B329" t="s">
        <v>776</v>
      </c>
      <c r="C329">
        <v>2020</v>
      </c>
      <c r="D329" s="108">
        <v>4096387.34</v>
      </c>
      <c r="E329" s="645" t="s">
        <v>572</v>
      </c>
      <c r="F329" t="s">
        <v>765</v>
      </c>
    </row>
    <row r="330" spans="1:6" hidden="1" x14ac:dyDescent="0.25">
      <c r="A330" t="s">
        <v>777</v>
      </c>
      <c r="B330" t="s">
        <v>276</v>
      </c>
      <c r="C330">
        <v>2020</v>
      </c>
      <c r="D330" s="108">
        <v>4567571.09</v>
      </c>
      <c r="E330" s="645" t="s">
        <v>572</v>
      </c>
      <c r="F330" t="s">
        <v>765</v>
      </c>
    </row>
    <row r="331" spans="1:6" hidden="1" x14ac:dyDescent="0.25">
      <c r="A331" t="s">
        <v>778</v>
      </c>
      <c r="B331" t="s">
        <v>342</v>
      </c>
      <c r="C331">
        <v>2020</v>
      </c>
      <c r="D331" s="108">
        <v>784131.47</v>
      </c>
      <c r="E331" s="645" t="s">
        <v>572</v>
      </c>
      <c r="F331" t="s">
        <v>765</v>
      </c>
    </row>
    <row r="332" spans="1:6" hidden="1" x14ac:dyDescent="0.25">
      <c r="D332" s="108">
        <v>138544550.84</v>
      </c>
      <c r="E332" s="645"/>
    </row>
    <row r="333" spans="1:6" hidden="1" x14ac:dyDescent="0.25"/>
    <row r="334" spans="1:6" hidden="1" x14ac:dyDescent="0.25">
      <c r="A334" s="110" t="s">
        <v>779</v>
      </c>
    </row>
    <row r="335" spans="1:6" hidden="1" x14ac:dyDescent="0.25"/>
    <row r="336" spans="1:6" hidden="1" x14ac:dyDescent="0.25">
      <c r="A336" t="s">
        <v>563</v>
      </c>
      <c r="B336" t="s">
        <v>564</v>
      </c>
      <c r="C336" t="s">
        <v>780</v>
      </c>
      <c r="D336" s="108" t="s">
        <v>781</v>
      </c>
    </row>
    <row r="337" spans="1:5" hidden="1" x14ac:dyDescent="0.25">
      <c r="A337" t="s">
        <v>685</v>
      </c>
      <c r="B337" t="s">
        <v>686</v>
      </c>
      <c r="C337">
        <v>2017</v>
      </c>
      <c r="D337" s="108">
        <v>12519883.529999999</v>
      </c>
      <c r="E337" s="645"/>
    </row>
    <row r="338" spans="1:5" hidden="1" x14ac:dyDescent="0.25">
      <c r="A338" t="s">
        <v>625</v>
      </c>
      <c r="B338" t="s">
        <v>626</v>
      </c>
      <c r="C338">
        <v>2017</v>
      </c>
      <c r="D338" s="108">
        <v>82282045.430000007</v>
      </c>
      <c r="E338" s="645"/>
    </row>
    <row r="339" spans="1:5" hidden="1" x14ac:dyDescent="0.25">
      <c r="A339" t="s">
        <v>689</v>
      </c>
      <c r="B339" t="s">
        <v>690</v>
      </c>
      <c r="C339">
        <v>2017</v>
      </c>
      <c r="D339" s="108">
        <v>11331258.189999999</v>
      </c>
      <c r="E339" s="645"/>
    </row>
    <row r="340" spans="1:5" hidden="1" x14ac:dyDescent="0.25">
      <c r="A340" t="s">
        <v>593</v>
      </c>
      <c r="B340" t="s">
        <v>594</v>
      </c>
      <c r="C340">
        <v>2017</v>
      </c>
      <c r="D340" s="108">
        <v>40431847.539999999</v>
      </c>
      <c r="E340" s="645"/>
    </row>
    <row r="341" spans="1:5" hidden="1" x14ac:dyDescent="0.25">
      <c r="A341" t="s">
        <v>724</v>
      </c>
      <c r="B341" t="s">
        <v>782</v>
      </c>
      <c r="C341">
        <v>2017</v>
      </c>
      <c r="D341" s="108">
        <v>287366.82</v>
      </c>
      <c r="E341" s="645"/>
    </row>
    <row r="342" spans="1:5" hidden="1" x14ac:dyDescent="0.25">
      <c r="A342" t="s">
        <v>600</v>
      </c>
      <c r="B342" t="s">
        <v>783</v>
      </c>
      <c r="C342">
        <v>2017</v>
      </c>
      <c r="D342" s="108">
        <v>12906180.119999999</v>
      </c>
      <c r="E342" s="645"/>
    </row>
    <row r="343" spans="1:5" hidden="1" x14ac:dyDescent="0.25">
      <c r="A343" t="s">
        <v>727</v>
      </c>
      <c r="B343" t="s">
        <v>784</v>
      </c>
      <c r="C343">
        <v>2017</v>
      </c>
      <c r="D343" s="108">
        <v>390144.58</v>
      </c>
      <c r="E343" s="645"/>
    </row>
    <row r="344" spans="1:5" hidden="1" x14ac:dyDescent="0.25">
      <c r="A344" t="s">
        <v>609</v>
      </c>
      <c r="B344" t="s">
        <v>785</v>
      </c>
      <c r="C344">
        <v>2017</v>
      </c>
      <c r="D344" s="108">
        <v>14716178.99</v>
      </c>
      <c r="E344" s="645"/>
    </row>
    <row r="345" spans="1:5" hidden="1" x14ac:dyDescent="0.25">
      <c r="A345" t="s">
        <v>730</v>
      </c>
      <c r="B345" t="s">
        <v>786</v>
      </c>
      <c r="C345">
        <v>2017</v>
      </c>
      <c r="D345" s="108">
        <v>348683.62</v>
      </c>
      <c r="E345" s="645"/>
    </row>
    <row r="346" spans="1:5" hidden="1" x14ac:dyDescent="0.25">
      <c r="A346" t="s">
        <v>617</v>
      </c>
      <c r="B346" t="s">
        <v>787</v>
      </c>
      <c r="C346">
        <v>2017</v>
      </c>
      <c r="D346" s="108">
        <v>15208248.15</v>
      </c>
      <c r="E346" s="645"/>
    </row>
    <row r="347" spans="1:5" hidden="1" x14ac:dyDescent="0.25">
      <c r="A347" t="s">
        <v>733</v>
      </c>
      <c r="B347" t="s">
        <v>788</v>
      </c>
      <c r="C347">
        <v>2017</v>
      </c>
      <c r="D347" s="108">
        <v>255328.53</v>
      </c>
      <c r="E347" s="645"/>
    </row>
    <row r="348" spans="1:5" hidden="1" x14ac:dyDescent="0.25">
      <c r="A348" t="s">
        <v>585</v>
      </c>
      <c r="B348" t="s">
        <v>586</v>
      </c>
      <c r="C348">
        <v>2017</v>
      </c>
      <c r="D348" s="108">
        <v>6310875.7699999996</v>
      </c>
      <c r="E348" s="645"/>
    </row>
    <row r="349" spans="1:5" hidden="1" x14ac:dyDescent="0.25">
      <c r="A349" t="s">
        <v>694</v>
      </c>
      <c r="B349" t="s">
        <v>723</v>
      </c>
      <c r="C349">
        <v>2018</v>
      </c>
      <c r="D349" s="108">
        <v>39893878.880000003</v>
      </c>
      <c r="E349" s="645"/>
    </row>
    <row r="350" spans="1:5" hidden="1" x14ac:dyDescent="0.25">
      <c r="A350" t="s">
        <v>576</v>
      </c>
      <c r="B350" t="s">
        <v>577</v>
      </c>
      <c r="C350">
        <v>2018</v>
      </c>
      <c r="D350" s="108">
        <v>104466323.8</v>
      </c>
      <c r="E350" s="645"/>
    </row>
    <row r="351" spans="1:5" hidden="1" x14ac:dyDescent="0.25">
      <c r="A351" t="s">
        <v>789</v>
      </c>
      <c r="B351" t="s">
        <v>790</v>
      </c>
      <c r="C351">
        <v>2019</v>
      </c>
      <c r="D351" s="108">
        <v>5417</v>
      </c>
      <c r="E351" s="645"/>
    </row>
    <row r="352" spans="1:5" hidden="1" x14ac:dyDescent="0.25">
      <c r="C352" t="s">
        <v>28</v>
      </c>
      <c r="D352" s="108">
        <f>+SUM(D337:D351)</f>
        <v>341353660.95000005</v>
      </c>
      <c r="E352" s="645"/>
    </row>
    <row r="355" spans="1:19" hidden="1" x14ac:dyDescent="0.25">
      <c r="A355" s="110" t="s">
        <v>791</v>
      </c>
    </row>
    <row r="356" spans="1:19" hidden="1" x14ac:dyDescent="0.25"/>
    <row r="357" spans="1:19" hidden="1" x14ac:dyDescent="0.25">
      <c r="A357" t="s">
        <v>792</v>
      </c>
      <c r="B357" t="s">
        <v>793</v>
      </c>
      <c r="C357" t="s">
        <v>794</v>
      </c>
    </row>
    <row r="358" spans="1:19" hidden="1" x14ac:dyDescent="0.25">
      <c r="A358" t="s">
        <v>795</v>
      </c>
      <c r="B358" t="s">
        <v>796</v>
      </c>
      <c r="C358" s="108">
        <v>4120637.8000000003</v>
      </c>
    </row>
    <row r="359" spans="1:19" hidden="1" x14ac:dyDescent="0.25">
      <c r="A359" t="s">
        <v>797</v>
      </c>
      <c r="B359" t="s">
        <v>798</v>
      </c>
      <c r="C359" s="108">
        <v>5705284.1399999987</v>
      </c>
    </row>
    <row r="360" spans="1:19" hidden="1" x14ac:dyDescent="0.25">
      <c r="A360" t="s">
        <v>799</v>
      </c>
      <c r="B360" t="s">
        <v>800</v>
      </c>
      <c r="C360" s="108">
        <v>6442629.8500000015</v>
      </c>
    </row>
    <row r="361" spans="1:19" hidden="1" x14ac:dyDescent="0.25">
      <c r="A361" t="s">
        <v>801</v>
      </c>
      <c r="B361" t="s">
        <v>802</v>
      </c>
      <c r="C361" s="108">
        <v>2189059.9299999997</v>
      </c>
    </row>
    <row r="362" spans="1:19" hidden="1" x14ac:dyDescent="0.25">
      <c r="A362" t="s">
        <v>803</v>
      </c>
      <c r="B362" t="s">
        <v>804</v>
      </c>
      <c r="C362" s="108">
        <v>4238676.8899999997</v>
      </c>
    </row>
    <row r="363" spans="1:19" hidden="1" x14ac:dyDescent="0.25">
      <c r="A363" t="s">
        <v>805</v>
      </c>
      <c r="B363" t="s">
        <v>806</v>
      </c>
      <c r="C363" s="108">
        <v>1997801.3699999996</v>
      </c>
    </row>
    <row r="364" spans="1:19" hidden="1" x14ac:dyDescent="0.25">
      <c r="B364" t="s">
        <v>28</v>
      </c>
      <c r="C364" s="108">
        <f>+SUM(C358:C363)</f>
        <v>24694089.98</v>
      </c>
    </row>
    <row r="365" spans="1:19" s="710" customFormat="1" x14ac:dyDescent="0.25"/>
    <row r="367" spans="1:19" hidden="1" x14ac:dyDescent="0.25">
      <c r="A367" s="110" t="s">
        <v>807</v>
      </c>
      <c r="G367">
        <v>2017</v>
      </c>
      <c r="K367">
        <v>2018</v>
      </c>
      <c r="O367">
        <v>2019</v>
      </c>
      <c r="S367">
        <v>2020</v>
      </c>
    </row>
    <row r="368" spans="1:19" hidden="1" x14ac:dyDescent="0.25">
      <c r="A368" s="110"/>
      <c r="G368" t="s">
        <v>808</v>
      </c>
      <c r="H368" t="s">
        <v>809</v>
      </c>
      <c r="O368" t="s">
        <v>808</v>
      </c>
      <c r="P368" t="s">
        <v>809</v>
      </c>
    </row>
    <row r="369" spans="1:16" hidden="1" x14ac:dyDescent="0.25">
      <c r="A369" s="110"/>
      <c r="G369" t="s">
        <v>810</v>
      </c>
      <c r="H369">
        <v>223490.96</v>
      </c>
      <c r="O369" t="s">
        <v>810</v>
      </c>
      <c r="P369">
        <v>411.52</v>
      </c>
    </row>
    <row r="370" spans="1:16" hidden="1" x14ac:dyDescent="0.25">
      <c r="A370" s="110"/>
      <c r="G370" t="s">
        <v>811</v>
      </c>
      <c r="H370">
        <v>125316727.59999998</v>
      </c>
      <c r="O370" t="s">
        <v>811</v>
      </c>
      <c r="P370">
        <v>54193289.58000005</v>
      </c>
    </row>
    <row r="371" spans="1:16" hidden="1" x14ac:dyDescent="0.25">
      <c r="A371" t="s">
        <v>223</v>
      </c>
      <c r="B371" t="s">
        <v>28</v>
      </c>
      <c r="G371" t="s">
        <v>303</v>
      </c>
      <c r="H371">
        <v>244960.45</v>
      </c>
      <c r="O371" t="s">
        <v>303</v>
      </c>
      <c r="P371">
        <v>3626271.9800000014</v>
      </c>
    </row>
    <row r="372" spans="1:16" hidden="1" x14ac:dyDescent="0.25">
      <c r="A372">
        <v>2017</v>
      </c>
      <c r="B372" s="108">
        <f>+H384</f>
        <v>350135287.66999912</v>
      </c>
      <c r="G372" t="s">
        <v>812</v>
      </c>
      <c r="H372">
        <v>3269733.29</v>
      </c>
      <c r="O372" t="s">
        <v>812</v>
      </c>
      <c r="P372">
        <v>5290978.7299999921</v>
      </c>
    </row>
    <row r="373" spans="1:16" hidden="1" x14ac:dyDescent="0.25">
      <c r="A373">
        <v>2018</v>
      </c>
      <c r="B373" s="108">
        <v>14935319</v>
      </c>
      <c r="G373" t="s">
        <v>324</v>
      </c>
      <c r="H373">
        <v>7126227.339999998</v>
      </c>
      <c r="O373" t="s">
        <v>813</v>
      </c>
      <c r="P373">
        <v>2844250.7999999984</v>
      </c>
    </row>
    <row r="374" spans="1:16" hidden="1" x14ac:dyDescent="0.25">
      <c r="A374">
        <v>2019</v>
      </c>
      <c r="B374" s="108">
        <v>156857798</v>
      </c>
      <c r="G374" t="s">
        <v>814</v>
      </c>
      <c r="H374">
        <v>7172934.2199999988</v>
      </c>
      <c r="O374" t="s">
        <v>324</v>
      </c>
      <c r="P374">
        <v>4922540.2700000023</v>
      </c>
    </row>
    <row r="375" spans="1:16" hidden="1" x14ac:dyDescent="0.25">
      <c r="A375">
        <v>2020</v>
      </c>
      <c r="B375" s="108">
        <v>54973641</v>
      </c>
      <c r="G375" t="s">
        <v>308</v>
      </c>
      <c r="H375">
        <v>22218855.949999992</v>
      </c>
      <c r="O375" t="s">
        <v>814</v>
      </c>
      <c r="P375">
        <v>1180169.5299999996</v>
      </c>
    </row>
    <row r="376" spans="1:16" hidden="1" x14ac:dyDescent="0.25">
      <c r="A376" s="710" t="s">
        <v>28</v>
      </c>
      <c r="B376" s="711">
        <f>+SUM(B372:B375)</f>
        <v>576902045.66999912</v>
      </c>
      <c r="G376" t="s">
        <v>322</v>
      </c>
      <c r="H376">
        <v>857056.18000000017</v>
      </c>
      <c r="O376" t="s">
        <v>308</v>
      </c>
      <c r="P376">
        <v>6062262.9100000001</v>
      </c>
    </row>
    <row r="377" spans="1:16" hidden="1" x14ac:dyDescent="0.25">
      <c r="A377" s="110"/>
      <c r="G377" t="s">
        <v>319</v>
      </c>
      <c r="H377">
        <v>1524146</v>
      </c>
      <c r="O377" t="s">
        <v>322</v>
      </c>
      <c r="P377">
        <v>1713327.2800000017</v>
      </c>
    </row>
    <row r="378" spans="1:16" hidden="1" x14ac:dyDescent="0.25">
      <c r="A378" s="110"/>
      <c r="G378" t="s">
        <v>815</v>
      </c>
      <c r="H378">
        <v>191620.11000000002</v>
      </c>
      <c r="O378" t="s">
        <v>319</v>
      </c>
      <c r="P378">
        <v>374654.86000000004</v>
      </c>
    </row>
    <row r="379" spans="1:16" hidden="1" x14ac:dyDescent="0.25">
      <c r="G379" t="s">
        <v>321</v>
      </c>
      <c r="H379">
        <v>190725.24000000008</v>
      </c>
      <c r="O379" t="s">
        <v>815</v>
      </c>
      <c r="P379">
        <v>121389.78</v>
      </c>
    </row>
    <row r="380" spans="1:16" hidden="1" x14ac:dyDescent="0.25">
      <c r="G380" t="s">
        <v>316</v>
      </c>
      <c r="H380">
        <v>10095.120000000001</v>
      </c>
      <c r="O380" t="s">
        <v>321</v>
      </c>
      <c r="P380">
        <v>95875.750000000757</v>
      </c>
    </row>
    <row r="381" spans="1:16" hidden="1" x14ac:dyDescent="0.25">
      <c r="G381" t="s">
        <v>305</v>
      </c>
      <c r="H381">
        <v>66786018.530000001</v>
      </c>
      <c r="I381" t="s">
        <v>816</v>
      </c>
      <c r="O381" t="s">
        <v>817</v>
      </c>
      <c r="P381">
        <v>287858.39999999997</v>
      </c>
    </row>
    <row r="382" spans="1:16" hidden="1" x14ac:dyDescent="0.25">
      <c r="G382" t="s">
        <v>818</v>
      </c>
      <c r="H382">
        <v>110116289.38999908</v>
      </c>
      <c r="I382" t="s">
        <v>816</v>
      </c>
      <c r="O382" t="s">
        <v>819</v>
      </c>
      <c r="P382">
        <v>1654673.7299999995</v>
      </c>
    </row>
    <row r="383" spans="1:16" hidden="1" x14ac:dyDescent="0.25">
      <c r="G383" t="s">
        <v>820</v>
      </c>
      <c r="H383">
        <v>4886407.290000001</v>
      </c>
      <c r="O383" t="s">
        <v>316</v>
      </c>
      <c r="P383">
        <v>18972.79</v>
      </c>
    </row>
    <row r="384" spans="1:16" hidden="1" x14ac:dyDescent="0.25">
      <c r="G384" t="s">
        <v>821</v>
      </c>
      <c r="H384">
        <v>350135287.66999912</v>
      </c>
      <c r="O384" t="s">
        <v>305</v>
      </c>
      <c r="P384">
        <v>28366916.539999999</v>
      </c>
    </row>
    <row r="385" spans="1:16" hidden="1" x14ac:dyDescent="0.25">
      <c r="O385" t="s">
        <v>822</v>
      </c>
      <c r="P385">
        <v>297701.57999999996</v>
      </c>
    </row>
    <row r="386" spans="1:16" hidden="1" x14ac:dyDescent="0.25">
      <c r="O386" t="s">
        <v>302</v>
      </c>
      <c r="P386">
        <v>6244370.0299999993</v>
      </c>
    </row>
    <row r="387" spans="1:16" hidden="1" x14ac:dyDescent="0.25">
      <c r="O387" t="s">
        <v>818</v>
      </c>
      <c r="P387">
        <v>30280129.539999653</v>
      </c>
    </row>
    <row r="388" spans="1:16" hidden="1" x14ac:dyDescent="0.25">
      <c r="O388" t="s">
        <v>820</v>
      </c>
      <c r="P388">
        <v>9281752.5600000024</v>
      </c>
    </row>
    <row r="389" spans="1:16" hidden="1" x14ac:dyDescent="0.25">
      <c r="O389" t="s">
        <v>821</v>
      </c>
      <c r="P389">
        <v>156857798.1599997</v>
      </c>
    </row>
    <row r="390" spans="1:16" hidden="1" x14ac:dyDescent="0.25"/>
    <row r="391" spans="1:16" s="710" customFormat="1" hidden="1" x14ac:dyDescent="0.25"/>
    <row r="392" spans="1:16" hidden="1" x14ac:dyDescent="0.25"/>
    <row r="393" spans="1:16" hidden="1" x14ac:dyDescent="0.25">
      <c r="A393" s="110" t="s">
        <v>823</v>
      </c>
    </row>
    <row r="394" spans="1:16" hidden="1" x14ac:dyDescent="0.25">
      <c r="B394">
        <v>2017</v>
      </c>
      <c r="C394">
        <v>2018</v>
      </c>
      <c r="D394">
        <v>2019</v>
      </c>
      <c r="E394">
        <v>2020</v>
      </c>
    </row>
    <row r="395" spans="1:16" hidden="1" x14ac:dyDescent="0.25">
      <c r="A395" t="s">
        <v>824</v>
      </c>
      <c r="B395" s="108"/>
      <c r="C395" s="108">
        <v>64156254</v>
      </c>
      <c r="D395" s="108">
        <v>69022109</v>
      </c>
      <c r="E395" s="108">
        <v>36078535</v>
      </c>
    </row>
    <row r="396" spans="1:16" hidden="1" x14ac:dyDescent="0.25">
      <c r="A396" t="s">
        <v>825</v>
      </c>
      <c r="B396" s="108"/>
      <c r="C396" s="108">
        <v>19451872</v>
      </c>
      <c r="D396" s="108">
        <v>16341251</v>
      </c>
      <c r="E396" s="108">
        <v>-12504196</v>
      </c>
    </row>
    <row r="397" spans="1:16" hidden="1" x14ac:dyDescent="0.25">
      <c r="A397" t="s">
        <v>826</v>
      </c>
      <c r="B397" s="108">
        <v>23836160</v>
      </c>
      <c r="C397" s="108">
        <v>24627741</v>
      </c>
      <c r="D397" s="108">
        <v>6755847</v>
      </c>
      <c r="E397" s="108">
        <v>-224829</v>
      </c>
    </row>
    <row r="398" spans="1:16" hidden="1" x14ac:dyDescent="0.25"/>
    <row r="399" spans="1:16" hidden="1" x14ac:dyDescent="0.25">
      <c r="A399" t="s">
        <v>827</v>
      </c>
      <c r="B399" s="108">
        <v>252485631</v>
      </c>
      <c r="C399" s="108">
        <v>8099939</v>
      </c>
      <c r="D399" s="108">
        <v>5340078</v>
      </c>
      <c r="E399" s="108">
        <v>2974071</v>
      </c>
    </row>
    <row r="400" spans="1:16" hidden="1" x14ac:dyDescent="0.25">
      <c r="A400" t="s">
        <v>828</v>
      </c>
      <c r="B400" s="108">
        <v>478570</v>
      </c>
      <c r="C400" s="108">
        <v>27503122</v>
      </c>
      <c r="D400" s="108">
        <v>2381757</v>
      </c>
      <c r="E400" s="108">
        <v>7517503</v>
      </c>
    </row>
    <row r="401" spans="1:24" hidden="1" x14ac:dyDescent="0.25">
      <c r="A401" t="s">
        <v>829</v>
      </c>
      <c r="B401" s="108">
        <v>30862766</v>
      </c>
      <c r="C401" s="108">
        <v>79581476</v>
      </c>
      <c r="D401" s="108">
        <v>40208299</v>
      </c>
      <c r="E401" s="108">
        <v>48849269</v>
      </c>
    </row>
    <row r="402" spans="1:24" hidden="1" x14ac:dyDescent="0.25">
      <c r="A402" t="s">
        <v>830</v>
      </c>
      <c r="B402" s="678">
        <v>42949858</v>
      </c>
      <c r="C402" s="108"/>
      <c r="D402" s="108"/>
      <c r="E402" s="108"/>
    </row>
    <row r="403" spans="1:24" hidden="1" x14ac:dyDescent="0.25">
      <c r="A403" t="s">
        <v>831</v>
      </c>
      <c r="B403" s="108">
        <f>+B399-B400+B401</f>
        <v>282869827</v>
      </c>
      <c r="C403" s="108">
        <f>+C399-C400+C401</f>
        <v>60178293</v>
      </c>
      <c r="D403" s="108">
        <f t="shared" ref="D403:E403" si="73">+D399-D400+D401</f>
        <v>43166620</v>
      </c>
      <c r="E403" s="108">
        <f t="shared" si="73"/>
        <v>44305837</v>
      </c>
    </row>
    <row r="404" spans="1:24" hidden="1" x14ac:dyDescent="0.25">
      <c r="B404" s="108"/>
      <c r="C404" s="108"/>
      <c r="D404" s="108"/>
      <c r="E404" s="108"/>
    </row>
    <row r="405" spans="1:24" hidden="1" x14ac:dyDescent="0.25">
      <c r="B405" s="108"/>
      <c r="C405" s="108"/>
      <c r="D405" s="108"/>
      <c r="E405" s="108"/>
    </row>
    <row r="406" spans="1:24" hidden="1" x14ac:dyDescent="0.25"/>
    <row r="407" spans="1:24" hidden="1" x14ac:dyDescent="0.25">
      <c r="A407" s="110" t="s">
        <v>832</v>
      </c>
      <c r="B407">
        <v>2017</v>
      </c>
      <c r="E407">
        <v>2020</v>
      </c>
    </row>
    <row r="408" spans="1:24" hidden="1" x14ac:dyDescent="0.25">
      <c r="B408" s="108">
        <v>274776</v>
      </c>
      <c r="C408" s="108"/>
      <c r="D408" s="108"/>
      <c r="E408" s="108">
        <v>0</v>
      </c>
      <c r="F408" s="108"/>
    </row>
    <row r="409" spans="1:24" hidden="1" x14ac:dyDescent="0.25">
      <c r="B409" s="108">
        <v>109500430</v>
      </c>
      <c r="C409" s="108"/>
      <c r="D409" s="108"/>
      <c r="E409" s="108">
        <v>131788178</v>
      </c>
      <c r="F409" s="108"/>
    </row>
    <row r="410" spans="1:24" hidden="1" x14ac:dyDescent="0.25">
      <c r="B410" s="592">
        <f>+B408/B409</f>
        <v>2.5093600089059012E-3</v>
      </c>
    </row>
    <row r="411" spans="1:24" hidden="1" x14ac:dyDescent="0.25"/>
    <row r="412" spans="1:24" ht="18.75" x14ac:dyDescent="0.3">
      <c r="A412" s="956" t="s">
        <v>1391</v>
      </c>
      <c r="B412" s="957"/>
      <c r="C412" s="957"/>
      <c r="D412" s="957"/>
      <c r="E412" s="957"/>
      <c r="F412" s="957"/>
      <c r="G412" s="957"/>
      <c r="H412" s="957"/>
      <c r="I412" s="957"/>
      <c r="J412" s="957"/>
      <c r="K412" s="957"/>
      <c r="L412" s="957"/>
      <c r="M412" s="957"/>
      <c r="N412" s="957"/>
      <c r="O412" s="957"/>
      <c r="P412" s="957"/>
      <c r="Q412" s="957"/>
      <c r="R412" s="957"/>
      <c r="S412" s="957"/>
      <c r="T412" s="957"/>
      <c r="U412" s="957"/>
      <c r="V412" s="957"/>
    </row>
    <row r="413" spans="1:24" x14ac:dyDescent="0.25">
      <c r="A413" s="110" t="s">
        <v>1385</v>
      </c>
      <c r="P413" t="s">
        <v>1386</v>
      </c>
    </row>
    <row r="414" spans="1:24" x14ac:dyDescent="0.25">
      <c r="C414" s="108">
        <v>2020</v>
      </c>
      <c r="D414" s="108">
        <f>C414+1</f>
        <v>2021</v>
      </c>
      <c r="E414" s="108">
        <f>D414</f>
        <v>2021</v>
      </c>
      <c r="F414" s="108">
        <f>E414</f>
        <v>2021</v>
      </c>
      <c r="G414" s="108">
        <f>F414</f>
        <v>2021</v>
      </c>
      <c r="H414" s="108">
        <f>G414+1</f>
        <v>2022</v>
      </c>
      <c r="I414" s="108">
        <f>H414</f>
        <v>2022</v>
      </c>
      <c r="J414" s="108">
        <f>I414</f>
        <v>2022</v>
      </c>
      <c r="K414" s="108">
        <v>2022</v>
      </c>
      <c r="L414" s="108">
        <f>H414+1</f>
        <v>2023</v>
      </c>
      <c r="M414" s="108">
        <f>L414</f>
        <v>2023</v>
      </c>
      <c r="N414" s="108">
        <f>M414</f>
        <v>2023</v>
      </c>
      <c r="O414" s="108">
        <f>N414</f>
        <v>2023</v>
      </c>
      <c r="P414">
        <v>2024</v>
      </c>
      <c r="Q414">
        <f>P414</f>
        <v>2024</v>
      </c>
      <c r="R414">
        <f t="shared" ref="R414:S414" si="74">Q414</f>
        <v>2024</v>
      </c>
      <c r="S414">
        <f t="shared" si="74"/>
        <v>2024</v>
      </c>
      <c r="U414">
        <v>2021</v>
      </c>
      <c r="V414">
        <v>2022</v>
      </c>
      <c r="W414">
        <v>2023</v>
      </c>
      <c r="X414">
        <v>2024</v>
      </c>
    </row>
    <row r="415" spans="1:24" x14ac:dyDescent="0.25">
      <c r="C415" s="108"/>
      <c r="D415" s="108" t="s">
        <v>1374</v>
      </c>
      <c r="E415" s="108" t="s">
        <v>148</v>
      </c>
      <c r="F415" t="s">
        <v>1375</v>
      </c>
      <c r="G415" s="108"/>
      <c r="H415" s="108" t="s">
        <v>1374</v>
      </c>
      <c r="I415" s="108" t="s">
        <v>148</v>
      </c>
      <c r="J415" t="s">
        <v>1375</v>
      </c>
      <c r="K415" s="108"/>
      <c r="L415" s="108" t="s">
        <v>1374</v>
      </c>
      <c r="M415" s="108" t="s">
        <v>148</v>
      </c>
      <c r="N415" t="s">
        <v>1375</v>
      </c>
      <c r="P415" s="108" t="s">
        <v>1374</v>
      </c>
      <c r="Q415" s="108" t="s">
        <v>148</v>
      </c>
      <c r="R415" t="s">
        <v>1375</v>
      </c>
    </row>
    <row r="416" spans="1:24" x14ac:dyDescent="0.25">
      <c r="A416" t="s">
        <v>1352</v>
      </c>
      <c r="B416" t="s">
        <v>1387</v>
      </c>
      <c r="C416" s="108">
        <v>128363202</v>
      </c>
      <c r="D416" s="108"/>
      <c r="E416" s="108"/>
      <c r="F416" s="108">
        <v>32643299</v>
      </c>
      <c r="G416" s="108">
        <f>C416+D416+E416+F416</f>
        <v>161006501</v>
      </c>
      <c r="H416" s="108">
        <v>1510182</v>
      </c>
      <c r="I416" s="108"/>
      <c r="J416" s="108">
        <v>24290578</v>
      </c>
      <c r="K416" s="108">
        <f t="shared" ref="K416:K439" si="75">G416+H416+I416+J416</f>
        <v>186807261</v>
      </c>
      <c r="L416" s="108"/>
      <c r="M416" s="108"/>
      <c r="N416" s="108">
        <v>15321931</v>
      </c>
      <c r="O416" s="108">
        <f t="shared" ref="O416:O439" si="76">K416+L416+M416+N416</f>
        <v>202129192</v>
      </c>
      <c r="Q416" s="108"/>
      <c r="R416" s="108">
        <v>15005376</v>
      </c>
      <c r="S416" s="108">
        <f t="shared" ref="S416:S439" si="77">O416+P416+Q416+R416</f>
        <v>217134568</v>
      </c>
      <c r="U416" s="108">
        <f t="shared" ref="U416:U439" si="78">G416-C416</f>
        <v>32643299</v>
      </c>
      <c r="V416" s="108">
        <f t="shared" ref="V416:V439" si="79">K416-G416</f>
        <v>25800760</v>
      </c>
      <c r="W416" s="108">
        <f t="shared" ref="W416:W439" si="80">O416-K416</f>
        <v>15321931</v>
      </c>
      <c r="X416" s="108">
        <f>S416-O416</f>
        <v>15005376</v>
      </c>
    </row>
    <row r="417" spans="1:24" x14ac:dyDescent="0.25">
      <c r="A417" t="s">
        <v>1353</v>
      </c>
      <c r="B417" t="s">
        <v>1387</v>
      </c>
      <c r="C417" s="108">
        <v>250981268</v>
      </c>
      <c r="D417" s="108"/>
      <c r="E417" s="108"/>
      <c r="F417" s="108">
        <v>981503</v>
      </c>
      <c r="G417" s="108">
        <f t="shared" ref="G417:G439" si="81">C417+D417+E417+F417</f>
        <v>251962771</v>
      </c>
      <c r="H417" s="108"/>
      <c r="I417" s="108"/>
      <c r="J417" s="108">
        <v>16408778</v>
      </c>
      <c r="K417" s="108">
        <f t="shared" si="75"/>
        <v>268371549</v>
      </c>
      <c r="L417" s="108"/>
      <c r="M417" s="108"/>
      <c r="N417" s="108">
        <v>2901847</v>
      </c>
      <c r="O417" s="108">
        <f t="shared" si="76"/>
        <v>271273396</v>
      </c>
      <c r="Q417" s="108"/>
      <c r="R417" s="108">
        <v>29534680.239999998</v>
      </c>
      <c r="S417" s="108">
        <f t="shared" si="77"/>
        <v>300808076.24000001</v>
      </c>
      <c r="U417" s="108">
        <f t="shared" si="78"/>
        <v>981503</v>
      </c>
      <c r="V417" s="108">
        <f t="shared" si="79"/>
        <v>16408778</v>
      </c>
      <c r="W417" s="108">
        <f t="shared" si="80"/>
        <v>2901847</v>
      </c>
      <c r="X417" s="108">
        <f t="shared" ref="X417:X439" si="82">S417-O417</f>
        <v>29534680.24000001</v>
      </c>
    </row>
    <row r="418" spans="1:24" x14ac:dyDescent="0.25">
      <c r="A418" t="s">
        <v>1354</v>
      </c>
      <c r="B418" t="s">
        <v>1387</v>
      </c>
      <c r="C418" s="108">
        <v>285725039</v>
      </c>
      <c r="D418" s="108"/>
      <c r="E418" s="108"/>
      <c r="F418" s="108">
        <v>3246552</v>
      </c>
      <c r="G418" s="108">
        <f t="shared" si="81"/>
        <v>288971591</v>
      </c>
      <c r="H418" s="108"/>
      <c r="I418" s="108"/>
      <c r="J418" s="108">
        <v>24925047</v>
      </c>
      <c r="K418" s="108">
        <f t="shared" si="75"/>
        <v>313896638</v>
      </c>
      <c r="L418" s="108"/>
      <c r="M418" s="108"/>
      <c r="N418" s="108">
        <v>1807887</v>
      </c>
      <c r="O418" s="108">
        <f t="shared" si="76"/>
        <v>315704525</v>
      </c>
      <c r="Q418" s="108"/>
      <c r="R418" s="108">
        <v>32665821.93</v>
      </c>
      <c r="S418" s="108">
        <f t="shared" si="77"/>
        <v>348370346.93000001</v>
      </c>
      <c r="U418" s="108">
        <f t="shared" si="78"/>
        <v>3246552</v>
      </c>
      <c r="V418" s="108">
        <f t="shared" si="79"/>
        <v>24925047</v>
      </c>
      <c r="W418" s="108">
        <f t="shared" si="80"/>
        <v>1807887</v>
      </c>
      <c r="X418" s="108">
        <f t="shared" si="82"/>
        <v>32665821.930000007</v>
      </c>
    </row>
    <row r="419" spans="1:24" x14ac:dyDescent="0.25">
      <c r="A419" t="s">
        <v>1355</v>
      </c>
      <c r="B419" t="s">
        <v>1388</v>
      </c>
      <c r="C419" s="108">
        <v>29091707</v>
      </c>
      <c r="D419" s="108">
        <v>29818</v>
      </c>
      <c r="E419" s="108"/>
      <c r="F419" s="108">
        <v>6339053</v>
      </c>
      <c r="G419" s="108">
        <f t="shared" si="81"/>
        <v>35460578</v>
      </c>
      <c r="H419" s="108"/>
      <c r="I419" s="108"/>
      <c r="J419" s="108">
        <v>13671404</v>
      </c>
      <c r="K419" s="108">
        <f t="shared" si="75"/>
        <v>49131982</v>
      </c>
      <c r="L419" s="108"/>
      <c r="M419" s="108"/>
      <c r="N419" s="108">
        <v>375667</v>
      </c>
      <c r="O419" s="108">
        <f t="shared" si="76"/>
        <v>49507649</v>
      </c>
      <c r="Q419" s="108"/>
      <c r="R419" s="108">
        <v>7405577.7400000002</v>
      </c>
      <c r="S419" s="108">
        <f t="shared" si="77"/>
        <v>56913226.740000002</v>
      </c>
      <c r="U419" s="108">
        <f t="shared" si="78"/>
        <v>6368871</v>
      </c>
      <c r="V419" s="108">
        <f t="shared" si="79"/>
        <v>13671404</v>
      </c>
      <c r="W419" s="108">
        <f t="shared" si="80"/>
        <v>375667</v>
      </c>
      <c r="X419" s="108">
        <f t="shared" si="82"/>
        <v>7405577.7400000021</v>
      </c>
    </row>
    <row r="420" spans="1:24" x14ac:dyDescent="0.25">
      <c r="A420" t="s">
        <v>1356</v>
      </c>
      <c r="B420" t="s">
        <v>1388</v>
      </c>
      <c r="C420" s="108">
        <v>28552263</v>
      </c>
      <c r="D420" s="108">
        <v>29322</v>
      </c>
      <c r="E420" s="108"/>
      <c r="F420" s="108">
        <v>63775</v>
      </c>
      <c r="G420" s="108">
        <f t="shared" si="81"/>
        <v>28645360</v>
      </c>
      <c r="H420" s="108">
        <v>736</v>
      </c>
      <c r="I420" s="108">
        <v>-186913</v>
      </c>
      <c r="J420" s="108">
        <v>424092</v>
      </c>
      <c r="K420" s="108">
        <f t="shared" si="75"/>
        <v>28883275</v>
      </c>
      <c r="L420" s="108"/>
      <c r="M420" s="108"/>
      <c r="N420" s="108">
        <v>208913</v>
      </c>
      <c r="O420" s="108">
        <f t="shared" si="76"/>
        <v>29092188</v>
      </c>
      <c r="Q420" s="108"/>
      <c r="R420" s="108">
        <v>2635478.31</v>
      </c>
      <c r="S420" s="108">
        <f t="shared" si="77"/>
        <v>31727666.309999999</v>
      </c>
      <c r="U420" s="108">
        <f t="shared" si="78"/>
        <v>93097</v>
      </c>
      <c r="V420" s="108">
        <f t="shared" si="79"/>
        <v>237915</v>
      </c>
      <c r="W420" s="108">
        <f t="shared" si="80"/>
        <v>208913</v>
      </c>
      <c r="X420" s="108">
        <f t="shared" si="82"/>
        <v>2635478.3099999987</v>
      </c>
    </row>
    <row r="421" spans="1:24" x14ac:dyDescent="0.25">
      <c r="A421" t="s">
        <v>1357</v>
      </c>
      <c r="B421" t="s">
        <v>1388</v>
      </c>
      <c r="C421" s="108">
        <v>4423919</v>
      </c>
      <c r="D421" s="108">
        <v>213600</v>
      </c>
      <c r="E421" s="108"/>
      <c r="F421" s="108">
        <v>286761</v>
      </c>
      <c r="G421" s="108">
        <f t="shared" si="81"/>
        <v>4924280</v>
      </c>
      <c r="H421" s="108">
        <v>3863</v>
      </c>
      <c r="I421" s="108">
        <v>-140339</v>
      </c>
      <c r="J421" s="108">
        <v>246649</v>
      </c>
      <c r="K421" s="108">
        <f t="shared" si="75"/>
        <v>5034453</v>
      </c>
      <c r="L421" s="108"/>
      <c r="M421" s="108">
        <v>-96</v>
      </c>
      <c r="N421" s="108">
        <v>32977</v>
      </c>
      <c r="O421" s="108">
        <f t="shared" si="76"/>
        <v>5067334</v>
      </c>
      <c r="Q421" s="108"/>
      <c r="R421" s="108">
        <v>4443491.8099999996</v>
      </c>
      <c r="S421" s="108">
        <f t="shared" si="77"/>
        <v>9510825.8099999987</v>
      </c>
      <c r="U421" s="108">
        <f t="shared" si="78"/>
        <v>500361</v>
      </c>
      <c r="V421" s="108">
        <f t="shared" si="79"/>
        <v>110173</v>
      </c>
      <c r="W421" s="108">
        <f t="shared" si="80"/>
        <v>32881</v>
      </c>
      <c r="X421" s="108">
        <f t="shared" si="82"/>
        <v>4443491.8099999987</v>
      </c>
    </row>
    <row r="422" spans="1:24" x14ac:dyDescent="0.25">
      <c r="A422" t="s">
        <v>1358</v>
      </c>
      <c r="B422" t="s">
        <v>1389</v>
      </c>
      <c r="C422" s="108">
        <v>18870132</v>
      </c>
      <c r="D422" s="108"/>
      <c r="E422" s="108"/>
      <c r="F422" s="108">
        <v>7804177</v>
      </c>
      <c r="G422" s="108">
        <f t="shared" si="81"/>
        <v>26674309</v>
      </c>
      <c r="H422" s="108"/>
      <c r="I422" s="108"/>
      <c r="J422" s="108"/>
      <c r="K422" s="108">
        <f t="shared" si="75"/>
        <v>26674309</v>
      </c>
      <c r="L422" s="108"/>
      <c r="M422" s="108"/>
      <c r="N422" s="108"/>
      <c r="O422" s="108">
        <f t="shared" si="76"/>
        <v>26674309</v>
      </c>
      <c r="Q422" s="108"/>
      <c r="R422" s="108">
        <v>2464263.8199999998</v>
      </c>
      <c r="S422" s="108">
        <f t="shared" si="77"/>
        <v>29138572.82</v>
      </c>
      <c r="U422" s="108">
        <f t="shared" si="78"/>
        <v>7804177</v>
      </c>
      <c r="V422" s="108">
        <f t="shared" si="79"/>
        <v>0</v>
      </c>
      <c r="W422" s="108">
        <f t="shared" si="80"/>
        <v>0</v>
      </c>
      <c r="X422" s="108">
        <f t="shared" si="82"/>
        <v>2464263.8200000003</v>
      </c>
    </row>
    <row r="423" spans="1:24" x14ac:dyDescent="0.25">
      <c r="A423" t="s">
        <v>1359</v>
      </c>
      <c r="B423" t="s">
        <v>1388</v>
      </c>
      <c r="C423" s="108">
        <v>9179067</v>
      </c>
      <c r="D423" s="108">
        <v>373618</v>
      </c>
      <c r="E423" s="108"/>
      <c r="F423" s="108"/>
      <c r="G423" s="108">
        <f t="shared" si="81"/>
        <v>9552685</v>
      </c>
      <c r="H423" s="108"/>
      <c r="I423" s="108">
        <v>-267840</v>
      </c>
      <c r="J423" s="108">
        <v>939759</v>
      </c>
      <c r="K423" s="108">
        <f t="shared" si="75"/>
        <v>10224604</v>
      </c>
      <c r="L423" s="108"/>
      <c r="M423" s="108"/>
      <c r="N423" s="108">
        <v>879999</v>
      </c>
      <c r="O423" s="108">
        <f t="shared" si="76"/>
        <v>11104603</v>
      </c>
      <c r="Q423" s="108">
        <v>-22149</v>
      </c>
      <c r="R423" s="108">
        <v>2203542.09</v>
      </c>
      <c r="S423" s="108">
        <f t="shared" si="77"/>
        <v>13285996.09</v>
      </c>
      <c r="U423" s="108">
        <f t="shared" si="78"/>
        <v>373618</v>
      </c>
      <c r="V423" s="108">
        <f t="shared" si="79"/>
        <v>671919</v>
      </c>
      <c r="W423" s="108">
        <f t="shared" si="80"/>
        <v>879999</v>
      </c>
      <c r="X423" s="108">
        <f t="shared" si="82"/>
        <v>2181393.09</v>
      </c>
    </row>
    <row r="424" spans="1:24" x14ac:dyDescent="0.25">
      <c r="A424" t="s">
        <v>1376</v>
      </c>
      <c r="C424" s="108">
        <v>11074927</v>
      </c>
      <c r="D424" s="108"/>
      <c r="E424" s="108"/>
      <c r="F424" s="108"/>
      <c r="G424" s="108">
        <f t="shared" si="81"/>
        <v>11074927</v>
      </c>
      <c r="H424" s="108"/>
      <c r="I424" s="108">
        <v>-11074927</v>
      </c>
      <c r="J424" s="108"/>
      <c r="K424" s="108">
        <f t="shared" si="75"/>
        <v>0</v>
      </c>
      <c r="L424" s="108"/>
      <c r="M424" s="108"/>
      <c r="N424" s="108"/>
      <c r="O424" s="108">
        <f t="shared" si="76"/>
        <v>0</v>
      </c>
      <c r="Q424" s="108"/>
      <c r="R424" s="108"/>
      <c r="S424" s="108">
        <f t="shared" si="77"/>
        <v>0</v>
      </c>
      <c r="U424" s="108">
        <f t="shared" si="78"/>
        <v>0</v>
      </c>
      <c r="V424" s="108">
        <f t="shared" si="79"/>
        <v>-11074927</v>
      </c>
      <c r="W424" s="108">
        <f t="shared" si="80"/>
        <v>0</v>
      </c>
      <c r="X424" s="108">
        <f t="shared" si="82"/>
        <v>0</v>
      </c>
    </row>
    <row r="425" spans="1:24" x14ac:dyDescent="0.25">
      <c r="A425" t="s">
        <v>1360</v>
      </c>
      <c r="B425" t="s">
        <v>1387</v>
      </c>
      <c r="C425" s="108">
        <v>80482357</v>
      </c>
      <c r="D425" s="108"/>
      <c r="E425" s="108">
        <v>-1324061</v>
      </c>
      <c r="F425" s="108">
        <v>10831825</v>
      </c>
      <c r="G425" s="108">
        <f t="shared" si="81"/>
        <v>89990121</v>
      </c>
      <c r="H425" s="108"/>
      <c r="I425" s="108"/>
      <c r="J425" s="108">
        <v>13324781</v>
      </c>
      <c r="K425" s="108">
        <f t="shared" si="75"/>
        <v>103314902</v>
      </c>
      <c r="L425" s="108"/>
      <c r="M425" s="108"/>
      <c r="N425" s="108">
        <v>4298257</v>
      </c>
      <c r="O425" s="108">
        <f t="shared" si="76"/>
        <v>107613159</v>
      </c>
      <c r="Q425" s="108"/>
      <c r="R425" s="108">
        <v>7447058.5499999998</v>
      </c>
      <c r="S425" s="108">
        <f t="shared" si="77"/>
        <v>115060217.55</v>
      </c>
      <c r="U425" s="108">
        <f t="shared" si="78"/>
        <v>9507764</v>
      </c>
      <c r="V425" s="108">
        <f t="shared" si="79"/>
        <v>13324781</v>
      </c>
      <c r="W425" s="108">
        <f t="shared" si="80"/>
        <v>4298257</v>
      </c>
      <c r="X425" s="108">
        <f t="shared" si="82"/>
        <v>7447058.549999997</v>
      </c>
    </row>
    <row r="426" spans="1:24" x14ac:dyDescent="0.25">
      <c r="A426" t="s">
        <v>1361</v>
      </c>
      <c r="B426" t="s">
        <v>1389</v>
      </c>
      <c r="C426" s="108">
        <v>989112</v>
      </c>
      <c r="D426" s="108"/>
      <c r="E426" s="108"/>
      <c r="F426" s="108">
        <v>364521</v>
      </c>
      <c r="G426" s="108">
        <f t="shared" si="81"/>
        <v>1353633</v>
      </c>
      <c r="H426" s="108"/>
      <c r="I426" s="108"/>
      <c r="J426" s="108">
        <v>477627</v>
      </c>
      <c r="K426" s="108">
        <f t="shared" si="75"/>
        <v>1831260</v>
      </c>
      <c r="L426" s="108"/>
      <c r="M426" s="108"/>
      <c r="N426" s="108">
        <v>10100</v>
      </c>
      <c r="O426" s="108">
        <f t="shared" si="76"/>
        <v>1841360</v>
      </c>
      <c r="Q426" s="108"/>
      <c r="R426" s="108">
        <v>887393.66</v>
      </c>
      <c r="S426" s="108">
        <f t="shared" si="77"/>
        <v>2728753.66</v>
      </c>
      <c r="U426" s="108">
        <f t="shared" si="78"/>
        <v>364521</v>
      </c>
      <c r="V426" s="108">
        <f t="shared" si="79"/>
        <v>477627</v>
      </c>
      <c r="W426" s="108">
        <f t="shared" si="80"/>
        <v>10100</v>
      </c>
      <c r="X426" s="108">
        <f t="shared" si="82"/>
        <v>887393.66000000015</v>
      </c>
    </row>
    <row r="427" spans="1:24" x14ac:dyDescent="0.25">
      <c r="A427" t="s">
        <v>1362</v>
      </c>
      <c r="B427" t="s">
        <v>1388</v>
      </c>
      <c r="C427" s="108">
        <v>10439836</v>
      </c>
      <c r="D427" s="108">
        <v>2430905</v>
      </c>
      <c r="E427" s="108"/>
      <c r="F427" s="108">
        <v>21901</v>
      </c>
      <c r="G427" s="108">
        <f t="shared" si="81"/>
        <v>12892642</v>
      </c>
      <c r="H427" s="108"/>
      <c r="I427" s="108">
        <v>-875790</v>
      </c>
      <c r="J427" s="108">
        <v>340123</v>
      </c>
      <c r="K427" s="108">
        <f t="shared" si="75"/>
        <v>12356975</v>
      </c>
      <c r="L427" s="108"/>
      <c r="M427" s="108"/>
      <c r="N427" s="108">
        <v>3538689</v>
      </c>
      <c r="O427" s="108">
        <f t="shared" si="76"/>
        <v>15895664</v>
      </c>
      <c r="Q427" s="108"/>
      <c r="R427" s="108">
        <v>4796554.99</v>
      </c>
      <c r="S427" s="108">
        <f t="shared" si="77"/>
        <v>20692218.990000002</v>
      </c>
      <c r="U427" s="108">
        <f t="shared" si="78"/>
        <v>2452806</v>
      </c>
      <c r="V427" s="108">
        <f t="shared" si="79"/>
        <v>-535667</v>
      </c>
      <c r="W427" s="108">
        <f t="shared" si="80"/>
        <v>3538689</v>
      </c>
      <c r="X427" s="108">
        <f t="shared" si="82"/>
        <v>4796554.9900000021</v>
      </c>
    </row>
    <row r="428" spans="1:24" x14ac:dyDescent="0.25">
      <c r="A428" t="s">
        <v>1363</v>
      </c>
      <c r="B428" t="s">
        <v>1388</v>
      </c>
      <c r="C428" s="108">
        <v>1286786</v>
      </c>
      <c r="D428" s="108"/>
      <c r="E428" s="108"/>
      <c r="F428" s="108"/>
      <c r="G428" s="108">
        <f t="shared" si="81"/>
        <v>1286786</v>
      </c>
      <c r="H428" s="108"/>
      <c r="I428" s="108"/>
      <c r="J428" s="108"/>
      <c r="K428" s="108">
        <f t="shared" si="75"/>
        <v>1286786</v>
      </c>
      <c r="L428" s="108"/>
      <c r="M428" s="108"/>
      <c r="N428" s="108">
        <v>204263</v>
      </c>
      <c r="O428" s="108">
        <f t="shared" si="76"/>
        <v>1491049</v>
      </c>
      <c r="Q428" s="108"/>
      <c r="R428" s="108">
        <v>475058.52</v>
      </c>
      <c r="S428" s="108">
        <f t="shared" si="77"/>
        <v>1966107.52</v>
      </c>
      <c r="U428" s="108">
        <f t="shared" si="78"/>
        <v>0</v>
      </c>
      <c r="V428" s="108">
        <f t="shared" si="79"/>
        <v>0</v>
      </c>
      <c r="W428" s="108">
        <f t="shared" si="80"/>
        <v>204263</v>
      </c>
      <c r="X428" s="108">
        <f t="shared" si="82"/>
        <v>475058.52</v>
      </c>
    </row>
    <row r="429" spans="1:24" x14ac:dyDescent="0.25">
      <c r="A429" t="s">
        <v>1364</v>
      </c>
      <c r="B429" t="s">
        <v>1387</v>
      </c>
      <c r="C429" s="108">
        <v>29309677</v>
      </c>
      <c r="D429" s="108"/>
      <c r="E429" s="108"/>
      <c r="F429" s="108">
        <v>6355287</v>
      </c>
      <c r="G429" s="108">
        <f t="shared" si="81"/>
        <v>35664964</v>
      </c>
      <c r="H429" s="108"/>
      <c r="I429" s="108">
        <v>-187676</v>
      </c>
      <c r="J429" s="108">
        <v>5157805</v>
      </c>
      <c r="K429" s="108">
        <f t="shared" si="75"/>
        <v>40635093</v>
      </c>
      <c r="L429" s="108"/>
      <c r="M429" s="108">
        <v>-105984</v>
      </c>
      <c r="N429" s="108">
        <v>1746523</v>
      </c>
      <c r="O429" s="108">
        <f t="shared" si="76"/>
        <v>42275632</v>
      </c>
      <c r="Q429" s="108"/>
      <c r="R429" s="108">
        <v>9277711.0299999993</v>
      </c>
      <c r="S429" s="108">
        <f t="shared" si="77"/>
        <v>51553343.030000001</v>
      </c>
      <c r="U429" s="108">
        <f t="shared" si="78"/>
        <v>6355287</v>
      </c>
      <c r="V429" s="108">
        <f t="shared" si="79"/>
        <v>4970129</v>
      </c>
      <c r="W429" s="108">
        <f t="shared" si="80"/>
        <v>1640539</v>
      </c>
      <c r="X429" s="108">
        <f t="shared" si="82"/>
        <v>9277711.0300000012</v>
      </c>
    </row>
    <row r="430" spans="1:24" x14ac:dyDescent="0.25">
      <c r="A430" t="s">
        <v>1365</v>
      </c>
      <c r="B430" t="s">
        <v>1387</v>
      </c>
      <c r="C430" s="108">
        <v>9309966</v>
      </c>
      <c r="D430" s="108"/>
      <c r="E430" s="108"/>
      <c r="F430" s="108">
        <v>1360279</v>
      </c>
      <c r="G430" s="108">
        <f t="shared" si="81"/>
        <v>10670245</v>
      </c>
      <c r="H430" s="108"/>
      <c r="I430" s="108"/>
      <c r="J430" s="108">
        <v>1673206</v>
      </c>
      <c r="K430" s="108">
        <f t="shared" si="75"/>
        <v>12343451</v>
      </c>
      <c r="L430" s="108"/>
      <c r="M430" s="108"/>
      <c r="N430" s="108">
        <v>10501</v>
      </c>
      <c r="O430" s="108">
        <f t="shared" si="76"/>
        <v>12353952</v>
      </c>
      <c r="Q430" s="108"/>
      <c r="R430" s="108">
        <v>1785806.65</v>
      </c>
      <c r="S430" s="108">
        <f t="shared" si="77"/>
        <v>14139758.65</v>
      </c>
      <c r="U430" s="108">
        <f t="shared" si="78"/>
        <v>1360279</v>
      </c>
      <c r="V430" s="108">
        <f t="shared" si="79"/>
        <v>1673206</v>
      </c>
      <c r="W430" s="108">
        <f t="shared" si="80"/>
        <v>10501</v>
      </c>
      <c r="X430" s="108">
        <f t="shared" si="82"/>
        <v>1785806.6500000004</v>
      </c>
    </row>
    <row r="431" spans="1:24" x14ac:dyDescent="0.25">
      <c r="A431" t="s">
        <v>1366</v>
      </c>
      <c r="B431" t="s">
        <v>1387</v>
      </c>
      <c r="C431" s="108">
        <v>1560595</v>
      </c>
      <c r="D431" s="108">
        <v>353008</v>
      </c>
      <c r="E431" s="108"/>
      <c r="F431" s="108">
        <v>41970</v>
      </c>
      <c r="G431" s="108">
        <f t="shared" si="81"/>
        <v>1955573</v>
      </c>
      <c r="H431" s="108"/>
      <c r="I431" s="108">
        <v>-72251</v>
      </c>
      <c r="J431" s="108">
        <v>334430</v>
      </c>
      <c r="K431" s="108">
        <f t="shared" si="75"/>
        <v>2217752</v>
      </c>
      <c r="L431" s="108"/>
      <c r="M431" s="108"/>
      <c r="N431" s="108">
        <v>198353</v>
      </c>
      <c r="O431" s="108">
        <f t="shared" si="76"/>
        <v>2416105</v>
      </c>
      <c r="Q431" s="108"/>
      <c r="R431" s="108">
        <v>621490.1</v>
      </c>
      <c r="S431" s="108">
        <f t="shared" si="77"/>
        <v>3037595.1</v>
      </c>
      <c r="U431" s="108">
        <f t="shared" si="78"/>
        <v>394978</v>
      </c>
      <c r="V431" s="108">
        <f t="shared" si="79"/>
        <v>262179</v>
      </c>
      <c r="W431" s="108">
        <f t="shared" si="80"/>
        <v>198353</v>
      </c>
      <c r="X431" s="108">
        <f t="shared" si="82"/>
        <v>621490.10000000009</v>
      </c>
    </row>
    <row r="432" spans="1:24" x14ac:dyDescent="0.25">
      <c r="A432" t="s">
        <v>1367</v>
      </c>
      <c r="B432" t="s">
        <v>1387</v>
      </c>
      <c r="C432" s="108"/>
      <c r="D432" s="108"/>
      <c r="E432" s="108"/>
      <c r="F432" s="108">
        <v>898000</v>
      </c>
      <c r="G432" s="108">
        <f t="shared" si="81"/>
        <v>898000</v>
      </c>
      <c r="H432" s="108"/>
      <c r="I432" s="108"/>
      <c r="J432" s="108"/>
      <c r="K432" s="108">
        <f t="shared" si="75"/>
        <v>898000</v>
      </c>
      <c r="L432" s="108"/>
      <c r="M432" s="108"/>
      <c r="N432" s="108"/>
      <c r="O432" s="108">
        <f t="shared" si="76"/>
        <v>898000</v>
      </c>
      <c r="Q432" s="108"/>
      <c r="R432" s="108"/>
      <c r="S432" s="108">
        <f t="shared" si="77"/>
        <v>898000</v>
      </c>
      <c r="U432" s="108">
        <f t="shared" si="78"/>
        <v>898000</v>
      </c>
      <c r="V432" s="108">
        <f t="shared" si="79"/>
        <v>0</v>
      </c>
      <c r="W432" s="108">
        <f t="shared" si="80"/>
        <v>0</v>
      </c>
      <c r="X432" s="108">
        <f t="shared" si="82"/>
        <v>0</v>
      </c>
    </row>
    <row r="433" spans="1:24" x14ac:dyDescent="0.25">
      <c r="A433" t="s">
        <v>1368</v>
      </c>
      <c r="B433" t="s">
        <v>1388</v>
      </c>
      <c r="C433" s="108">
        <v>348642</v>
      </c>
      <c r="D433" s="108">
        <v>175364</v>
      </c>
      <c r="E433" s="108"/>
      <c r="F433" s="108"/>
      <c r="G433" s="108">
        <f t="shared" si="81"/>
        <v>524006</v>
      </c>
      <c r="H433" s="108"/>
      <c r="I433" s="108"/>
      <c r="J433" s="108"/>
      <c r="K433" s="108">
        <f t="shared" si="75"/>
        <v>524006</v>
      </c>
      <c r="L433" s="108"/>
      <c r="M433" s="108"/>
      <c r="N433" s="108"/>
      <c r="O433" s="108">
        <f t="shared" si="76"/>
        <v>524006</v>
      </c>
      <c r="Q433" s="108"/>
      <c r="R433" s="108"/>
      <c r="S433" s="108">
        <f t="shared" si="77"/>
        <v>524006</v>
      </c>
      <c r="U433" s="108">
        <f t="shared" si="78"/>
        <v>175364</v>
      </c>
      <c r="V433" s="108">
        <f t="shared" si="79"/>
        <v>0</v>
      </c>
      <c r="W433" s="108">
        <f t="shared" si="80"/>
        <v>0</v>
      </c>
      <c r="X433" s="108">
        <f t="shared" si="82"/>
        <v>0</v>
      </c>
    </row>
    <row r="434" spans="1:24" x14ac:dyDescent="0.25">
      <c r="A434" t="s">
        <v>1369</v>
      </c>
      <c r="B434" t="s">
        <v>1388</v>
      </c>
      <c r="C434" s="108">
        <v>471944</v>
      </c>
      <c r="D434" s="108">
        <v>43882</v>
      </c>
      <c r="E434" s="108"/>
      <c r="F434" s="108"/>
      <c r="G434" s="108">
        <f t="shared" si="81"/>
        <v>515826</v>
      </c>
      <c r="H434" s="108"/>
      <c r="I434" s="108">
        <v>-442599</v>
      </c>
      <c r="J434" s="108">
        <v>115647</v>
      </c>
      <c r="K434" s="108">
        <f t="shared" si="75"/>
        <v>188874</v>
      </c>
      <c r="L434" s="108"/>
      <c r="M434" s="108"/>
      <c r="N434" s="108">
        <v>35718</v>
      </c>
      <c r="O434" s="108">
        <f t="shared" si="76"/>
        <v>224592</v>
      </c>
      <c r="Q434" s="108"/>
      <c r="R434" s="108"/>
      <c r="S434" s="108">
        <f t="shared" si="77"/>
        <v>224592</v>
      </c>
      <c r="U434" s="108">
        <f t="shared" si="78"/>
        <v>43882</v>
      </c>
      <c r="V434" s="108">
        <f t="shared" si="79"/>
        <v>-326952</v>
      </c>
      <c r="W434" s="108">
        <f t="shared" si="80"/>
        <v>35718</v>
      </c>
      <c r="X434" s="108">
        <f t="shared" si="82"/>
        <v>0</v>
      </c>
    </row>
    <row r="435" spans="1:24" x14ac:dyDescent="0.25">
      <c r="A435" t="s">
        <v>1377</v>
      </c>
      <c r="C435" s="108">
        <v>7771</v>
      </c>
      <c r="D435" s="108"/>
      <c r="E435" s="108"/>
      <c r="F435" s="108"/>
      <c r="G435" s="108">
        <f t="shared" si="81"/>
        <v>7771</v>
      </c>
      <c r="H435" s="108"/>
      <c r="I435" s="108">
        <v>-7771</v>
      </c>
      <c r="J435" s="108"/>
      <c r="K435" s="108">
        <f t="shared" si="75"/>
        <v>0</v>
      </c>
      <c r="L435" s="108"/>
      <c r="M435" s="108"/>
      <c r="N435" s="108"/>
      <c r="O435" s="108">
        <f t="shared" si="76"/>
        <v>0</v>
      </c>
      <c r="Q435" s="108"/>
      <c r="R435" s="108"/>
      <c r="S435" s="108">
        <f t="shared" si="77"/>
        <v>0</v>
      </c>
      <c r="U435" s="108">
        <f t="shared" si="78"/>
        <v>0</v>
      </c>
      <c r="V435" s="108">
        <f t="shared" si="79"/>
        <v>-7771</v>
      </c>
      <c r="W435" s="108">
        <f t="shared" si="80"/>
        <v>0</v>
      </c>
      <c r="X435" s="108">
        <f t="shared" si="82"/>
        <v>0</v>
      </c>
    </row>
    <row r="436" spans="1:24" x14ac:dyDescent="0.25">
      <c r="A436" t="s">
        <v>1372</v>
      </c>
      <c r="B436" t="s">
        <v>1387</v>
      </c>
      <c r="C436" s="108">
        <v>594895</v>
      </c>
      <c r="D436" s="108"/>
      <c r="E436" s="108"/>
      <c r="F436" s="108">
        <v>51320</v>
      </c>
      <c r="G436" s="108">
        <f t="shared" si="81"/>
        <v>646215</v>
      </c>
      <c r="H436" s="108"/>
      <c r="I436" s="108"/>
      <c r="J436" s="108"/>
      <c r="K436" s="108">
        <f t="shared" si="75"/>
        <v>646215</v>
      </c>
      <c r="L436" s="108"/>
      <c r="M436" s="108"/>
      <c r="N436" s="108">
        <v>7589</v>
      </c>
      <c r="O436" s="108">
        <f t="shared" si="76"/>
        <v>653804</v>
      </c>
      <c r="Q436" s="108"/>
      <c r="R436" s="108">
        <v>56934</v>
      </c>
      <c r="S436" s="108">
        <f t="shared" si="77"/>
        <v>710738</v>
      </c>
      <c r="U436" s="108">
        <f t="shared" si="78"/>
        <v>51320</v>
      </c>
      <c r="V436" s="108">
        <f t="shared" si="79"/>
        <v>0</v>
      </c>
      <c r="W436" s="108">
        <f t="shared" si="80"/>
        <v>7589</v>
      </c>
      <c r="X436" s="108">
        <f t="shared" si="82"/>
        <v>56934</v>
      </c>
    </row>
    <row r="437" spans="1:24" x14ac:dyDescent="0.25">
      <c r="A437" t="s">
        <v>1373</v>
      </c>
      <c r="B437" t="s">
        <v>1387</v>
      </c>
      <c r="C437" s="108">
        <v>504105</v>
      </c>
      <c r="D437" s="108"/>
      <c r="E437" s="108"/>
      <c r="F437" s="108"/>
      <c r="G437" s="108">
        <f t="shared" si="81"/>
        <v>504105</v>
      </c>
      <c r="H437" s="108"/>
      <c r="I437" s="108"/>
      <c r="J437" s="108"/>
      <c r="K437" s="108">
        <f t="shared" si="75"/>
        <v>504105</v>
      </c>
      <c r="L437" s="108"/>
      <c r="M437" s="108"/>
      <c r="N437" s="108"/>
      <c r="O437" s="108">
        <f t="shared" si="76"/>
        <v>504105</v>
      </c>
      <c r="Q437" s="108"/>
      <c r="R437" s="108"/>
      <c r="S437" s="108">
        <f t="shared" si="77"/>
        <v>504105</v>
      </c>
      <c r="U437" s="108">
        <f t="shared" si="78"/>
        <v>0</v>
      </c>
      <c r="V437" s="108">
        <f t="shared" si="79"/>
        <v>0</v>
      </c>
      <c r="W437" s="108">
        <f t="shared" si="80"/>
        <v>0</v>
      </c>
      <c r="X437" s="108">
        <f t="shared" si="82"/>
        <v>0</v>
      </c>
    </row>
    <row r="438" spans="1:24" x14ac:dyDescent="0.25">
      <c r="A438" t="s">
        <v>1370</v>
      </c>
      <c r="B438" t="s">
        <v>1387</v>
      </c>
      <c r="C438" s="108">
        <v>35439915</v>
      </c>
      <c r="D438" s="108"/>
      <c r="E438" s="108"/>
      <c r="F438" s="108"/>
      <c r="G438" s="108">
        <f t="shared" si="81"/>
        <v>35439915</v>
      </c>
      <c r="H438" s="108"/>
      <c r="I438" s="108"/>
      <c r="J438" s="108"/>
      <c r="K438" s="108">
        <f t="shared" si="75"/>
        <v>35439915</v>
      </c>
      <c r="L438" s="108"/>
      <c r="M438" s="108"/>
      <c r="N438" s="108"/>
      <c r="O438" s="108">
        <f t="shared" si="76"/>
        <v>35439915</v>
      </c>
      <c r="Q438" s="108"/>
      <c r="R438" s="108"/>
      <c r="S438" s="108">
        <f t="shared" si="77"/>
        <v>35439915</v>
      </c>
      <c r="U438" s="108">
        <f t="shared" si="78"/>
        <v>0</v>
      </c>
      <c r="V438" s="108">
        <f t="shared" si="79"/>
        <v>0</v>
      </c>
      <c r="W438" s="108">
        <f t="shared" si="80"/>
        <v>0</v>
      </c>
      <c r="X438" s="108">
        <f t="shared" si="82"/>
        <v>0</v>
      </c>
    </row>
    <row r="439" spans="1:24" x14ac:dyDescent="0.25">
      <c r="A439" t="s">
        <v>1371</v>
      </c>
      <c r="B439" t="s">
        <v>1387</v>
      </c>
      <c r="C439" s="108">
        <v>266716</v>
      </c>
      <c r="D439" s="108"/>
      <c r="E439" s="108"/>
      <c r="F439" s="108"/>
      <c r="G439" s="108">
        <f t="shared" si="81"/>
        <v>266716</v>
      </c>
      <c r="H439" s="108"/>
      <c r="I439" s="108"/>
      <c r="J439" s="108"/>
      <c r="K439" s="108">
        <f t="shared" si="75"/>
        <v>266716</v>
      </c>
      <c r="L439" s="108"/>
      <c r="M439" s="108"/>
      <c r="N439" s="108"/>
      <c r="O439" s="108">
        <f t="shared" si="76"/>
        <v>266716</v>
      </c>
      <c r="Q439" s="108"/>
      <c r="R439" s="108"/>
      <c r="S439" s="108">
        <f t="shared" si="77"/>
        <v>266716</v>
      </c>
      <c r="U439" s="108">
        <f t="shared" si="78"/>
        <v>0</v>
      </c>
      <c r="V439" s="108">
        <f t="shared" si="79"/>
        <v>0</v>
      </c>
      <c r="W439" s="108">
        <f t="shared" si="80"/>
        <v>0</v>
      </c>
      <c r="X439" s="108">
        <f t="shared" si="82"/>
        <v>0</v>
      </c>
    </row>
    <row r="440" spans="1:24" x14ac:dyDescent="0.25">
      <c r="C440" s="108"/>
      <c r="D440" s="108"/>
      <c r="E440" s="108"/>
      <c r="F440" s="108"/>
      <c r="G440" s="108"/>
      <c r="H440" s="108"/>
      <c r="I440" s="108"/>
      <c r="J440" s="108"/>
      <c r="K440" s="108"/>
      <c r="L440" s="108"/>
      <c r="M440" s="108"/>
      <c r="Q440" s="108"/>
      <c r="R440" s="108"/>
    </row>
    <row r="441" spans="1:24" x14ac:dyDescent="0.25">
      <c r="A441" t="s">
        <v>28</v>
      </c>
      <c r="C441" s="108">
        <f>SUM(C416:C440)</f>
        <v>937273841</v>
      </c>
      <c r="D441" s="108">
        <f t="shared" ref="D441:K441" si="83">SUM(D416:D440)</f>
        <v>3649517</v>
      </c>
      <c r="E441" s="108">
        <f t="shared" si="83"/>
        <v>-1324061</v>
      </c>
      <c r="F441" s="108">
        <f>SUM(F416:F440)</f>
        <v>71290223</v>
      </c>
      <c r="G441" s="108">
        <f t="shared" si="83"/>
        <v>1010889520</v>
      </c>
      <c r="H441" s="108">
        <f t="shared" si="83"/>
        <v>1514781</v>
      </c>
      <c r="I441" s="108">
        <f t="shared" si="83"/>
        <v>-13256106</v>
      </c>
      <c r="J441" s="108">
        <f t="shared" si="83"/>
        <v>102329926</v>
      </c>
      <c r="K441" s="108">
        <f t="shared" si="83"/>
        <v>1101478121</v>
      </c>
      <c r="L441" s="108">
        <f>SUM(L416:L440)</f>
        <v>0</v>
      </c>
      <c r="M441" s="108">
        <f>SUM(M416:M440)</f>
        <v>-106080</v>
      </c>
      <c r="N441" s="108">
        <f>SUM(N416:N440)</f>
        <v>31579214</v>
      </c>
      <c r="O441" s="108">
        <f>SUM(O416:O440)</f>
        <v>1132951255</v>
      </c>
      <c r="Q441" s="108">
        <f>SUM(Q416:Q440)</f>
        <v>-22149</v>
      </c>
      <c r="R441" s="108">
        <f>SUM(R416:R440)</f>
        <v>121706239.43999997</v>
      </c>
      <c r="S441" s="108">
        <f>SUM(S416:S440)</f>
        <v>1254635345.4400001</v>
      </c>
      <c r="U441" s="108">
        <f t="shared" ref="U441:X441" si="84">SUM(U416:U440)</f>
        <v>73615679</v>
      </c>
      <c r="V441" s="108">
        <f t="shared" si="84"/>
        <v>90588601</v>
      </c>
      <c r="W441" s="108">
        <f t="shared" si="84"/>
        <v>31473134</v>
      </c>
      <c r="X441" s="108">
        <f t="shared" si="84"/>
        <v>121684090.44000001</v>
      </c>
    </row>
    <row r="444" spans="1:24" x14ac:dyDescent="0.25">
      <c r="C444">
        <v>2020</v>
      </c>
      <c r="D444">
        <f>C444+1</f>
        <v>2021</v>
      </c>
      <c r="E444">
        <f>D444</f>
        <v>2021</v>
      </c>
      <c r="F444">
        <f t="shared" ref="F444:G444" si="85">E444</f>
        <v>2021</v>
      </c>
      <c r="G444">
        <f t="shared" si="85"/>
        <v>2021</v>
      </c>
      <c r="H444">
        <f>D444+1</f>
        <v>2022</v>
      </c>
      <c r="I444">
        <f>H444</f>
        <v>2022</v>
      </c>
      <c r="J444">
        <f t="shared" ref="J444:K444" si="86">I444</f>
        <v>2022</v>
      </c>
      <c r="K444">
        <f t="shared" si="86"/>
        <v>2022</v>
      </c>
      <c r="L444">
        <f>H444+1</f>
        <v>2023</v>
      </c>
      <c r="M444">
        <f>L444</f>
        <v>2023</v>
      </c>
      <c r="N444">
        <f t="shared" ref="N444:O444" si="87">M444</f>
        <v>2023</v>
      </c>
      <c r="O444">
        <f t="shared" si="87"/>
        <v>2023</v>
      </c>
      <c r="P444">
        <v>2024</v>
      </c>
      <c r="Q444">
        <f>P444</f>
        <v>2024</v>
      </c>
      <c r="R444">
        <f t="shared" ref="R444:S444" si="88">Q444</f>
        <v>2024</v>
      </c>
      <c r="S444">
        <f t="shared" si="88"/>
        <v>2024</v>
      </c>
    </row>
    <row r="445" spans="1:24" x14ac:dyDescent="0.25">
      <c r="A445" s="110" t="s">
        <v>825</v>
      </c>
      <c r="D445" t="s">
        <v>333</v>
      </c>
      <c r="F445" t="s">
        <v>1379</v>
      </c>
      <c r="H445" t="str">
        <f>D445</f>
        <v>Adiciones</v>
      </c>
      <c r="I445" t="s">
        <v>148</v>
      </c>
      <c r="J445" t="str">
        <f>F445</f>
        <v>Capitalización</v>
      </c>
      <c r="L445" t="str">
        <f>H445</f>
        <v>Adiciones</v>
      </c>
      <c r="M445" t="str">
        <f t="shared" ref="M445:N445" si="89">I445</f>
        <v>Retiros</v>
      </c>
      <c r="N445" t="str">
        <f t="shared" si="89"/>
        <v>Capitalización</v>
      </c>
      <c r="P445" t="str">
        <f>L445</f>
        <v>Adiciones</v>
      </c>
      <c r="Q445" t="str">
        <f t="shared" ref="Q445" si="90">M445</f>
        <v>Retiros</v>
      </c>
      <c r="R445" t="str">
        <f t="shared" ref="R445" si="91">N445</f>
        <v>Capitalización</v>
      </c>
      <c r="U445">
        <f>U414</f>
        <v>2021</v>
      </c>
      <c r="V445">
        <f t="shared" ref="V445:W445" si="92">V414</f>
        <v>2022</v>
      </c>
      <c r="W445">
        <f t="shared" si="92"/>
        <v>2023</v>
      </c>
    </row>
    <row r="446" spans="1:24" x14ac:dyDescent="0.25">
      <c r="A446" t="s">
        <v>1378</v>
      </c>
      <c r="C446" s="108">
        <v>110384870</v>
      </c>
      <c r="D446" s="108">
        <v>105588911</v>
      </c>
      <c r="E446" s="108"/>
      <c r="F446" s="108">
        <v>-71410695</v>
      </c>
      <c r="G446" s="108">
        <f>C446+D446+E446+F446</f>
        <v>144563086</v>
      </c>
      <c r="H446" s="108">
        <v>75215978</v>
      </c>
      <c r="I446" s="108"/>
      <c r="J446" s="108">
        <v>-100602435</v>
      </c>
      <c r="K446" s="108">
        <f t="shared" ref="K446:K452" si="93">G446+H446+I446+J446</f>
        <v>119176629</v>
      </c>
      <c r="L446" s="108">
        <v>95066819</v>
      </c>
      <c r="M446" s="108"/>
      <c r="N446" s="108">
        <v>-42533079</v>
      </c>
      <c r="O446" s="108">
        <f t="shared" ref="O446:O452" si="94">K446+L446+M446+N446</f>
        <v>171710369</v>
      </c>
      <c r="P446" s="108">
        <v>132342621</v>
      </c>
      <c r="Q446" s="108"/>
      <c r="R446" s="108">
        <v>-104295715</v>
      </c>
      <c r="S446" s="108">
        <f t="shared" ref="S446:S452" si="95">O446+P446+Q446+R446</f>
        <v>199757275</v>
      </c>
      <c r="U446" s="108">
        <f t="shared" ref="U446:U452" si="96">G446-C446</f>
        <v>34178216</v>
      </c>
      <c r="V446" s="108">
        <f t="shared" ref="V446:V452" si="97">K446-G446</f>
        <v>-25386457</v>
      </c>
      <c r="W446" s="108">
        <f t="shared" ref="W446:W452" si="98">O446-K446</f>
        <v>52533740</v>
      </c>
      <c r="X446" s="108">
        <f t="shared" ref="X446:X452" si="99">S446-O446</f>
        <v>28046906</v>
      </c>
    </row>
    <row r="447" spans="1:24" x14ac:dyDescent="0.25">
      <c r="A447" t="s">
        <v>826</v>
      </c>
      <c r="C447" s="108">
        <v>15509034</v>
      </c>
      <c r="D447" s="108"/>
      <c r="E447" s="108"/>
      <c r="F447" s="108">
        <v>-815696</v>
      </c>
      <c r="G447" s="108">
        <f t="shared" ref="G447:G452" si="100">C447+D447+E447+F447</f>
        <v>14693338</v>
      </c>
      <c r="H447" s="108">
        <v>48565</v>
      </c>
      <c r="I447" s="108"/>
      <c r="J447" s="108">
        <v>-7062398</v>
      </c>
      <c r="K447" s="108">
        <f t="shared" si="93"/>
        <v>7679505</v>
      </c>
      <c r="L447" s="108">
        <v>31943</v>
      </c>
      <c r="M447" s="108"/>
      <c r="N447" s="108">
        <v>-7711418</v>
      </c>
      <c r="O447" s="108">
        <f t="shared" si="94"/>
        <v>30</v>
      </c>
      <c r="P447" s="108">
        <v>20723611</v>
      </c>
      <c r="Q447" s="108"/>
      <c r="R447" s="108">
        <v>-20723611</v>
      </c>
      <c r="S447" s="108">
        <f t="shared" si="95"/>
        <v>30</v>
      </c>
      <c r="U447" s="108">
        <f t="shared" si="96"/>
        <v>-815696</v>
      </c>
      <c r="V447" s="108">
        <f t="shared" si="97"/>
        <v>-7013833</v>
      </c>
      <c r="W447" s="108">
        <f t="shared" si="98"/>
        <v>-7679475</v>
      </c>
      <c r="X447" s="108">
        <f t="shared" si="99"/>
        <v>0</v>
      </c>
    </row>
    <row r="448" spans="1:24" x14ac:dyDescent="0.25">
      <c r="A448" t="s">
        <v>1380</v>
      </c>
      <c r="C448" s="108">
        <v>2963272</v>
      </c>
      <c r="D448" s="108">
        <v>125107</v>
      </c>
      <c r="E448" s="108"/>
      <c r="F448" s="108"/>
      <c r="G448" s="108">
        <f t="shared" si="100"/>
        <v>3088379</v>
      </c>
      <c r="H448" s="108">
        <v>655360</v>
      </c>
      <c r="I448" s="108"/>
      <c r="J448" s="108"/>
      <c r="K448" s="108">
        <f t="shared" si="93"/>
        <v>3743739</v>
      </c>
      <c r="L448" s="108">
        <v>1365119</v>
      </c>
      <c r="M448" s="108"/>
      <c r="N448" s="108">
        <v>-154871</v>
      </c>
      <c r="O448" s="108">
        <f t="shared" si="94"/>
        <v>4953987</v>
      </c>
      <c r="P448" s="108">
        <v>8150956</v>
      </c>
      <c r="Q448" s="108"/>
      <c r="R448" s="108">
        <v>-7783950</v>
      </c>
      <c r="S448" s="108">
        <f t="shared" si="95"/>
        <v>5320993</v>
      </c>
      <c r="U448" s="108">
        <f t="shared" si="96"/>
        <v>125107</v>
      </c>
      <c r="V448" s="108">
        <f t="shared" si="97"/>
        <v>655360</v>
      </c>
      <c r="W448" s="108">
        <f t="shared" si="98"/>
        <v>1210248</v>
      </c>
      <c r="X448" s="108">
        <f t="shared" si="99"/>
        <v>367006</v>
      </c>
    </row>
    <row r="449" spans="1:25" x14ac:dyDescent="0.25">
      <c r="A449" t="s">
        <v>32</v>
      </c>
      <c r="C449" s="108">
        <v>7161937</v>
      </c>
      <c r="D449" s="108">
        <v>2228454</v>
      </c>
      <c r="E449" s="108"/>
      <c r="F449" s="108"/>
      <c r="G449" s="108">
        <f t="shared" si="100"/>
        <v>9390391</v>
      </c>
      <c r="H449" s="108">
        <v>2566283</v>
      </c>
      <c r="I449" s="108"/>
      <c r="J449" s="108"/>
      <c r="K449" s="108">
        <f t="shared" si="93"/>
        <v>11956674</v>
      </c>
      <c r="L449" s="108">
        <v>2321936</v>
      </c>
      <c r="M449" s="108"/>
      <c r="N449" s="108">
        <v>-3014266</v>
      </c>
      <c r="O449" s="108">
        <f t="shared" si="94"/>
        <v>11264344</v>
      </c>
      <c r="P449" s="108">
        <v>3118791</v>
      </c>
      <c r="Q449" s="108"/>
      <c r="R449" s="108">
        <v>-5716077</v>
      </c>
      <c r="S449" s="108">
        <f t="shared" si="95"/>
        <v>8667058</v>
      </c>
      <c r="U449" s="108">
        <f t="shared" si="96"/>
        <v>2228454</v>
      </c>
      <c r="V449" s="108">
        <f t="shared" si="97"/>
        <v>2566283</v>
      </c>
      <c r="W449" s="108">
        <f t="shared" si="98"/>
        <v>-692330</v>
      </c>
      <c r="X449" s="108">
        <f t="shared" si="99"/>
        <v>-2597286</v>
      </c>
    </row>
    <row r="450" spans="1:25" x14ac:dyDescent="0.25">
      <c r="A450" t="s">
        <v>1381</v>
      </c>
      <c r="C450" s="108">
        <v>1844153</v>
      </c>
      <c r="D450" s="108">
        <v>1469517</v>
      </c>
      <c r="E450" s="108"/>
      <c r="F450" s="108"/>
      <c r="G450" s="108">
        <f t="shared" si="100"/>
        <v>3313670</v>
      </c>
      <c r="H450" s="108"/>
      <c r="I450" s="108">
        <v>-3313670</v>
      </c>
      <c r="J450" s="108"/>
      <c r="K450" s="108">
        <f t="shared" si="93"/>
        <v>0</v>
      </c>
      <c r="M450" s="108"/>
      <c r="O450" s="108">
        <f t="shared" si="94"/>
        <v>0</v>
      </c>
      <c r="P450" s="108"/>
      <c r="Q450" s="108"/>
      <c r="R450" s="108"/>
      <c r="S450" s="108">
        <f t="shared" si="95"/>
        <v>0</v>
      </c>
      <c r="U450" s="108">
        <f t="shared" si="96"/>
        <v>1469517</v>
      </c>
      <c r="V450" s="108">
        <f t="shared" si="97"/>
        <v>-3313670</v>
      </c>
      <c r="W450" s="108">
        <f t="shared" si="98"/>
        <v>0</v>
      </c>
      <c r="X450" s="108">
        <f t="shared" si="99"/>
        <v>0</v>
      </c>
    </row>
    <row r="451" spans="1:25" x14ac:dyDescent="0.25">
      <c r="A451" t="s">
        <v>1382</v>
      </c>
      <c r="C451" s="108">
        <v>1467121</v>
      </c>
      <c r="D451" s="108">
        <v>2899027</v>
      </c>
      <c r="E451" s="108"/>
      <c r="F451" s="108"/>
      <c r="G451" s="108">
        <f t="shared" si="100"/>
        <v>4366148</v>
      </c>
      <c r="H451" s="108">
        <v>6423573</v>
      </c>
      <c r="I451" s="108"/>
      <c r="J451" s="108">
        <v>-1297790</v>
      </c>
      <c r="K451" s="108">
        <f t="shared" si="93"/>
        <v>9491931</v>
      </c>
      <c r="L451" s="108">
        <v>3670441</v>
      </c>
      <c r="M451" s="108"/>
      <c r="N451" s="108">
        <v>-1421700</v>
      </c>
      <c r="O451" s="108">
        <f t="shared" si="94"/>
        <v>11740672</v>
      </c>
      <c r="P451" s="108">
        <v>3846486</v>
      </c>
      <c r="Q451" s="108"/>
      <c r="R451" s="108">
        <v>-3146968</v>
      </c>
      <c r="S451" s="108">
        <f t="shared" si="95"/>
        <v>12440190</v>
      </c>
      <c r="U451" s="108">
        <f t="shared" si="96"/>
        <v>2899027</v>
      </c>
      <c r="V451" s="108">
        <f t="shared" si="97"/>
        <v>5125783</v>
      </c>
      <c r="W451" s="108">
        <f t="shared" si="98"/>
        <v>2248741</v>
      </c>
      <c r="X451" s="108">
        <f t="shared" si="99"/>
        <v>699518</v>
      </c>
    </row>
    <row r="452" spans="1:25" x14ac:dyDescent="0.25">
      <c r="A452" t="s">
        <v>1383</v>
      </c>
      <c r="C452" s="108">
        <v>3772996</v>
      </c>
      <c r="D452" s="108">
        <v>1348537</v>
      </c>
      <c r="E452" s="108"/>
      <c r="F452" s="108">
        <v>-3649516</v>
      </c>
      <c r="G452" s="108">
        <f t="shared" si="100"/>
        <v>1472017</v>
      </c>
      <c r="H452" s="108">
        <v>53230</v>
      </c>
      <c r="I452" s="108"/>
      <c r="J452" s="108">
        <v>-429701</v>
      </c>
      <c r="K452" s="108">
        <f t="shared" si="93"/>
        <v>1095546</v>
      </c>
      <c r="L452" s="108">
        <v>1857</v>
      </c>
      <c r="M452" s="108"/>
      <c r="N452" s="108">
        <v>-801954</v>
      </c>
      <c r="O452" s="108">
        <f t="shared" si="94"/>
        <v>295449</v>
      </c>
      <c r="P452" s="108">
        <v>1175889</v>
      </c>
      <c r="Q452" s="108"/>
      <c r="R452" s="108">
        <v>-606808</v>
      </c>
      <c r="S452" s="108">
        <f t="shared" si="95"/>
        <v>864530</v>
      </c>
      <c r="U452" s="108">
        <f t="shared" si="96"/>
        <v>-2300979</v>
      </c>
      <c r="V452" s="108">
        <f t="shared" si="97"/>
        <v>-376471</v>
      </c>
      <c r="W452" s="108">
        <f t="shared" si="98"/>
        <v>-800097</v>
      </c>
      <c r="X452" s="108">
        <f t="shared" si="99"/>
        <v>569081</v>
      </c>
    </row>
    <row r="453" spans="1:25" x14ac:dyDescent="0.25"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S453" s="108"/>
    </row>
    <row r="454" spans="1:25" x14ac:dyDescent="0.25">
      <c r="A454" t="s">
        <v>28</v>
      </c>
      <c r="C454" s="108">
        <f>SUM(C446:C452)</f>
        <v>143103383</v>
      </c>
      <c r="D454" s="108">
        <f>SUM(D446:D452)</f>
        <v>113659553</v>
      </c>
      <c r="E454" s="108"/>
      <c r="F454" s="108">
        <f t="shared" ref="F454:R454" si="101">SUM(F446:F452)</f>
        <v>-75875907</v>
      </c>
      <c r="G454" s="108">
        <f t="shared" si="101"/>
        <v>180887029</v>
      </c>
      <c r="H454" s="108">
        <f t="shared" si="101"/>
        <v>84962989</v>
      </c>
      <c r="I454" s="108">
        <f t="shared" si="101"/>
        <v>-3313670</v>
      </c>
      <c r="J454" s="108">
        <f t="shared" si="101"/>
        <v>-109392324</v>
      </c>
      <c r="K454" s="108">
        <f t="shared" si="101"/>
        <v>153144024</v>
      </c>
      <c r="L454" s="108">
        <f t="shared" si="101"/>
        <v>102458115</v>
      </c>
      <c r="M454" s="108">
        <f t="shared" si="101"/>
        <v>0</v>
      </c>
      <c r="N454" s="108">
        <f t="shared" si="101"/>
        <v>-55637288</v>
      </c>
      <c r="O454" s="108">
        <f t="shared" si="101"/>
        <v>199964851</v>
      </c>
      <c r="P454" s="108">
        <f t="shared" si="101"/>
        <v>169358354</v>
      </c>
      <c r="Q454" s="108">
        <f t="shared" si="101"/>
        <v>0</v>
      </c>
      <c r="R454" s="108">
        <f t="shared" si="101"/>
        <v>-142273129</v>
      </c>
      <c r="S454" s="108">
        <f t="shared" ref="S454" si="102">SUM(S446:S452)</f>
        <v>227050076</v>
      </c>
      <c r="U454" s="108">
        <f>SUM(U446:U452)</f>
        <v>37783646</v>
      </c>
      <c r="V454" s="108">
        <f>SUM(V446:V452)</f>
        <v>-27743005</v>
      </c>
      <c r="W454" s="108">
        <f>SUM(W446:W452)</f>
        <v>46820827</v>
      </c>
      <c r="X454" s="108">
        <f>SUM(X446:X452)</f>
        <v>27085225</v>
      </c>
    </row>
    <row r="456" spans="1:25" x14ac:dyDescent="0.25">
      <c r="C456">
        <v>2020</v>
      </c>
      <c r="D456">
        <f>C456+1</f>
        <v>2021</v>
      </c>
      <c r="E456">
        <f>D456</f>
        <v>2021</v>
      </c>
      <c r="F456">
        <f t="shared" ref="F456:G456" si="103">E456</f>
        <v>2021</v>
      </c>
      <c r="G456">
        <f t="shared" si="103"/>
        <v>2021</v>
      </c>
      <c r="H456">
        <f>D456+1</f>
        <v>2022</v>
      </c>
      <c r="I456">
        <f>H456</f>
        <v>2022</v>
      </c>
      <c r="J456">
        <f t="shared" ref="J456:K456" si="104">I456</f>
        <v>2022</v>
      </c>
      <c r="K456">
        <f t="shared" si="104"/>
        <v>2022</v>
      </c>
      <c r="L456">
        <f>H456+1</f>
        <v>2023</v>
      </c>
      <c r="M456">
        <f>L456</f>
        <v>2023</v>
      </c>
      <c r="N456">
        <f t="shared" ref="N456:O456" si="105">M456</f>
        <v>2023</v>
      </c>
      <c r="O456">
        <f t="shared" si="105"/>
        <v>2023</v>
      </c>
      <c r="P456">
        <v>2024</v>
      </c>
      <c r="Q456">
        <f t="shared" ref="Q456" si="106">P456</f>
        <v>2024</v>
      </c>
      <c r="R456">
        <f t="shared" ref="R456" si="107">Q456</f>
        <v>2024</v>
      </c>
      <c r="S456">
        <f t="shared" ref="S456" si="108">R456</f>
        <v>2024</v>
      </c>
    </row>
    <row r="457" spans="1:25" x14ac:dyDescent="0.25">
      <c r="D457" t="s">
        <v>333</v>
      </c>
      <c r="F457" t="s">
        <v>1379</v>
      </c>
      <c r="H457" t="str">
        <f>D457</f>
        <v>Adiciones</v>
      </c>
      <c r="J457" t="str">
        <f>F457</f>
        <v>Capitalización</v>
      </c>
      <c r="L457" t="str">
        <f>H457</f>
        <v>Adiciones</v>
      </c>
      <c r="N457" t="str">
        <f>J457</f>
        <v>Capitalización</v>
      </c>
      <c r="P457" t="str">
        <f>L457</f>
        <v>Adiciones</v>
      </c>
      <c r="R457" t="str">
        <f>N457</f>
        <v>Capitalización</v>
      </c>
    </row>
    <row r="458" spans="1:25" x14ac:dyDescent="0.25">
      <c r="A458" t="s">
        <v>1384</v>
      </c>
      <c r="B458" t="s">
        <v>1389</v>
      </c>
      <c r="C458" s="108">
        <v>123814733</v>
      </c>
      <c r="D458">
        <v>865809</v>
      </c>
      <c r="G458" s="108">
        <f t="shared" ref="G458" si="109">C458+D458+E458+F458</f>
        <v>124680542</v>
      </c>
      <c r="H458" s="108">
        <v>7062398</v>
      </c>
      <c r="I458" s="108"/>
      <c r="J458" s="108">
        <v>6185870</v>
      </c>
      <c r="K458" s="108">
        <f t="shared" ref="K458" si="110">G458+H458+I458+J458</f>
        <v>137928810</v>
      </c>
      <c r="L458" s="108">
        <v>112919</v>
      </c>
      <c r="M458" s="108"/>
      <c r="N458" s="108">
        <v>17549471</v>
      </c>
      <c r="O458" s="108">
        <f t="shared" ref="O458" si="111">K458+L458+M458+N458</f>
        <v>155591200</v>
      </c>
      <c r="R458" s="108">
        <v>20723611</v>
      </c>
      <c r="S458" s="108">
        <f t="shared" ref="S458" si="112">O458+P458+Q458+R458</f>
        <v>176314811</v>
      </c>
      <c r="U458" s="108">
        <f>G458-C458</f>
        <v>865809</v>
      </c>
      <c r="V458" s="108">
        <f>K458-G458</f>
        <v>13248268</v>
      </c>
      <c r="W458" s="108">
        <f>O458-K458</f>
        <v>17662390</v>
      </c>
      <c r="X458" s="108">
        <f t="shared" ref="X458" si="113">S458-O458</f>
        <v>20723611</v>
      </c>
    </row>
    <row r="460" spans="1:25" x14ac:dyDescent="0.25">
      <c r="A460" t="s">
        <v>28</v>
      </c>
      <c r="U460" s="108">
        <f>U458+U454+U441</f>
        <v>112265134</v>
      </c>
      <c r="V460" s="108">
        <f t="shared" ref="V460:X460" si="114">V458+V454+V441</f>
        <v>76093864</v>
      </c>
      <c r="W460" s="108">
        <f t="shared" si="114"/>
        <v>95956351</v>
      </c>
      <c r="X460" s="108">
        <f t="shared" si="114"/>
        <v>169492926.44</v>
      </c>
    </row>
    <row r="461" spans="1:25" x14ac:dyDescent="0.25">
      <c r="U461" s="108"/>
      <c r="V461" s="108"/>
      <c r="W461" s="108"/>
    </row>
    <row r="462" spans="1:25" x14ac:dyDescent="0.25">
      <c r="A462" s="110" t="s">
        <v>1395</v>
      </c>
    </row>
    <row r="463" spans="1:25" x14ac:dyDescent="0.25">
      <c r="A463" t="s">
        <v>1387</v>
      </c>
      <c r="U463" s="108">
        <f t="shared" ref="U463:X466" si="115">SUMIFS(U$416:U$458,$B$416:$B$458,$A463)</f>
        <v>55438982</v>
      </c>
      <c r="V463" s="108">
        <f t="shared" si="115"/>
        <v>87364880</v>
      </c>
      <c r="W463" s="108">
        <f t="shared" si="115"/>
        <v>26186904</v>
      </c>
      <c r="X463" s="108">
        <f t="shared" si="115"/>
        <v>96394878.500000015</v>
      </c>
      <c r="Y463" s="108"/>
    </row>
    <row r="464" spans="1:25" x14ac:dyDescent="0.25">
      <c r="A464" t="s">
        <v>1388</v>
      </c>
      <c r="U464" s="108">
        <f t="shared" si="115"/>
        <v>10007999</v>
      </c>
      <c r="V464" s="108">
        <f t="shared" si="115"/>
        <v>13828792</v>
      </c>
      <c r="W464" s="108">
        <f t="shared" si="115"/>
        <v>5276130</v>
      </c>
      <c r="X464" s="108">
        <f t="shared" si="115"/>
        <v>21937554.460000001</v>
      </c>
      <c r="Y464" s="108"/>
    </row>
    <row r="465" spans="1:25" x14ac:dyDescent="0.25">
      <c r="A465" t="s">
        <v>1389</v>
      </c>
      <c r="U465" s="108">
        <f t="shared" si="115"/>
        <v>9034507</v>
      </c>
      <c r="V465" s="108">
        <f t="shared" si="115"/>
        <v>13725895</v>
      </c>
      <c r="W465" s="108">
        <f t="shared" si="115"/>
        <v>17672490</v>
      </c>
      <c r="X465" s="108">
        <f t="shared" si="115"/>
        <v>24075268.48</v>
      </c>
      <c r="Y465" s="108"/>
    </row>
    <row r="466" spans="1:25" x14ac:dyDescent="0.25">
      <c r="A466" t="s">
        <v>1390</v>
      </c>
      <c r="U466" s="108">
        <f t="shared" si="115"/>
        <v>0</v>
      </c>
      <c r="V466" s="108">
        <f t="shared" si="115"/>
        <v>0</v>
      </c>
      <c r="W466" s="108">
        <f t="shared" si="115"/>
        <v>0</v>
      </c>
      <c r="X466" s="108">
        <f t="shared" si="115"/>
        <v>0</v>
      </c>
      <c r="Y466" s="108"/>
    </row>
    <row r="467" spans="1:25" x14ac:dyDescent="0.25">
      <c r="A467" s="110" t="s">
        <v>28</v>
      </c>
      <c r="U467" s="111">
        <f>SUM(U463:U466)</f>
        <v>74481488</v>
      </c>
      <c r="V467" s="111">
        <f t="shared" ref="V467:X467" si="116">SUM(V463:V466)</f>
        <v>114919567</v>
      </c>
      <c r="W467" s="111">
        <f t="shared" si="116"/>
        <v>49135524</v>
      </c>
      <c r="X467" s="111">
        <f t="shared" si="116"/>
        <v>142407701.44</v>
      </c>
      <c r="Y467" s="108"/>
    </row>
    <row r="469" spans="1:25" x14ac:dyDescent="0.25">
      <c r="A469" s="110" t="s">
        <v>1396</v>
      </c>
    </row>
    <row r="470" spans="1:25" x14ac:dyDescent="0.25">
      <c r="A470" t="s">
        <v>1387</v>
      </c>
      <c r="U470" s="108">
        <f>U463+U446+U448+U452</f>
        <v>87441326</v>
      </c>
      <c r="V470" s="108">
        <f t="shared" ref="V470:W470" si="117">V463+V446+V448+V452</f>
        <v>62257312</v>
      </c>
      <c r="W470" s="108">
        <f t="shared" si="117"/>
        <v>79130795</v>
      </c>
    </row>
    <row r="471" spans="1:25" x14ac:dyDescent="0.25">
      <c r="A471" t="s">
        <v>1388</v>
      </c>
      <c r="U471" s="108">
        <f>U464+U449+U451</f>
        <v>15135480</v>
      </c>
      <c r="V471" s="108">
        <f t="shared" ref="V471:W471" si="118">V464+V449+V451</f>
        <v>21520858</v>
      </c>
      <c r="W471" s="108">
        <f t="shared" si="118"/>
        <v>6832541</v>
      </c>
    </row>
    <row r="472" spans="1:25" x14ac:dyDescent="0.25">
      <c r="A472" t="s">
        <v>1389</v>
      </c>
      <c r="U472" s="108">
        <f>U465+U447</f>
        <v>8218811</v>
      </c>
      <c r="V472" s="108">
        <f t="shared" ref="V472:W472" si="119">V465+V447</f>
        <v>6712062</v>
      </c>
      <c r="W472" s="108">
        <f t="shared" si="119"/>
        <v>9993015</v>
      </c>
    </row>
    <row r="473" spans="1:25" x14ac:dyDescent="0.25">
      <c r="A473" t="s">
        <v>1390</v>
      </c>
      <c r="U473" s="108"/>
      <c r="V473" s="108"/>
      <c r="W473" s="108">
        <f t="shared" ref="W473" si="120">W466+W450</f>
        <v>0</v>
      </c>
    </row>
    <row r="474" spans="1:25" x14ac:dyDescent="0.25">
      <c r="A474" s="110" t="s">
        <v>28</v>
      </c>
      <c r="U474" s="111">
        <f>SUM(U470:U473)</f>
        <v>110795617</v>
      </c>
      <c r="V474" s="111">
        <f t="shared" ref="V474:W474" si="121">SUM(V470:V473)</f>
        <v>90490232</v>
      </c>
      <c r="W474" s="111">
        <f t="shared" si="121"/>
        <v>95956351</v>
      </c>
    </row>
  </sheetData>
  <sortState xmlns:xlrd2="http://schemas.microsoft.com/office/spreadsheetml/2017/richdata2" ref="A200:D214">
    <sortCondition ref="C200:C214"/>
  </sortState>
  <phoneticPr fontId="87" type="noConversion"/>
  <dataValidations disablePrompts="1" count="1">
    <dataValidation type="list" allowBlank="1" showInputMessage="1" showErrorMessage="1" sqref="B416:B439 B446:B452 B458" xr:uid="{00000000-0002-0000-1000-000000000000}">
      <formula1>$A$463:$A$466</formula1>
    </dataValidation>
  </dataValidations>
  <pageMargins left="0.7" right="0.7" top="0.75" bottom="0.75" header="0.3" footer="0.3"/>
  <pageSetup orientation="portrait" r:id="rId1"/>
  <ignoredErrors>
    <ignoredError sqref="E21" formulaRange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E37"/>
  <sheetViews>
    <sheetView showGridLines="0" zoomScaleNormal="100" workbookViewId="0">
      <selection activeCell="C11" sqref="C11"/>
    </sheetView>
  </sheetViews>
  <sheetFormatPr baseColWidth="10" defaultRowHeight="15" x14ac:dyDescent="0.25"/>
  <cols>
    <col min="1" max="1" width="6.5703125" customWidth="1"/>
    <col min="2" max="2" width="28.28515625" bestFit="1" customWidth="1"/>
    <col min="3" max="3" width="12.7109375" bestFit="1" customWidth="1"/>
    <col min="4" max="4" width="19.5703125" customWidth="1"/>
    <col min="5" max="5" width="20.7109375" customWidth="1"/>
    <col min="6" max="6" width="14.28515625" customWidth="1"/>
  </cols>
  <sheetData>
    <row r="2" spans="2:5" ht="15.75" x14ac:dyDescent="0.25">
      <c r="B2" s="1437" t="s">
        <v>1712</v>
      </c>
    </row>
    <row r="3" spans="2:5" ht="30" x14ac:dyDescent="0.25">
      <c r="C3" s="1436" t="s">
        <v>1688</v>
      </c>
      <c r="D3" s="1436" t="s">
        <v>1701</v>
      </c>
      <c r="E3" s="1436" t="s">
        <v>1702</v>
      </c>
    </row>
    <row r="4" spans="2:5" ht="45" x14ac:dyDescent="0.25">
      <c r="C4" s="860"/>
      <c r="D4" s="1436" t="s">
        <v>1699</v>
      </c>
      <c r="E4" s="1436" t="s">
        <v>1700</v>
      </c>
    </row>
    <row r="5" spans="2:5" x14ac:dyDescent="0.25">
      <c r="B5" s="655" t="s">
        <v>348</v>
      </c>
      <c r="C5" s="655" t="s">
        <v>844</v>
      </c>
      <c r="D5" s="655" t="s">
        <v>844</v>
      </c>
      <c r="E5" s="655" t="s">
        <v>844</v>
      </c>
    </row>
    <row r="6" spans="2:5" x14ac:dyDescent="0.25">
      <c r="B6" s="860" t="s">
        <v>1686</v>
      </c>
      <c r="C6" s="1432">
        <f>SUBTOTAL(9,C7:C9)</f>
        <v>38931930.740000002</v>
      </c>
      <c r="D6" s="1432">
        <v>57282070</v>
      </c>
      <c r="E6" s="1432">
        <v>60880000</v>
      </c>
    </row>
    <row r="7" spans="2:5" x14ac:dyDescent="0.25">
      <c r="B7" s="882" t="s">
        <v>1687</v>
      </c>
      <c r="C7" s="1433">
        <v>17609610.010000002</v>
      </c>
      <c r="D7" s="1433"/>
      <c r="E7" s="1433"/>
    </row>
    <row r="8" spans="2:5" x14ac:dyDescent="0.25">
      <c r="B8" s="882" t="s">
        <v>1689</v>
      </c>
      <c r="C8" s="1433">
        <v>8467023.8000000007</v>
      </c>
      <c r="D8" s="1433"/>
      <c r="E8" s="1433"/>
    </row>
    <row r="9" spans="2:5" x14ac:dyDescent="0.25">
      <c r="B9" s="882" t="s">
        <v>1690</v>
      </c>
      <c r="C9" s="1433">
        <v>12855296.93</v>
      </c>
      <c r="D9" s="1433"/>
      <c r="E9" s="1433"/>
    </row>
    <row r="10" spans="2:5" x14ac:dyDescent="0.25">
      <c r="B10" s="860" t="s">
        <v>1691</v>
      </c>
      <c r="C10" s="1432">
        <f>SUBTOTAL(9,C11:C17)</f>
        <v>17565069.210000001</v>
      </c>
      <c r="D10" s="1432">
        <v>24260000</v>
      </c>
      <c r="E10" s="1432">
        <v>28813000</v>
      </c>
    </row>
    <row r="11" spans="2:5" x14ac:dyDescent="0.25">
      <c r="B11" s="882" t="s">
        <v>1687</v>
      </c>
      <c r="C11" s="1433">
        <v>8697333.75</v>
      </c>
      <c r="D11" s="1433"/>
      <c r="E11" s="1433"/>
    </row>
    <row r="12" spans="2:5" x14ac:dyDescent="0.25">
      <c r="B12" s="882" t="s">
        <v>1692</v>
      </c>
      <c r="C12" s="1433">
        <v>1344821.57</v>
      </c>
      <c r="D12" s="1433"/>
      <c r="E12" s="1433"/>
    </row>
    <row r="13" spans="2:5" x14ac:dyDescent="0.25">
      <c r="B13" s="882" t="s">
        <v>1690</v>
      </c>
      <c r="C13" s="1433">
        <v>3365483</v>
      </c>
      <c r="D13" s="1433"/>
      <c r="E13" s="1433"/>
    </row>
    <row r="14" spans="2:5" x14ac:dyDescent="0.25">
      <c r="B14" s="882" t="s">
        <v>1693</v>
      </c>
      <c r="C14" s="1433">
        <v>592769.07999999996</v>
      </c>
      <c r="D14" s="1433"/>
      <c r="E14" s="1433"/>
    </row>
    <row r="15" spans="2:5" x14ac:dyDescent="0.25">
      <c r="B15" s="882" t="s">
        <v>1694</v>
      </c>
      <c r="C15" s="1433">
        <f>SUBTOTAL(9,C16:C17)</f>
        <v>3564661.81</v>
      </c>
      <c r="D15" s="1433"/>
      <c r="E15" s="1433"/>
    </row>
    <row r="16" spans="2:5" x14ac:dyDescent="0.25">
      <c r="B16" s="1434" t="s">
        <v>1687</v>
      </c>
      <c r="C16" s="1435">
        <v>2777389.1</v>
      </c>
      <c r="D16" s="1435"/>
      <c r="E16" s="1435"/>
    </row>
    <row r="17" spans="2:5" x14ac:dyDescent="0.25">
      <c r="B17" s="1434" t="s">
        <v>1689</v>
      </c>
      <c r="C17" s="1435">
        <v>787272.71</v>
      </c>
      <c r="D17" s="1435"/>
      <c r="E17" s="1435"/>
    </row>
    <row r="18" spans="2:5" x14ac:dyDescent="0.25">
      <c r="B18" s="860" t="s">
        <v>1695</v>
      </c>
      <c r="C18" s="1432">
        <f>SUBTOTAL(9,C19:C25)</f>
        <v>25333067.670000002</v>
      </c>
      <c r="D18" s="1432">
        <v>34966800</v>
      </c>
      <c r="E18" s="1432">
        <v>40525000</v>
      </c>
    </row>
    <row r="19" spans="2:5" x14ac:dyDescent="0.25">
      <c r="B19" s="882" t="s">
        <v>1687</v>
      </c>
      <c r="C19" s="1433">
        <v>12570542.1</v>
      </c>
      <c r="D19" s="1433"/>
      <c r="E19" s="1433"/>
    </row>
    <row r="20" spans="2:5" x14ac:dyDescent="0.25">
      <c r="B20" s="882" t="s">
        <v>1692</v>
      </c>
      <c r="C20" s="1433">
        <v>1731557.59</v>
      </c>
      <c r="D20" s="1433"/>
      <c r="E20" s="1433"/>
    </row>
    <row r="21" spans="2:5" x14ac:dyDescent="0.25">
      <c r="B21" s="882" t="s">
        <v>1690</v>
      </c>
      <c r="C21" s="1433">
        <v>7796117.2300000004</v>
      </c>
      <c r="D21" s="1433"/>
      <c r="E21" s="1433"/>
    </row>
    <row r="22" spans="2:5" x14ac:dyDescent="0.25">
      <c r="B22" s="882" t="s">
        <v>1693</v>
      </c>
      <c r="C22" s="1433">
        <v>760787.99</v>
      </c>
      <c r="D22" s="1433"/>
      <c r="E22" s="1433"/>
    </row>
    <row r="23" spans="2:5" x14ac:dyDescent="0.25">
      <c r="B23" s="882" t="s">
        <v>1694</v>
      </c>
      <c r="C23" s="1433">
        <f>SUBTOTAL(9,C24:C25)</f>
        <v>2474062.7599999998</v>
      </c>
      <c r="D23" s="1433"/>
      <c r="E23" s="1433"/>
    </row>
    <row r="24" spans="2:5" x14ac:dyDescent="0.25">
      <c r="B24" s="1434" t="s">
        <v>1687</v>
      </c>
      <c r="C24" s="1435">
        <v>1166358.1200000001</v>
      </c>
      <c r="D24" s="1435"/>
      <c r="E24" s="1435"/>
    </row>
    <row r="25" spans="2:5" x14ac:dyDescent="0.25">
      <c r="B25" s="1434" t="s">
        <v>1689</v>
      </c>
      <c r="C25" s="1435">
        <v>1307704.6399999999</v>
      </c>
      <c r="D25" s="1435"/>
      <c r="E25" s="1435"/>
    </row>
    <row r="26" spans="2:5" x14ac:dyDescent="0.25">
      <c r="B26" s="860" t="s">
        <v>1696</v>
      </c>
      <c r="C26" s="1432">
        <f>SUBTOTAL(9,C27:C28)</f>
        <v>1020399.67</v>
      </c>
      <c r="D26" s="1432"/>
      <c r="E26" s="1432"/>
    </row>
    <row r="27" spans="2:5" x14ac:dyDescent="0.25">
      <c r="B27" s="882" t="s">
        <v>1697</v>
      </c>
      <c r="C27" s="1433">
        <v>294142.38</v>
      </c>
      <c r="D27" s="1433"/>
      <c r="E27" s="1433"/>
    </row>
    <row r="28" spans="2:5" x14ac:dyDescent="0.25">
      <c r="B28" s="882" t="s">
        <v>1698</v>
      </c>
      <c r="C28" s="1433">
        <v>726257.29</v>
      </c>
      <c r="D28" s="1433"/>
      <c r="E28" s="1433"/>
    </row>
    <row r="29" spans="2:5" x14ac:dyDescent="0.25">
      <c r="B29" s="860" t="s">
        <v>896</v>
      </c>
      <c r="C29" s="1433">
        <v>5799532.71</v>
      </c>
      <c r="D29" s="1433"/>
      <c r="E29" s="1433"/>
    </row>
    <row r="30" spans="2:5" x14ac:dyDescent="0.25">
      <c r="B30" s="860" t="s">
        <v>28</v>
      </c>
      <c r="C30" s="1432">
        <f>C6+C10+C18+C26+C29</f>
        <v>88650000</v>
      </c>
      <c r="D30" s="1432">
        <f>D6+D10+D18+D26+D29</f>
        <v>116508870</v>
      </c>
      <c r="E30" s="1432">
        <f>E6+E10+E18+E26+E29</f>
        <v>130218000</v>
      </c>
    </row>
    <row r="31" spans="2:5" x14ac:dyDescent="0.25">
      <c r="C31" s="645"/>
      <c r="D31" s="645"/>
      <c r="E31" s="645"/>
    </row>
    <row r="32" spans="2:5" x14ac:dyDescent="0.25">
      <c r="C32" s="645"/>
      <c r="D32" s="645"/>
      <c r="E32" s="645"/>
    </row>
    <row r="33" spans="3:5" x14ac:dyDescent="0.25">
      <c r="C33" s="645"/>
      <c r="D33" s="645"/>
      <c r="E33" s="645"/>
    </row>
    <row r="34" spans="3:5" x14ac:dyDescent="0.25">
      <c r="C34" s="645"/>
      <c r="D34" s="645"/>
      <c r="E34" s="645"/>
    </row>
    <row r="35" spans="3:5" x14ac:dyDescent="0.25">
      <c r="C35" s="645"/>
      <c r="D35" s="645"/>
      <c r="E35" s="645"/>
    </row>
    <row r="36" spans="3:5" x14ac:dyDescent="0.25">
      <c r="C36" s="645"/>
      <c r="D36" s="645"/>
      <c r="E36" s="645"/>
    </row>
    <row r="37" spans="3:5" x14ac:dyDescent="0.25">
      <c r="C37" s="645"/>
      <c r="D37" s="645"/>
      <c r="E37" s="645"/>
    </row>
  </sheetData>
  <pageMargins left="0.7" right="0.7" top="0.75" bottom="0.75" header="0.3" footer="0.3"/>
  <pageSetup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X130"/>
  <sheetViews>
    <sheetView topLeftCell="BE1" zoomScaleNormal="100" workbookViewId="0">
      <pane ySplit="9" topLeftCell="A28" activePane="bottomLeft" state="frozen"/>
      <selection pane="bottomLeft" activeCell="BE39" sqref="BE39"/>
    </sheetView>
  </sheetViews>
  <sheetFormatPr baseColWidth="10" defaultColWidth="11.42578125" defaultRowHeight="15" x14ac:dyDescent="0.25"/>
  <cols>
    <col min="1" max="1" width="3.140625" style="893" customWidth="1"/>
    <col min="2" max="2" width="52.28515625" style="893" customWidth="1"/>
    <col min="3" max="3" width="12" style="893" bestFit="1" customWidth="1"/>
    <col min="4" max="4" width="15.140625" style="893" bestFit="1" customWidth="1"/>
    <col min="5" max="5" width="12.42578125" style="893" bestFit="1" customWidth="1"/>
    <col min="6" max="6" width="6.42578125" style="893" customWidth="1"/>
    <col min="7" max="7" width="15" style="893" customWidth="1"/>
    <col min="8" max="8" width="11" style="893" bestFit="1" customWidth="1"/>
    <col min="9" max="9" width="50.42578125" style="893" customWidth="1"/>
    <col min="10" max="12" width="18.28515625" style="893" customWidth="1"/>
    <col min="13" max="13" width="3.85546875" style="893" customWidth="1"/>
    <col min="14" max="15" width="13.7109375" style="893" customWidth="1"/>
    <col min="16" max="16" width="54.42578125" style="893" customWidth="1"/>
    <col min="17" max="19" width="16.28515625" style="893" customWidth="1"/>
    <col min="20" max="20" width="4.28515625" style="893" customWidth="1"/>
    <col min="21" max="21" width="14.42578125" style="893" customWidth="1"/>
    <col min="22" max="22" width="14.28515625" style="893" customWidth="1"/>
    <col min="23" max="23" width="52.42578125" style="893" customWidth="1"/>
    <col min="24" max="26" width="14.7109375" style="893" customWidth="1"/>
    <col min="27" max="27" width="5.85546875" style="893" customWidth="1"/>
    <col min="28" max="28" width="13.7109375" style="893" customWidth="1"/>
    <col min="29" max="29" width="14.7109375" style="893" customWidth="1"/>
    <col min="30" max="30" width="56.42578125" style="893" customWidth="1"/>
    <col min="31" max="33" width="14.5703125" style="893" customWidth="1"/>
    <col min="34" max="34" width="10.7109375" style="893" bestFit="1" customWidth="1"/>
    <col min="35" max="35" width="12.42578125" style="893" bestFit="1" customWidth="1"/>
    <col min="36" max="37" width="13.85546875" style="893" customWidth="1"/>
    <col min="38" max="38" width="59.42578125" style="893" customWidth="1"/>
    <col min="39" max="41" width="18.140625" style="893" customWidth="1"/>
    <col min="42" max="42" width="5.42578125" style="893" customWidth="1"/>
    <col min="43" max="44" width="13.7109375" style="893" customWidth="1"/>
    <col min="45" max="45" width="53.28515625" style="893" customWidth="1"/>
    <col min="46" max="48" width="16" style="893" customWidth="1"/>
    <col min="49" max="49" width="6.85546875" style="893" customWidth="1"/>
    <col min="50" max="51" width="13.42578125" style="893" customWidth="1"/>
    <col min="52" max="52" width="54.7109375" style="893" customWidth="1"/>
    <col min="53" max="55" width="15" style="893" customWidth="1"/>
    <col min="56" max="56" width="7.28515625" style="893" customWidth="1"/>
    <col min="57" max="57" width="13.42578125" style="893" customWidth="1"/>
    <col min="58" max="58" width="11.5703125" style="893" customWidth="1"/>
    <col min="59" max="59" width="83.5703125" style="893" bestFit="1" customWidth="1"/>
    <col min="60" max="62" width="15.28515625" style="893" customWidth="1"/>
    <col min="63" max="63" width="10.7109375" style="893" bestFit="1" customWidth="1"/>
    <col min="64" max="64" width="14.42578125" style="893" bestFit="1" customWidth="1"/>
    <col min="65" max="71" width="11.42578125" style="893"/>
    <col min="72" max="72" width="14.42578125" style="893" bestFit="1" customWidth="1"/>
    <col min="73" max="16384" width="11.42578125" style="893"/>
  </cols>
  <sheetData>
    <row r="1" spans="2:76" x14ac:dyDescent="0.25">
      <c r="B1" s="893" t="s">
        <v>1192</v>
      </c>
      <c r="BO1" s="1132" t="s">
        <v>301</v>
      </c>
      <c r="BP1" s="1132" t="s">
        <v>308</v>
      </c>
    </row>
    <row r="2" spans="2:76" x14ac:dyDescent="0.25">
      <c r="B2" s="893" t="s">
        <v>1193</v>
      </c>
      <c r="G2" s="894" t="s">
        <v>1194</v>
      </c>
      <c r="J2" s="895" t="s">
        <v>1195</v>
      </c>
      <c r="BE2" s="899"/>
      <c r="BO2" s="1132" t="s">
        <v>318</v>
      </c>
      <c r="BP2" s="1132" t="s">
        <v>309</v>
      </c>
    </row>
    <row r="3" spans="2:76" x14ac:dyDescent="0.25">
      <c r="B3" s="893" t="s">
        <v>1196</v>
      </c>
      <c r="BO3" s="1132" t="s">
        <v>31</v>
      </c>
      <c r="BP3" s="1132" t="s">
        <v>310</v>
      </c>
    </row>
    <row r="5" spans="2:76" x14ac:dyDescent="0.25">
      <c r="B5" s="893">
        <v>2016</v>
      </c>
      <c r="I5" s="893">
        <v>2017</v>
      </c>
      <c r="P5" s="893">
        <v>2018</v>
      </c>
      <c r="W5" s="893">
        <v>2019</v>
      </c>
      <c r="AD5" s="893">
        <v>2020</v>
      </c>
      <c r="AL5" s="893">
        <v>2021</v>
      </c>
      <c r="AS5" s="893">
        <v>2022</v>
      </c>
      <c r="AZ5" s="893">
        <v>2023</v>
      </c>
      <c r="BG5" s="893">
        <v>2024</v>
      </c>
    </row>
    <row r="6" spans="2:76" x14ac:dyDescent="0.25">
      <c r="G6" s="893" t="s">
        <v>1197</v>
      </c>
      <c r="N6" s="893" t="s">
        <v>1198</v>
      </c>
      <c r="U6" s="893" t="s">
        <v>1199</v>
      </c>
      <c r="AB6" s="893" t="s">
        <v>1200</v>
      </c>
      <c r="AJ6" s="893" t="s">
        <v>1304</v>
      </c>
      <c r="AQ6" s="893" t="s">
        <v>1306</v>
      </c>
      <c r="AX6" s="893" t="s">
        <v>1307</v>
      </c>
      <c r="BE6" s="893" t="s">
        <v>1404</v>
      </c>
    </row>
    <row r="7" spans="2:76" s="896" customFormat="1" x14ac:dyDescent="0.25">
      <c r="B7" s="896" t="s">
        <v>1201</v>
      </c>
      <c r="C7" s="896" t="s">
        <v>1202</v>
      </c>
      <c r="D7" s="896" t="s">
        <v>1203</v>
      </c>
      <c r="E7" s="896" t="s">
        <v>294</v>
      </c>
      <c r="I7" s="896" t="s">
        <v>1201</v>
      </c>
      <c r="J7" s="896" t="s">
        <v>1202</v>
      </c>
      <c r="K7" s="896" t="s">
        <v>1203</v>
      </c>
      <c r="L7" s="896" t="s">
        <v>294</v>
      </c>
      <c r="P7" s="896" t="s">
        <v>1201</v>
      </c>
      <c r="Q7" s="896" t="s">
        <v>1202</v>
      </c>
      <c r="R7" s="896" t="s">
        <v>1203</v>
      </c>
      <c r="S7" s="896" t="s">
        <v>294</v>
      </c>
      <c r="W7" s="896" t="s">
        <v>1201</v>
      </c>
      <c r="X7" s="896" t="s">
        <v>1202</v>
      </c>
      <c r="Y7" s="896" t="s">
        <v>1203</v>
      </c>
      <c r="Z7" s="896" t="s">
        <v>294</v>
      </c>
      <c r="AD7" s="896" t="s">
        <v>1201</v>
      </c>
      <c r="AE7" s="896" t="s">
        <v>1202</v>
      </c>
      <c r="AF7" s="896" t="s">
        <v>1203</v>
      </c>
      <c r="AG7" s="896" t="s">
        <v>294</v>
      </c>
    </row>
    <row r="8" spans="2:76" s="897" customFormat="1" x14ac:dyDescent="0.25">
      <c r="B8" s="897" t="s">
        <v>752</v>
      </c>
      <c r="C8" s="898">
        <v>397904643.29000098</v>
      </c>
      <c r="D8" s="898">
        <v>178033378.84227166</v>
      </c>
      <c r="E8" s="898">
        <v>219871264.44772902</v>
      </c>
      <c r="G8" s="898">
        <f>+J8-C8</f>
        <v>376713722.70999902</v>
      </c>
      <c r="H8" s="898">
        <f>+K8-D8</f>
        <v>18301483.157728344</v>
      </c>
      <c r="I8" s="897" t="s">
        <v>752</v>
      </c>
      <c r="J8" s="898">
        <v>774618366</v>
      </c>
      <c r="K8" s="898">
        <v>196334862</v>
      </c>
      <c r="L8" s="898">
        <v>578283504</v>
      </c>
      <c r="N8" s="898">
        <f>+Q8-J8</f>
        <v>78497848</v>
      </c>
      <c r="O8" s="898">
        <f>+R8-K8</f>
        <v>24653007</v>
      </c>
      <c r="P8" s="897" t="s">
        <v>752</v>
      </c>
      <c r="Q8" s="898">
        <v>853116214</v>
      </c>
      <c r="R8" s="898">
        <v>220987869</v>
      </c>
      <c r="S8" s="898">
        <v>632128345</v>
      </c>
      <c r="U8" s="898">
        <f>+X8-Q8</f>
        <v>66932215</v>
      </c>
      <c r="V8" s="898">
        <f>+Y8-R8</f>
        <v>24956035</v>
      </c>
      <c r="W8" s="897" t="s">
        <v>752</v>
      </c>
      <c r="X8" s="898">
        <v>920048429</v>
      </c>
      <c r="Y8" s="898">
        <v>245943904</v>
      </c>
      <c r="Z8" s="898">
        <v>674104525</v>
      </c>
      <c r="AB8" s="898">
        <f>+AE8-X8</f>
        <v>40406673</v>
      </c>
      <c r="AC8" s="898">
        <f>+AF8-Y8</f>
        <v>24083533</v>
      </c>
      <c r="AD8" s="897" t="s">
        <v>752</v>
      </c>
      <c r="AE8" s="898">
        <v>960455102</v>
      </c>
      <c r="AF8" s="898">
        <v>270027437</v>
      </c>
      <c r="AG8" s="898">
        <v>690427665</v>
      </c>
      <c r="AJ8" s="898">
        <f>AM8-AE8</f>
        <v>66710001.629997373</v>
      </c>
      <c r="AK8" s="898">
        <f t="shared" ref="AK8" si="0">AN8-AF8</f>
        <v>27012422.890000463</v>
      </c>
      <c r="AL8" s="924" t="s">
        <v>752</v>
      </c>
      <c r="AM8" s="925">
        <f>+AM10+AM53</f>
        <v>1027165103.6299974</v>
      </c>
      <c r="AN8" s="925">
        <f>+AN10+AN53</f>
        <v>297039859.89000046</v>
      </c>
      <c r="AO8" s="925">
        <f>+AO10+AO53</f>
        <v>730125243.73999679</v>
      </c>
      <c r="AP8" s="926"/>
      <c r="AQ8" s="898">
        <f t="shared" ref="AQ8" si="1">AT8-AM8</f>
        <v>106427833.70999968</v>
      </c>
      <c r="AR8" s="898">
        <f t="shared" ref="AR8" si="2">AU8-AN8</f>
        <v>28198167.60999918</v>
      </c>
      <c r="AS8" s="924" t="s">
        <v>752</v>
      </c>
      <c r="AT8" s="925">
        <f>+AT10+AT53</f>
        <v>1133592937.3399971</v>
      </c>
      <c r="AU8" s="925">
        <f>+AU10+AU53</f>
        <v>325238027.49999964</v>
      </c>
      <c r="AV8" s="925">
        <f>+AV10+AV53</f>
        <v>808354909.83999741</v>
      </c>
      <c r="AW8" s="926"/>
      <c r="AX8" s="898">
        <f t="shared" ref="AX8" si="3">BA8-AT8</f>
        <v>14861190.24000001</v>
      </c>
      <c r="AY8" s="898">
        <f t="shared" ref="AY8" si="4">BB8-AU8</f>
        <v>32089813.539999962</v>
      </c>
      <c r="AZ8" s="924" t="s">
        <v>752</v>
      </c>
      <c r="BA8" s="925">
        <f>+BA10+BA53</f>
        <v>1148454127.5799971</v>
      </c>
      <c r="BB8" s="925">
        <f>+BB10+BB53</f>
        <v>357327841.0399996</v>
      </c>
      <c r="BC8" s="925">
        <f>+BC10+BC53</f>
        <v>791126286.53999758</v>
      </c>
      <c r="BD8" s="926"/>
      <c r="BE8" s="898">
        <f t="shared" ref="BE8" si="5">BH8-BA8</f>
        <v>127381413.63999987</v>
      </c>
      <c r="BF8" s="898">
        <f t="shared" ref="BF8" si="6">BI8-BB8</f>
        <v>34275827.030000091</v>
      </c>
      <c r="BG8" s="924" t="s">
        <v>752</v>
      </c>
      <c r="BH8" s="944">
        <f>+BH10+BH53</f>
        <v>1275835541.2199969</v>
      </c>
      <c r="BI8" s="944">
        <f>+BI10+BI53</f>
        <v>391603668.06999969</v>
      </c>
      <c r="BJ8" s="944">
        <f>+BJ10+BJ53</f>
        <v>884231873.14999723</v>
      </c>
      <c r="BK8" s="926"/>
    </row>
    <row r="9" spans="2:76" s="897" customFormat="1" x14ac:dyDescent="0.25">
      <c r="C9" s="898"/>
      <c r="D9" s="898"/>
      <c r="E9" s="898"/>
      <c r="G9" s="898">
        <f>+G8-G56-G73-G75-G81</f>
        <v>341588013.46999902</v>
      </c>
      <c r="H9" s="898">
        <f>+H8-H56-H73-H75-H81</f>
        <v>15448790.777728345</v>
      </c>
      <c r="I9" s="897" t="s">
        <v>1204</v>
      </c>
      <c r="J9" s="898"/>
      <c r="K9" s="898"/>
      <c r="L9" s="898"/>
      <c r="N9" s="898">
        <f>+N8-N56-N73-N75-N81</f>
        <v>78497848</v>
      </c>
      <c r="O9" s="898">
        <f>+O8-O56-O73-O75-O81</f>
        <v>22833267</v>
      </c>
      <c r="P9" s="897" t="s">
        <v>1205</v>
      </c>
      <c r="Q9" s="898"/>
      <c r="R9" s="898"/>
      <c r="S9" s="898"/>
      <c r="U9" s="898">
        <f>+U8-U56-U73-U75-U81</f>
        <v>66691419</v>
      </c>
      <c r="V9" s="898">
        <f>+V8-V56-V73-V75-V81</f>
        <v>23144265</v>
      </c>
      <c r="X9" s="898"/>
      <c r="Y9" s="898"/>
      <c r="Z9" s="898"/>
      <c r="AB9" s="898">
        <f>+SUMIF(AA10:AA87,"",AB10:AB87)</f>
        <v>34002309</v>
      </c>
      <c r="AC9" s="898">
        <f>+AC8-AC56-AC73-AC75-AC81-AC57-AC68</f>
        <v>22437002</v>
      </c>
      <c r="AE9" s="898"/>
      <c r="AF9" s="898"/>
      <c r="AG9" s="898"/>
    </row>
    <row r="10" spans="2:76" x14ac:dyDescent="0.25">
      <c r="B10" s="893" t="s">
        <v>935</v>
      </c>
      <c r="C10" s="899">
        <v>222822621.78000075</v>
      </c>
      <c r="D10" s="899">
        <v>99077846.291779757</v>
      </c>
      <c r="E10" s="899">
        <v>123744775.48822096</v>
      </c>
      <c r="G10" s="899">
        <f>+J10-C10</f>
        <v>289815485.21999925</v>
      </c>
      <c r="H10" s="899">
        <f>+K10-D10</f>
        <v>9340035.7082202435</v>
      </c>
      <c r="I10" s="893" t="s">
        <v>935</v>
      </c>
      <c r="J10" s="899">
        <v>512638107</v>
      </c>
      <c r="K10" s="899">
        <v>108417882</v>
      </c>
      <c r="L10" s="899">
        <v>404220225</v>
      </c>
      <c r="N10" s="899">
        <f t="shared" ref="N10:O11" si="7">+Q10-J10</f>
        <v>74303597</v>
      </c>
      <c r="O10" s="899">
        <f t="shared" si="7"/>
        <v>15258169</v>
      </c>
      <c r="P10" s="893" t="s">
        <v>935</v>
      </c>
      <c r="Q10" s="899">
        <v>586941704</v>
      </c>
      <c r="R10" s="899">
        <v>123676051</v>
      </c>
      <c r="S10" s="899">
        <v>463265653</v>
      </c>
      <c r="U10" s="899">
        <f t="shared" ref="U10:V11" si="8">+X10-Q10</f>
        <v>37674631</v>
      </c>
      <c r="V10" s="899">
        <f t="shared" si="8"/>
        <v>14621569</v>
      </c>
      <c r="W10" s="893" t="s">
        <v>935</v>
      </c>
      <c r="X10" s="899">
        <v>624616335</v>
      </c>
      <c r="Y10" s="899">
        <v>138297620</v>
      </c>
      <c r="Z10" s="899">
        <v>486318715</v>
      </c>
      <c r="AA10" s="893" t="s">
        <v>766</v>
      </c>
      <c r="AB10" s="899">
        <f t="shared" ref="AB10:AC11" si="9">+AE10-X10</f>
        <v>20107124</v>
      </c>
      <c r="AC10" s="899">
        <f t="shared" si="9"/>
        <v>14153662</v>
      </c>
      <c r="AD10" s="893" t="s">
        <v>935</v>
      </c>
      <c r="AE10" s="899">
        <v>644723459</v>
      </c>
      <c r="AF10" s="899">
        <v>152451282</v>
      </c>
      <c r="AG10" s="899">
        <v>492272178</v>
      </c>
      <c r="AJ10" s="899">
        <f>AM10-AE10</f>
        <v>1834140.7299973965</v>
      </c>
      <c r="AK10" s="899">
        <f t="shared" ref="AK10:AK11" si="10">AN10-AF10</f>
        <v>16814181.770000428</v>
      </c>
      <c r="AL10" s="927" t="s">
        <v>935</v>
      </c>
      <c r="AM10" s="900">
        <f>+AM11+AM42</f>
        <v>646557599.7299974</v>
      </c>
      <c r="AN10" s="900">
        <f>+AN11+AN42</f>
        <v>169265463.77000043</v>
      </c>
      <c r="AO10" s="901">
        <f>+AO11+AO42</f>
        <v>477292135.95999688</v>
      </c>
      <c r="AP10" s="926"/>
      <c r="AQ10" s="899">
        <f t="shared" ref="AQ10:AQ11" si="11">AT10-AM10</f>
        <v>54227311.810000181</v>
      </c>
      <c r="AR10" s="899">
        <f t="shared" ref="AR10:AR11" si="12">AU10-AN10</f>
        <v>15664889.069999129</v>
      </c>
      <c r="AS10" s="927" t="s">
        <v>935</v>
      </c>
      <c r="AT10" s="900">
        <f>+AT11+AT42</f>
        <v>700784911.53999758</v>
      </c>
      <c r="AU10" s="900">
        <f>+AU11+AU42</f>
        <v>184930352.83999956</v>
      </c>
      <c r="AV10" s="901">
        <f>+AV11+AV42</f>
        <v>515854558.69999802</v>
      </c>
      <c r="AW10" s="926"/>
      <c r="AX10" s="899">
        <f t="shared" ref="AX10:AX11" si="13">BA10-AT10</f>
        <v>3689674.2200000286</v>
      </c>
      <c r="AY10" s="899">
        <f t="shared" ref="AY10:AY11" si="14">BB10-AU10</f>
        <v>17684489.099999845</v>
      </c>
      <c r="AZ10" s="927" t="s">
        <v>935</v>
      </c>
      <c r="BA10" s="900">
        <f>+BA11+BA42</f>
        <v>704474585.75999761</v>
      </c>
      <c r="BB10" s="900">
        <f>+BB11+BB42</f>
        <v>202614841.9399994</v>
      </c>
      <c r="BC10" s="901">
        <f>+BC11+BC42</f>
        <v>501859743.81999826</v>
      </c>
      <c r="BD10" s="926"/>
      <c r="BE10" s="899">
        <f t="shared" ref="BE10:BE11" si="15">BH10-BA10</f>
        <v>71107192.74000001</v>
      </c>
      <c r="BF10" s="899">
        <f t="shared" ref="BF10:BF11" si="16">BI10-BB10</f>
        <v>18504963.780000329</v>
      </c>
      <c r="BG10" s="927" t="s">
        <v>935</v>
      </c>
      <c r="BH10" s="913">
        <f>+BH11+BH42</f>
        <v>775581778.49999762</v>
      </c>
      <c r="BI10" s="913">
        <f>+BI11+BI42</f>
        <v>221119805.71999973</v>
      </c>
      <c r="BJ10" s="913">
        <f>+BJ11+BJ42</f>
        <v>554461972.77999794</v>
      </c>
      <c r="BK10" s="926"/>
    </row>
    <row r="11" spans="2:76" x14ac:dyDescent="0.25">
      <c r="B11" s="893" t="s">
        <v>941</v>
      </c>
      <c r="C11" s="899">
        <v>200312803.39000073</v>
      </c>
      <c r="D11" s="899">
        <v>89461322.687722325</v>
      </c>
      <c r="E11" s="899">
        <v>110851480.70227839</v>
      </c>
      <c r="G11" s="899">
        <f t="shared" ref="G11:H11" si="17">+J11-C11</f>
        <v>292829624.6099993</v>
      </c>
      <c r="H11" s="899">
        <f t="shared" si="17"/>
        <v>8940008.3122776747</v>
      </c>
      <c r="I11" s="893" t="s">
        <v>941</v>
      </c>
      <c r="J11" s="899">
        <v>493142428</v>
      </c>
      <c r="K11" s="899">
        <v>98401331</v>
      </c>
      <c r="L11" s="899">
        <v>394741097</v>
      </c>
      <c r="N11" s="899">
        <f t="shared" si="7"/>
        <v>74303597</v>
      </c>
      <c r="O11" s="899">
        <f t="shared" si="7"/>
        <v>14858141</v>
      </c>
      <c r="P11" s="893" t="s">
        <v>941</v>
      </c>
      <c r="Q11" s="899">
        <v>567446025</v>
      </c>
      <c r="R11" s="899">
        <v>113259472</v>
      </c>
      <c r="S11" s="899">
        <v>454186553</v>
      </c>
      <c r="U11" s="899">
        <f t="shared" si="8"/>
        <v>37674631</v>
      </c>
      <c r="V11" s="899">
        <f t="shared" si="8"/>
        <v>14221542</v>
      </c>
      <c r="W11" s="893" t="s">
        <v>941</v>
      </c>
      <c r="X11" s="899">
        <v>605120656</v>
      </c>
      <c r="Y11" s="899">
        <v>127481014</v>
      </c>
      <c r="Z11" s="899">
        <v>477639642</v>
      </c>
      <c r="AA11" s="893" t="s">
        <v>766</v>
      </c>
      <c r="AB11" s="899">
        <f t="shared" si="9"/>
        <v>13566175</v>
      </c>
      <c r="AC11" s="899">
        <f t="shared" si="9"/>
        <v>16080752</v>
      </c>
      <c r="AD11" s="893" t="s">
        <v>941</v>
      </c>
      <c r="AE11" s="899">
        <v>618686831</v>
      </c>
      <c r="AF11" s="899">
        <v>143561766</v>
      </c>
      <c r="AG11" s="899">
        <v>475125066</v>
      </c>
      <c r="AJ11" s="899">
        <f>AM11-AE11</f>
        <v>868811.77999734879</v>
      </c>
      <c r="AK11" s="899">
        <f t="shared" si="10"/>
        <v>15389949.660000414</v>
      </c>
      <c r="AL11" s="928" t="s">
        <v>941</v>
      </c>
      <c r="AM11" s="902">
        <f>SUM(AM13:AM40)</f>
        <v>619555642.77999735</v>
      </c>
      <c r="AN11" s="902">
        <f>SUM(AN13:AN40)</f>
        <v>158951715.66000041</v>
      </c>
      <c r="AO11" s="902">
        <f>SUM(AO13:AO40)</f>
        <v>460603927.11999691</v>
      </c>
      <c r="AP11" s="926"/>
      <c r="AQ11" s="899">
        <f t="shared" si="11"/>
        <v>54040896.350000262</v>
      </c>
      <c r="AR11" s="899">
        <f t="shared" si="12"/>
        <v>14939605.339999139</v>
      </c>
      <c r="AS11" s="928" t="s">
        <v>941</v>
      </c>
      <c r="AT11" s="902">
        <f>SUM(AT12:AT40)</f>
        <v>673596539.12999761</v>
      </c>
      <c r="AU11" s="902">
        <f t="shared" ref="AU11:AV11" si="18">SUM(AU12:AU40)</f>
        <v>173891320.99999955</v>
      </c>
      <c r="AV11" s="902">
        <f t="shared" si="18"/>
        <v>499705218.12999803</v>
      </c>
      <c r="AW11" s="926"/>
      <c r="AX11" s="899">
        <f t="shared" si="13"/>
        <v>3689674.2200000286</v>
      </c>
      <c r="AY11" s="899">
        <f t="shared" si="14"/>
        <v>17085686.689999849</v>
      </c>
      <c r="AZ11" s="928" t="s">
        <v>941</v>
      </c>
      <c r="BA11" s="902">
        <f>SUM(BA12:BA40)</f>
        <v>677286213.34999764</v>
      </c>
      <c r="BB11" s="902">
        <f t="shared" ref="BB11:BC11" si="19">SUM(BB12:BB40)</f>
        <v>190977007.6899994</v>
      </c>
      <c r="BC11" s="902">
        <f t="shared" si="19"/>
        <v>486309205.65999824</v>
      </c>
      <c r="BD11" s="926"/>
      <c r="BE11" s="899">
        <f t="shared" si="15"/>
        <v>57636680.110000014</v>
      </c>
      <c r="BF11" s="899">
        <f t="shared" si="16"/>
        <v>17870788.680000335</v>
      </c>
      <c r="BG11" s="928" t="s">
        <v>941</v>
      </c>
      <c r="BH11" s="910">
        <f>SUM(BH12:BH41)</f>
        <v>734922893.45999765</v>
      </c>
      <c r="BI11" s="910">
        <f>SUM(BI12:BI41)</f>
        <v>208847796.36999974</v>
      </c>
      <c r="BJ11" s="910">
        <f>SUM(BJ12:BJ41)</f>
        <v>526075097.08999789</v>
      </c>
      <c r="BK11" s="926"/>
    </row>
    <row r="12" spans="2:76" x14ac:dyDescent="0.25">
      <c r="AI12" s="899">
        <f>AJ12+AQ12+AX12+BE12</f>
        <v>54749088.240000002</v>
      </c>
      <c r="AJ12" s="897"/>
      <c r="AQ12" s="903">
        <f>AT12-AM12</f>
        <v>54420914.310000002</v>
      </c>
      <c r="AR12" s="903">
        <f>AU12-AN12</f>
        <v>1594957.3600000013</v>
      </c>
      <c r="AS12" s="895" t="s">
        <v>1305</v>
      </c>
      <c r="AT12" s="904">
        <v>54420914.310000002</v>
      </c>
      <c r="AU12" s="904">
        <v>1594957.3600000013</v>
      </c>
      <c r="AV12" s="905">
        <f t="shared" ref="AV12:AV40" si="20">+AT12-AU12</f>
        <v>52825956.950000003</v>
      </c>
      <c r="AW12" s="926"/>
      <c r="AX12" s="899">
        <f>BA12-AT12</f>
        <v>0</v>
      </c>
      <c r="AY12" s="899">
        <f t="shared" ref="AY12:AY40" si="21">BB12-AU12</f>
        <v>1594955.9699999895</v>
      </c>
      <c r="AZ12" s="893" t="s">
        <v>1305</v>
      </c>
      <c r="BA12" s="906">
        <v>54420914.310000002</v>
      </c>
      <c r="BB12" s="906">
        <v>3189913.3299999908</v>
      </c>
      <c r="BC12" s="907">
        <f t="shared" ref="BC12:BC40" si="22">+BA12-BB12</f>
        <v>51231000.980000012</v>
      </c>
      <c r="BD12" s="926" t="s">
        <v>943</v>
      </c>
      <c r="BE12" s="1546">
        <f t="shared" ref="BE12:BE41" si="23">BH12-BA12</f>
        <v>328173.9299999997</v>
      </c>
      <c r="BF12" s="899">
        <f t="shared" ref="BF12:BF41" si="24">BI12-BB12</f>
        <v>1623085.0400000121</v>
      </c>
      <c r="BG12" s="893" t="s">
        <v>1305</v>
      </c>
      <c r="BH12" s="909">
        <v>54749088.240000002</v>
      </c>
      <c r="BI12" s="899">
        <v>4812998.3700000029</v>
      </c>
      <c r="BJ12" s="909">
        <v>49936089.869999997</v>
      </c>
      <c r="BK12" s="926" t="s">
        <v>943</v>
      </c>
      <c r="BL12" s="893" t="b">
        <f>BG12=AZ12</f>
        <v>1</v>
      </c>
      <c r="BO12" s="893" t="s">
        <v>31</v>
      </c>
      <c r="BP12" s="893" t="s">
        <v>310</v>
      </c>
      <c r="BU12"/>
      <c r="BV12" s="1530"/>
      <c r="BW12" s="108"/>
      <c r="BX12" s="1531"/>
    </row>
    <row r="13" spans="2:76" x14ac:dyDescent="0.25">
      <c r="G13" s="899"/>
      <c r="H13" s="899"/>
      <c r="AB13" s="899">
        <f t="shared" ref="AB13:AB40" si="25">+AE13-X13</f>
        <v>656867</v>
      </c>
      <c r="AC13" s="899">
        <f t="shared" ref="AC13:AC40" si="26">+AF13-Y13</f>
        <v>0</v>
      </c>
      <c r="AD13" s="893" t="s">
        <v>960</v>
      </c>
      <c r="AE13" s="899">
        <v>656867</v>
      </c>
      <c r="AF13" s="893">
        <v>0</v>
      </c>
      <c r="AG13" s="899">
        <v>656867</v>
      </c>
      <c r="AH13" s="893" t="s">
        <v>943</v>
      </c>
      <c r="AI13" s="899">
        <f t="shared" ref="AI13:AI80" si="27">AJ13+AQ13+AX13+BE13</f>
        <v>-0.16999999992549419</v>
      </c>
      <c r="AJ13" s="899">
        <f>AM13-AE13</f>
        <v>-0.16999999992549419</v>
      </c>
      <c r="AK13" s="899">
        <f t="shared" ref="AK13:AK40" si="28">AN13-AF13</f>
        <v>0</v>
      </c>
      <c r="AL13" s="893" t="s">
        <v>1302</v>
      </c>
      <c r="AM13" s="906">
        <v>656866.83000000007</v>
      </c>
      <c r="AN13" s="906">
        <v>0</v>
      </c>
      <c r="AO13" s="907">
        <f t="shared" ref="AO13:AO40" si="29">+AM13-AN13</f>
        <v>656866.83000000007</v>
      </c>
      <c r="AP13" s="926" t="s">
        <v>943</v>
      </c>
      <c r="AQ13" s="899">
        <f>AT13-AM13</f>
        <v>0</v>
      </c>
      <c r="AR13" s="899">
        <f>AU13-AN13</f>
        <v>0</v>
      </c>
      <c r="AS13" s="893" t="s">
        <v>1302</v>
      </c>
      <c r="AT13" s="906">
        <v>656866.83000000007</v>
      </c>
      <c r="AU13" s="906">
        <v>0</v>
      </c>
      <c r="AV13" s="907">
        <f t="shared" si="20"/>
        <v>656866.83000000007</v>
      </c>
      <c r="AW13" s="926"/>
      <c r="AX13" s="899">
        <f t="shared" ref="AX13:AX40" si="30">BA13-AT13</f>
        <v>0</v>
      </c>
      <c r="AY13" s="899">
        <f t="shared" si="21"/>
        <v>0</v>
      </c>
      <c r="AZ13" s="893" t="s">
        <v>1302</v>
      </c>
      <c r="BA13" s="906">
        <v>656866.83000000007</v>
      </c>
      <c r="BB13" s="906">
        <v>0</v>
      </c>
      <c r="BC13" s="907">
        <f t="shared" si="22"/>
        <v>656866.83000000007</v>
      </c>
      <c r="BD13" s="926" t="s">
        <v>943</v>
      </c>
      <c r="BE13" s="899">
        <f t="shared" si="23"/>
        <v>0</v>
      </c>
      <c r="BF13" s="899">
        <f t="shared" si="24"/>
        <v>0</v>
      </c>
      <c r="BG13" s="893" t="s">
        <v>1302</v>
      </c>
      <c r="BH13" s="909">
        <v>656866.83000000007</v>
      </c>
      <c r="BI13" s="909">
        <v>0</v>
      </c>
      <c r="BJ13" s="909">
        <v>656866.83000000007</v>
      </c>
      <c r="BK13" s="926" t="s">
        <v>943</v>
      </c>
      <c r="BL13" s="893" t="b">
        <f t="shared" ref="BL13:BL51" si="31">BG13=AZ13</f>
        <v>1</v>
      </c>
      <c r="BO13" s="893" t="s">
        <v>301</v>
      </c>
      <c r="BP13" s="893" t="s">
        <v>310</v>
      </c>
      <c r="BU13" s="11"/>
      <c r="BV13" s="1530"/>
      <c r="BW13" s="1530"/>
      <c r="BX13" s="1531"/>
    </row>
    <row r="14" spans="2:76" x14ac:dyDescent="0.25">
      <c r="B14" s="893" t="s">
        <v>961</v>
      </c>
      <c r="C14" s="899">
        <v>1011127.14</v>
      </c>
      <c r="D14" s="899">
        <v>8880.36</v>
      </c>
      <c r="E14" s="899">
        <v>1002246.78</v>
      </c>
      <c r="G14" s="899">
        <f t="shared" ref="G14:G22" si="32">+J14-C14</f>
        <v>-1011127.14</v>
      </c>
      <c r="H14" s="899">
        <f t="shared" ref="H14:H22" si="33">+K14-D14</f>
        <v>-8880.36</v>
      </c>
      <c r="I14" s="893" t="s">
        <v>961</v>
      </c>
      <c r="J14" s="893">
        <v>0</v>
      </c>
      <c r="K14" s="893">
        <v>0</v>
      </c>
      <c r="L14" s="893">
        <v>0</v>
      </c>
      <c r="N14" s="899">
        <f t="shared" ref="N14:N22" si="34">+Q14-J14</f>
        <v>0</v>
      </c>
      <c r="O14" s="899">
        <f t="shared" ref="O14:O23" si="35">+R14-K14</f>
        <v>0</v>
      </c>
      <c r="P14" s="893" t="s">
        <v>961</v>
      </c>
      <c r="Q14" s="893">
        <v>0</v>
      </c>
      <c r="R14" s="893">
        <v>0</v>
      </c>
      <c r="S14" s="893">
        <v>0</v>
      </c>
      <c r="U14" s="899">
        <f t="shared" ref="U14:U23" si="36">+X14-Q14</f>
        <v>0</v>
      </c>
      <c r="V14" s="899">
        <f t="shared" ref="V14:V23" si="37">+Y14-R14</f>
        <v>0</v>
      </c>
      <c r="W14" s="893" t="s">
        <v>961</v>
      </c>
      <c r="X14" s="893">
        <v>0</v>
      </c>
      <c r="Y14" s="893">
        <v>0</v>
      </c>
      <c r="Z14" s="893">
        <v>0</v>
      </c>
      <c r="AB14" s="899">
        <f t="shared" si="25"/>
        <v>0</v>
      </c>
      <c r="AC14" s="899">
        <f t="shared" si="26"/>
        <v>0</v>
      </c>
      <c r="AD14" s="893" t="s">
        <v>961</v>
      </c>
      <c r="AE14" s="893">
        <v>0</v>
      </c>
      <c r="AF14" s="893">
        <v>0</v>
      </c>
      <c r="AG14" s="893">
        <v>0</v>
      </c>
      <c r="AI14" s="899">
        <f t="shared" si="27"/>
        <v>0</v>
      </c>
      <c r="AJ14" s="899">
        <f t="shared" ref="AJ14:AJ40" si="38">AM14-AE14</f>
        <v>0</v>
      </c>
      <c r="AK14" s="899">
        <f t="shared" si="28"/>
        <v>0</v>
      </c>
      <c r="AL14" s="893" t="s">
        <v>961</v>
      </c>
      <c r="AM14" s="906">
        <v>0</v>
      </c>
      <c r="AN14" s="906">
        <v>0</v>
      </c>
      <c r="AO14" s="907">
        <f t="shared" si="29"/>
        <v>0</v>
      </c>
      <c r="AP14" s="926"/>
      <c r="AQ14" s="899">
        <f t="shared" ref="AQ14:AQ40" si="39">AT14-AM14</f>
        <v>0</v>
      </c>
      <c r="AR14" s="899">
        <f t="shared" ref="AR14:AR40" si="40">AU14-AN14</f>
        <v>0</v>
      </c>
      <c r="AS14" s="893" t="s">
        <v>961</v>
      </c>
      <c r="AT14" s="906">
        <v>0</v>
      </c>
      <c r="AU14" s="906">
        <v>0</v>
      </c>
      <c r="AV14" s="907">
        <f t="shared" si="20"/>
        <v>0</v>
      </c>
      <c r="AW14" s="926"/>
      <c r="AX14" s="899">
        <f t="shared" si="30"/>
        <v>0</v>
      </c>
      <c r="AY14" s="899">
        <f t="shared" si="21"/>
        <v>0</v>
      </c>
      <c r="AZ14" s="893" t="s">
        <v>961</v>
      </c>
      <c r="BA14" s="906">
        <v>0</v>
      </c>
      <c r="BB14" s="906">
        <v>0</v>
      </c>
      <c r="BC14" s="907">
        <f t="shared" si="22"/>
        <v>0</v>
      </c>
      <c r="BD14" s="926"/>
      <c r="BE14" s="899">
        <f t="shared" si="23"/>
        <v>0</v>
      </c>
      <c r="BF14" s="899">
        <f t="shared" si="24"/>
        <v>0</v>
      </c>
      <c r="BG14" s="893" t="s">
        <v>961</v>
      </c>
      <c r="BH14" s="909">
        <v>0</v>
      </c>
      <c r="BI14" s="909">
        <v>0</v>
      </c>
      <c r="BJ14" s="909">
        <v>0</v>
      </c>
      <c r="BK14" s="926"/>
      <c r="BL14" s="893" t="b">
        <f t="shared" si="31"/>
        <v>1</v>
      </c>
      <c r="BO14" s="893" t="s">
        <v>301</v>
      </c>
      <c r="BP14" s="893" t="s">
        <v>310</v>
      </c>
      <c r="BU14" s="11"/>
      <c r="BV14" s="1530"/>
      <c r="BW14" s="1530"/>
      <c r="BX14" s="1531"/>
    </row>
    <row r="15" spans="2:76" x14ac:dyDescent="0.25">
      <c r="B15" s="893" t="s">
        <v>962</v>
      </c>
      <c r="C15" s="899">
        <v>5533569.5899999999</v>
      </c>
      <c r="D15" s="899">
        <v>719081.49619999982</v>
      </c>
      <c r="E15" s="899">
        <v>4814488.0937999999</v>
      </c>
      <c r="G15" s="899">
        <f t="shared" si="32"/>
        <v>2515011.41</v>
      </c>
      <c r="H15" s="899">
        <f t="shared" si="33"/>
        <v>1008167.5038000002</v>
      </c>
      <c r="I15" s="893" t="s">
        <v>962</v>
      </c>
      <c r="J15" s="899">
        <v>8048581</v>
      </c>
      <c r="K15" s="899">
        <v>1727249</v>
      </c>
      <c r="L15" s="899">
        <v>6321332</v>
      </c>
      <c r="N15" s="899">
        <f t="shared" si="34"/>
        <v>0</v>
      </c>
      <c r="O15" s="899">
        <f t="shared" si="35"/>
        <v>217684</v>
      </c>
      <c r="P15" s="893" t="s">
        <v>962</v>
      </c>
      <c r="Q15" s="899">
        <v>8048581</v>
      </c>
      <c r="R15" s="899">
        <v>1944933</v>
      </c>
      <c r="S15" s="899">
        <v>6103648</v>
      </c>
      <c r="U15" s="899">
        <f t="shared" si="36"/>
        <v>0</v>
      </c>
      <c r="V15" s="899">
        <f t="shared" si="37"/>
        <v>217684</v>
      </c>
      <c r="W15" s="893" t="s">
        <v>962</v>
      </c>
      <c r="X15" s="899">
        <v>8048581</v>
      </c>
      <c r="Y15" s="899">
        <v>2162617</v>
      </c>
      <c r="Z15" s="899">
        <v>5885964</v>
      </c>
      <c r="AB15" s="899">
        <f t="shared" si="25"/>
        <v>0</v>
      </c>
      <c r="AC15" s="899">
        <f t="shared" si="26"/>
        <v>217685</v>
      </c>
      <c r="AD15" s="893" t="s">
        <v>962</v>
      </c>
      <c r="AE15" s="899">
        <v>8048581</v>
      </c>
      <c r="AF15" s="899">
        <v>2380302</v>
      </c>
      <c r="AG15" s="899">
        <v>5668280</v>
      </c>
      <c r="AI15" s="899">
        <f t="shared" si="27"/>
        <v>40847.680000003427</v>
      </c>
      <c r="AJ15" s="898">
        <f t="shared" si="38"/>
        <v>0.44000000320374966</v>
      </c>
      <c r="AK15" s="899">
        <f t="shared" si="28"/>
        <v>217683.70000000251</v>
      </c>
      <c r="AL15" s="929" t="s">
        <v>962</v>
      </c>
      <c r="AM15" s="906">
        <v>8048581.4400000032</v>
      </c>
      <c r="AN15" s="906">
        <v>2597985.7000000025</v>
      </c>
      <c r="AO15" s="907">
        <f t="shared" si="29"/>
        <v>5450595.7400000002</v>
      </c>
      <c r="AP15" s="926"/>
      <c r="AQ15" s="899">
        <f t="shared" si="39"/>
        <v>40847.240000000224</v>
      </c>
      <c r="AR15" s="899">
        <f t="shared" si="40"/>
        <v>218948.49999999581</v>
      </c>
      <c r="AS15" s="929" t="s">
        <v>962</v>
      </c>
      <c r="AT15" s="908">
        <v>8089428.6800000034</v>
      </c>
      <c r="AU15" s="899">
        <v>2816934.1999999983</v>
      </c>
      <c r="AV15" s="906">
        <f t="shared" si="20"/>
        <v>5272494.4800000051</v>
      </c>
      <c r="AW15" s="926"/>
      <c r="AX15" s="899">
        <f t="shared" si="30"/>
        <v>0</v>
      </c>
      <c r="AY15" s="899">
        <f t="shared" si="21"/>
        <v>218851.20000000298</v>
      </c>
      <c r="AZ15" s="929" t="s">
        <v>962</v>
      </c>
      <c r="BA15" s="908">
        <v>8089428.6800000034</v>
      </c>
      <c r="BB15" s="899">
        <v>3035785.4000000013</v>
      </c>
      <c r="BC15" s="906">
        <f t="shared" si="22"/>
        <v>5053643.2800000021</v>
      </c>
      <c r="BD15" s="926"/>
      <c r="BE15" s="1546">
        <f t="shared" si="23"/>
        <v>0</v>
      </c>
      <c r="BF15" s="899">
        <f t="shared" si="24"/>
        <v>218851.19999999832</v>
      </c>
      <c r="BG15" s="929" t="s">
        <v>962</v>
      </c>
      <c r="BH15" s="899">
        <v>8089428.6800000034</v>
      </c>
      <c r="BI15" s="899">
        <v>3254636.5999999996</v>
      </c>
      <c r="BJ15" s="909">
        <v>4834792.0800000038</v>
      </c>
      <c r="BK15" s="926"/>
      <c r="BL15" s="893" t="b">
        <f t="shared" si="31"/>
        <v>1</v>
      </c>
      <c r="BO15" s="893" t="s">
        <v>301</v>
      </c>
      <c r="BP15" s="893" t="s">
        <v>310</v>
      </c>
      <c r="BU15" s="61"/>
      <c r="BV15" s="1532"/>
      <c r="BW15" s="108"/>
      <c r="BX15" s="1530"/>
    </row>
    <row r="16" spans="2:76" x14ac:dyDescent="0.25">
      <c r="B16" s="893" t="s">
        <v>963</v>
      </c>
      <c r="C16" s="899">
        <v>34500912.640000001</v>
      </c>
      <c r="D16" s="899">
        <v>7477197.1500000004</v>
      </c>
      <c r="E16" s="899">
        <v>27023715.490000002</v>
      </c>
      <c r="G16" s="899">
        <f t="shared" si="32"/>
        <v>3423664.3599999994</v>
      </c>
      <c r="H16" s="899">
        <f t="shared" si="33"/>
        <v>593687.84999999963</v>
      </c>
      <c r="I16" s="893" t="s">
        <v>963</v>
      </c>
      <c r="J16" s="899">
        <v>37924577</v>
      </c>
      <c r="K16" s="899">
        <v>8070885</v>
      </c>
      <c r="L16" s="899">
        <v>29853692</v>
      </c>
      <c r="N16" s="899">
        <f t="shared" si="34"/>
        <v>0</v>
      </c>
      <c r="O16" s="899">
        <f t="shared" si="35"/>
        <v>1017897</v>
      </c>
      <c r="P16" s="893" t="s">
        <v>963</v>
      </c>
      <c r="Q16" s="899">
        <v>37924577</v>
      </c>
      <c r="R16" s="899">
        <v>9088782</v>
      </c>
      <c r="S16" s="899">
        <v>28835795</v>
      </c>
      <c r="U16" s="899">
        <f t="shared" si="36"/>
        <v>0</v>
      </c>
      <c r="V16" s="899">
        <f t="shared" si="37"/>
        <v>1017896</v>
      </c>
      <c r="W16" s="893" t="s">
        <v>963</v>
      </c>
      <c r="X16" s="899">
        <v>37924577</v>
      </c>
      <c r="Y16" s="899">
        <v>10106678</v>
      </c>
      <c r="Z16" s="899">
        <v>27817899</v>
      </c>
      <c r="AB16" s="899">
        <f t="shared" si="25"/>
        <v>91336</v>
      </c>
      <c r="AC16" s="899">
        <f t="shared" si="26"/>
        <v>1038012</v>
      </c>
      <c r="AD16" s="893" t="s">
        <v>963</v>
      </c>
      <c r="AE16" s="899">
        <v>38015913</v>
      </c>
      <c r="AF16" s="899">
        <v>11144690</v>
      </c>
      <c r="AG16" s="899">
        <v>26871224</v>
      </c>
      <c r="AI16" s="899">
        <f t="shared" si="27"/>
        <v>511749.55000002682</v>
      </c>
      <c r="AJ16" s="898">
        <f t="shared" si="38"/>
        <v>0.43000001460313797</v>
      </c>
      <c r="AK16" s="899">
        <f t="shared" si="28"/>
        <v>1027030.1100000385</v>
      </c>
      <c r="AL16" s="929" t="s">
        <v>963</v>
      </c>
      <c r="AM16" s="906">
        <v>38015913.430000015</v>
      </c>
      <c r="AN16" s="906">
        <v>12171720.110000039</v>
      </c>
      <c r="AO16" s="907">
        <f t="shared" si="29"/>
        <v>25844193.319999978</v>
      </c>
      <c r="AP16" s="926"/>
      <c r="AQ16" s="899">
        <f t="shared" si="39"/>
        <v>13660.910000003874</v>
      </c>
      <c r="AR16" s="899">
        <f t="shared" si="40"/>
        <v>1027485.5699999388</v>
      </c>
      <c r="AS16" s="929" t="s">
        <v>963</v>
      </c>
      <c r="AT16" s="908">
        <v>38029574.340000018</v>
      </c>
      <c r="AU16" s="899">
        <v>13199205.679999977</v>
      </c>
      <c r="AV16" s="906">
        <f t="shared" si="20"/>
        <v>24830368.660000041</v>
      </c>
      <c r="AW16" s="926"/>
      <c r="AX16" s="899">
        <f t="shared" si="30"/>
        <v>0</v>
      </c>
      <c r="AY16" s="899">
        <f t="shared" si="21"/>
        <v>1028396.2999999989</v>
      </c>
      <c r="AZ16" s="929" t="s">
        <v>963</v>
      </c>
      <c r="BA16" s="908">
        <v>38029574.340000018</v>
      </c>
      <c r="BB16" s="899">
        <v>14227601.979999976</v>
      </c>
      <c r="BC16" s="906">
        <f t="shared" si="22"/>
        <v>23801972.360000044</v>
      </c>
      <c r="BD16" s="926"/>
      <c r="BE16" s="1546">
        <f t="shared" si="23"/>
        <v>498088.21000000834</v>
      </c>
      <c r="BF16" s="899">
        <f t="shared" si="24"/>
        <v>1033584.7499999981</v>
      </c>
      <c r="BG16" s="929" t="s">
        <v>963</v>
      </c>
      <c r="BH16" s="899">
        <v>38527662.550000027</v>
      </c>
      <c r="BI16" s="899">
        <v>15261186.729999974</v>
      </c>
      <c r="BJ16" s="909">
        <v>23266475.820000052</v>
      </c>
      <c r="BK16" s="926"/>
      <c r="BL16" s="893" t="b">
        <f t="shared" si="31"/>
        <v>1</v>
      </c>
      <c r="BO16" s="893" t="s">
        <v>301</v>
      </c>
      <c r="BP16" s="893" t="s">
        <v>310</v>
      </c>
      <c r="BU16" s="61"/>
      <c r="BV16" s="1532"/>
      <c r="BW16" s="108"/>
      <c r="BX16" s="1530"/>
    </row>
    <row r="17" spans="2:76" x14ac:dyDescent="0.25">
      <c r="G17" s="899">
        <f t="shared" si="32"/>
        <v>1011127</v>
      </c>
      <c r="H17" s="899">
        <f t="shared" si="33"/>
        <v>41172</v>
      </c>
      <c r="I17" s="893" t="s">
        <v>964</v>
      </c>
      <c r="J17" s="899">
        <v>1011127</v>
      </c>
      <c r="K17" s="899">
        <v>41172</v>
      </c>
      <c r="L17" s="899">
        <v>969955</v>
      </c>
      <c r="N17" s="899">
        <f t="shared" si="34"/>
        <v>0</v>
      </c>
      <c r="O17" s="899">
        <f t="shared" si="35"/>
        <v>27852</v>
      </c>
      <c r="P17" s="893" t="s">
        <v>964</v>
      </c>
      <c r="Q17" s="899">
        <v>1011127</v>
      </c>
      <c r="R17" s="899">
        <v>69024</v>
      </c>
      <c r="S17" s="899">
        <v>942103</v>
      </c>
      <c r="U17" s="899">
        <f t="shared" si="36"/>
        <v>0</v>
      </c>
      <c r="V17" s="899">
        <f t="shared" si="37"/>
        <v>27852</v>
      </c>
      <c r="W17" s="893" t="s">
        <v>964</v>
      </c>
      <c r="X17" s="899">
        <v>1011127</v>
      </c>
      <c r="Y17" s="899">
        <v>96876</v>
      </c>
      <c r="Z17" s="899">
        <v>914251</v>
      </c>
      <c r="AB17" s="899">
        <f t="shared" si="25"/>
        <v>0</v>
      </c>
      <c r="AC17" s="899">
        <f t="shared" si="26"/>
        <v>27852</v>
      </c>
      <c r="AD17" s="893" t="s">
        <v>964</v>
      </c>
      <c r="AE17" s="899">
        <v>1011127</v>
      </c>
      <c r="AF17" s="899">
        <v>124728</v>
      </c>
      <c r="AG17" s="899">
        <v>886400</v>
      </c>
      <c r="AI17" s="899">
        <f t="shared" si="27"/>
        <v>0.14000000001396984</v>
      </c>
      <c r="AJ17" s="899">
        <f t="shared" si="38"/>
        <v>0.14000000001396984</v>
      </c>
      <c r="AK17" s="899">
        <f t="shared" si="28"/>
        <v>27851.25</v>
      </c>
      <c r="AL17" s="930" t="s">
        <v>964</v>
      </c>
      <c r="AM17" s="906">
        <v>1011127.14</v>
      </c>
      <c r="AN17" s="906">
        <v>152579.25</v>
      </c>
      <c r="AO17" s="907">
        <f t="shared" si="29"/>
        <v>858547.89</v>
      </c>
      <c r="AP17" s="926"/>
      <c r="AQ17" s="899">
        <f t="shared" si="39"/>
        <v>0</v>
      </c>
      <c r="AR17" s="899">
        <f t="shared" si="40"/>
        <v>27851.729999999981</v>
      </c>
      <c r="AS17" s="930" t="s">
        <v>964</v>
      </c>
      <c r="AT17" s="908">
        <v>1011127.14</v>
      </c>
      <c r="AU17" s="899">
        <v>180430.97999999998</v>
      </c>
      <c r="AV17" s="906">
        <f t="shared" si="20"/>
        <v>830696.16</v>
      </c>
      <c r="AW17" s="926"/>
      <c r="AX17" s="899">
        <f t="shared" si="30"/>
        <v>0</v>
      </c>
      <c r="AY17" s="899">
        <f t="shared" si="21"/>
        <v>27851.73000000004</v>
      </c>
      <c r="AZ17" s="930" t="s">
        <v>964</v>
      </c>
      <c r="BA17" s="908">
        <v>1011127.14</v>
      </c>
      <c r="BB17" s="899">
        <v>208282.71000000002</v>
      </c>
      <c r="BC17" s="906">
        <f t="shared" si="22"/>
        <v>802844.42999999993</v>
      </c>
      <c r="BD17" s="926"/>
      <c r="BE17" s="899">
        <f t="shared" si="23"/>
        <v>0</v>
      </c>
      <c r="BF17" s="899">
        <f t="shared" si="24"/>
        <v>27851.729999999981</v>
      </c>
      <c r="BG17" s="930" t="s">
        <v>964</v>
      </c>
      <c r="BH17" s="899">
        <v>1011127.14</v>
      </c>
      <c r="BI17" s="899">
        <v>236134.44</v>
      </c>
      <c r="BJ17" s="909">
        <v>774992.7</v>
      </c>
      <c r="BK17" s="926"/>
      <c r="BL17" s="893" t="b">
        <f t="shared" si="31"/>
        <v>1</v>
      </c>
      <c r="BO17" s="893" t="s">
        <v>301</v>
      </c>
      <c r="BP17" s="893" t="s">
        <v>310</v>
      </c>
      <c r="BU17" s="1533"/>
      <c r="BV17" s="1532"/>
      <c r="BW17" s="108"/>
      <c r="BX17" s="1530"/>
    </row>
    <row r="18" spans="2:76" x14ac:dyDescent="0.25">
      <c r="B18" s="893" t="s">
        <v>965</v>
      </c>
      <c r="C18" s="899">
        <v>6002319.8400000064</v>
      </c>
      <c r="D18" s="899">
        <v>1309934.4099999999</v>
      </c>
      <c r="E18" s="899">
        <v>4692385.4300000062</v>
      </c>
      <c r="G18" s="899">
        <f t="shared" si="32"/>
        <v>-3411154.8400000064</v>
      </c>
      <c r="H18" s="899">
        <f t="shared" si="33"/>
        <v>-359505.40999999992</v>
      </c>
      <c r="I18" s="893" t="s">
        <v>965</v>
      </c>
      <c r="J18" s="899">
        <v>2591165</v>
      </c>
      <c r="K18" s="899">
        <v>950429</v>
      </c>
      <c r="L18" s="899">
        <v>1640736</v>
      </c>
      <c r="N18" s="899">
        <f t="shared" si="34"/>
        <v>0</v>
      </c>
      <c r="O18" s="899">
        <f t="shared" si="35"/>
        <v>67888</v>
      </c>
      <c r="P18" s="893" t="s">
        <v>965</v>
      </c>
      <c r="Q18" s="899">
        <v>2591165</v>
      </c>
      <c r="R18" s="899">
        <v>1018317</v>
      </c>
      <c r="S18" s="899">
        <v>1572848</v>
      </c>
      <c r="U18" s="899">
        <f t="shared" si="36"/>
        <v>0</v>
      </c>
      <c r="V18" s="899">
        <f t="shared" si="37"/>
        <v>67887</v>
      </c>
      <c r="W18" s="893" t="s">
        <v>965</v>
      </c>
      <c r="X18" s="899">
        <v>2591165</v>
      </c>
      <c r="Y18" s="899">
        <v>1086204</v>
      </c>
      <c r="Z18" s="899">
        <v>1504961</v>
      </c>
      <c r="AB18" s="899">
        <f t="shared" si="25"/>
        <v>0</v>
      </c>
      <c r="AC18" s="899">
        <f t="shared" si="26"/>
        <v>67888</v>
      </c>
      <c r="AD18" s="893" t="s">
        <v>965</v>
      </c>
      <c r="AE18" s="899">
        <v>2591165</v>
      </c>
      <c r="AF18" s="899">
        <v>1154092</v>
      </c>
      <c r="AG18" s="899">
        <v>1437073</v>
      </c>
      <c r="AI18" s="899">
        <f t="shared" si="27"/>
        <v>0.25000000046566129</v>
      </c>
      <c r="AJ18" s="899">
        <f t="shared" si="38"/>
        <v>0.25000000046566129</v>
      </c>
      <c r="AK18" s="899">
        <f t="shared" si="28"/>
        <v>67887.710000000196</v>
      </c>
      <c r="AL18" s="930" t="s">
        <v>965</v>
      </c>
      <c r="AM18" s="906">
        <v>2591165.2500000005</v>
      </c>
      <c r="AN18" s="906">
        <v>1221979.7100000002</v>
      </c>
      <c r="AO18" s="907">
        <f t="shared" si="29"/>
        <v>1369185.5400000003</v>
      </c>
      <c r="AP18" s="926"/>
      <c r="AQ18" s="899">
        <f t="shared" si="39"/>
        <v>0</v>
      </c>
      <c r="AR18" s="899">
        <f t="shared" si="40"/>
        <v>67887.60999999987</v>
      </c>
      <c r="AS18" s="930" t="s">
        <v>965</v>
      </c>
      <c r="AT18" s="908">
        <v>2591165.2500000005</v>
      </c>
      <c r="AU18" s="899">
        <v>1289867.32</v>
      </c>
      <c r="AV18" s="906">
        <f t="shared" si="20"/>
        <v>1301297.9300000004</v>
      </c>
      <c r="AW18" s="926"/>
      <c r="AX18" s="899">
        <f t="shared" si="30"/>
        <v>0</v>
      </c>
      <c r="AY18" s="899">
        <f t="shared" si="21"/>
        <v>67887.60999999987</v>
      </c>
      <c r="AZ18" s="930" t="s">
        <v>965</v>
      </c>
      <c r="BA18" s="908">
        <v>2591165.2500000005</v>
      </c>
      <c r="BB18" s="899">
        <v>1357754.93</v>
      </c>
      <c r="BC18" s="906">
        <f t="shared" si="22"/>
        <v>1233410.3200000005</v>
      </c>
      <c r="BD18" s="926"/>
      <c r="BE18" s="899">
        <f t="shared" si="23"/>
        <v>0</v>
      </c>
      <c r="BF18" s="899">
        <f t="shared" si="24"/>
        <v>67887.610000000568</v>
      </c>
      <c r="BG18" s="930" t="s">
        <v>965</v>
      </c>
      <c r="BH18" s="899">
        <v>2591165.2500000005</v>
      </c>
      <c r="BI18" s="899">
        <v>1425642.5400000005</v>
      </c>
      <c r="BJ18" s="909">
        <v>1165522.71</v>
      </c>
      <c r="BK18" s="926"/>
      <c r="BL18" s="893" t="b">
        <f t="shared" si="31"/>
        <v>1</v>
      </c>
      <c r="BO18" s="893" t="s">
        <v>301</v>
      </c>
      <c r="BP18" s="893" t="s">
        <v>310</v>
      </c>
      <c r="BU18" s="1533"/>
      <c r="BV18" s="1532"/>
      <c r="BW18" s="108"/>
      <c r="BX18" s="1530"/>
    </row>
    <row r="19" spans="2:76" x14ac:dyDescent="0.25">
      <c r="B19" s="893" t="s">
        <v>966</v>
      </c>
      <c r="C19" s="899">
        <v>1479169.79</v>
      </c>
      <c r="D19" s="899">
        <v>35020.031881112867</v>
      </c>
      <c r="E19" s="899">
        <v>1444149.7581188872</v>
      </c>
      <c r="G19" s="899">
        <f t="shared" si="32"/>
        <v>0.2099999999627471</v>
      </c>
      <c r="H19" s="899">
        <f t="shared" si="33"/>
        <v>35290.968118887133</v>
      </c>
      <c r="I19" s="893" t="s">
        <v>966</v>
      </c>
      <c r="J19" s="899">
        <v>1479170</v>
      </c>
      <c r="K19" s="899">
        <v>70311</v>
      </c>
      <c r="L19" s="899">
        <v>1408859</v>
      </c>
      <c r="N19" s="899">
        <f t="shared" si="34"/>
        <v>0</v>
      </c>
      <c r="O19" s="899">
        <f t="shared" si="35"/>
        <v>38351</v>
      </c>
      <c r="P19" s="893" t="s">
        <v>966</v>
      </c>
      <c r="Q19" s="899">
        <v>1479170</v>
      </c>
      <c r="R19" s="899">
        <v>108662</v>
      </c>
      <c r="S19" s="899">
        <v>1370508</v>
      </c>
      <c r="U19" s="899">
        <f t="shared" si="36"/>
        <v>0</v>
      </c>
      <c r="V19" s="899">
        <f t="shared" si="37"/>
        <v>38351</v>
      </c>
      <c r="W19" s="893" t="s">
        <v>966</v>
      </c>
      <c r="X19" s="899">
        <v>1479170</v>
      </c>
      <c r="Y19" s="899">
        <v>147013</v>
      </c>
      <c r="Z19" s="899">
        <v>1332157</v>
      </c>
      <c r="AB19" s="899">
        <f t="shared" si="25"/>
        <v>0</v>
      </c>
      <c r="AC19" s="899">
        <f t="shared" si="26"/>
        <v>38352</v>
      </c>
      <c r="AD19" s="893" t="s">
        <v>966</v>
      </c>
      <c r="AE19" s="899">
        <v>1479170</v>
      </c>
      <c r="AF19" s="899">
        <v>185365</v>
      </c>
      <c r="AG19" s="899">
        <v>1293805</v>
      </c>
      <c r="AI19" s="899">
        <f t="shared" si="27"/>
        <v>-0.21000000019557774</v>
      </c>
      <c r="AJ19" s="899">
        <f t="shared" si="38"/>
        <v>-0.21000000019557774</v>
      </c>
      <c r="AK19" s="899">
        <f t="shared" si="28"/>
        <v>38350.840000000026</v>
      </c>
      <c r="AL19" s="893" t="s">
        <v>966</v>
      </c>
      <c r="AM19" s="906">
        <v>1479169.7899999998</v>
      </c>
      <c r="AN19" s="906">
        <v>223715.84000000003</v>
      </c>
      <c r="AO19" s="907">
        <f t="shared" si="29"/>
        <v>1255453.9499999997</v>
      </c>
      <c r="AP19" s="926"/>
      <c r="AQ19" s="899">
        <f t="shared" si="39"/>
        <v>0</v>
      </c>
      <c r="AR19" s="899">
        <f t="shared" si="40"/>
        <v>38351.299999999988</v>
      </c>
      <c r="AS19" s="893" t="s">
        <v>966</v>
      </c>
      <c r="AT19" s="908">
        <v>1479169.7899999998</v>
      </c>
      <c r="AU19" s="899">
        <v>262067.14</v>
      </c>
      <c r="AV19" s="906">
        <f t="shared" si="20"/>
        <v>1217102.6499999999</v>
      </c>
      <c r="AW19" s="926"/>
      <c r="AX19" s="899">
        <f t="shared" si="30"/>
        <v>0</v>
      </c>
      <c r="AY19" s="899">
        <f t="shared" si="21"/>
        <v>38351.299999999988</v>
      </c>
      <c r="AZ19" s="893" t="s">
        <v>966</v>
      </c>
      <c r="BA19" s="908">
        <v>1479169.7899999998</v>
      </c>
      <c r="BB19" s="899">
        <v>300418.44</v>
      </c>
      <c r="BC19" s="906">
        <f t="shared" si="22"/>
        <v>1178751.3499999999</v>
      </c>
      <c r="BD19" s="926"/>
      <c r="BE19" s="899">
        <f t="shared" si="23"/>
        <v>0</v>
      </c>
      <c r="BF19" s="899">
        <f t="shared" si="24"/>
        <v>38351.29999999993</v>
      </c>
      <c r="BG19" s="893" t="s">
        <v>966</v>
      </c>
      <c r="BH19" s="899">
        <v>1479169.7899999998</v>
      </c>
      <c r="BI19" s="899">
        <v>338769.73999999993</v>
      </c>
      <c r="BJ19" s="909">
        <v>1140400.0499999998</v>
      </c>
      <c r="BK19" s="926"/>
      <c r="BL19" s="893" t="b">
        <f t="shared" si="31"/>
        <v>1</v>
      </c>
      <c r="BO19" s="893" t="s">
        <v>301</v>
      </c>
      <c r="BP19" s="893" t="s">
        <v>310</v>
      </c>
      <c r="BU19" s="11"/>
      <c r="BV19" s="1170"/>
      <c r="BW19" s="108"/>
      <c r="BX19" s="1530"/>
    </row>
    <row r="20" spans="2:76" x14ac:dyDescent="0.25">
      <c r="B20" s="893" t="s">
        <v>967</v>
      </c>
      <c r="C20" s="899">
        <v>1993987.309999998</v>
      </c>
      <c r="D20" s="899">
        <v>1351277.9</v>
      </c>
      <c r="E20" s="899">
        <v>642709.40999999805</v>
      </c>
      <c r="G20" s="899">
        <f t="shared" si="32"/>
        <v>-0.30999999796040356</v>
      </c>
      <c r="H20" s="899">
        <f t="shared" si="33"/>
        <v>59231.100000000093</v>
      </c>
      <c r="I20" s="893" t="s">
        <v>967</v>
      </c>
      <c r="J20" s="899">
        <v>1993987</v>
      </c>
      <c r="K20" s="899">
        <v>1410509</v>
      </c>
      <c r="L20" s="899">
        <v>583478</v>
      </c>
      <c r="N20" s="899">
        <f t="shared" si="34"/>
        <v>0</v>
      </c>
      <c r="O20" s="899">
        <f t="shared" si="35"/>
        <v>59231</v>
      </c>
      <c r="P20" s="893" t="s">
        <v>967</v>
      </c>
      <c r="Q20" s="899">
        <v>1993987</v>
      </c>
      <c r="R20" s="899">
        <v>1469740</v>
      </c>
      <c r="S20" s="899">
        <v>524247</v>
      </c>
      <c r="U20" s="899">
        <f t="shared" si="36"/>
        <v>0</v>
      </c>
      <c r="V20" s="899">
        <f t="shared" si="37"/>
        <v>59232</v>
      </c>
      <c r="W20" s="893" t="s">
        <v>967</v>
      </c>
      <c r="X20" s="899">
        <v>1993987</v>
      </c>
      <c r="Y20" s="899">
        <v>1528972</v>
      </c>
      <c r="Z20" s="899">
        <v>465016</v>
      </c>
      <c r="AB20" s="899">
        <f t="shared" si="25"/>
        <v>0</v>
      </c>
      <c r="AC20" s="899">
        <f t="shared" si="26"/>
        <v>59231</v>
      </c>
      <c r="AD20" s="893" t="s">
        <v>967</v>
      </c>
      <c r="AE20" s="899">
        <v>1993987</v>
      </c>
      <c r="AF20" s="899">
        <v>1588203</v>
      </c>
      <c r="AG20" s="899">
        <v>405784</v>
      </c>
      <c r="AI20" s="899">
        <f t="shared" si="27"/>
        <v>0.30999999982304871</v>
      </c>
      <c r="AJ20" s="899">
        <f t="shared" si="38"/>
        <v>0.30999999982304871</v>
      </c>
      <c r="AK20" s="899">
        <f t="shared" si="28"/>
        <v>54820.689999999246</v>
      </c>
      <c r="AL20" s="931" t="s">
        <v>967</v>
      </c>
      <c r="AM20" s="906">
        <v>1993987.3099999998</v>
      </c>
      <c r="AN20" s="906">
        <v>1643023.6899999992</v>
      </c>
      <c r="AO20" s="907">
        <f t="shared" si="29"/>
        <v>350963.62000000058</v>
      </c>
      <c r="AP20" s="926"/>
      <c r="AQ20" s="899">
        <f t="shared" si="39"/>
        <v>0</v>
      </c>
      <c r="AR20" s="899">
        <f t="shared" si="40"/>
        <v>26028.930000001332</v>
      </c>
      <c r="AS20" s="931" t="s">
        <v>967</v>
      </c>
      <c r="AT20" s="908">
        <v>1993987.3099999998</v>
      </c>
      <c r="AU20" s="899">
        <v>1669052.6200000006</v>
      </c>
      <c r="AV20" s="906">
        <f t="shared" si="20"/>
        <v>324934.68999999925</v>
      </c>
      <c r="AW20" s="926"/>
      <c r="AX20" s="899">
        <f t="shared" si="30"/>
        <v>0</v>
      </c>
      <c r="AY20" s="899">
        <f t="shared" si="21"/>
        <v>19461.119999999646</v>
      </c>
      <c r="AZ20" s="931" t="s">
        <v>967</v>
      </c>
      <c r="BA20" s="908">
        <v>1993987.3099999998</v>
      </c>
      <c r="BB20" s="899">
        <v>1688513.7400000002</v>
      </c>
      <c r="BC20" s="906">
        <f t="shared" si="22"/>
        <v>305473.5699999996</v>
      </c>
      <c r="BD20" s="926"/>
      <c r="BE20" s="899">
        <f t="shared" si="23"/>
        <v>0</v>
      </c>
      <c r="BF20" s="899">
        <f t="shared" si="24"/>
        <v>19461.119999999879</v>
      </c>
      <c r="BG20" s="931" t="s">
        <v>967</v>
      </c>
      <c r="BH20" s="899">
        <v>1993987.3099999998</v>
      </c>
      <c r="BI20" s="899">
        <v>1707974.86</v>
      </c>
      <c r="BJ20" s="909">
        <v>286012.44999999972</v>
      </c>
      <c r="BK20" s="926"/>
      <c r="BL20" s="893" t="b">
        <f t="shared" si="31"/>
        <v>1</v>
      </c>
      <c r="BO20" s="893" t="s">
        <v>301</v>
      </c>
      <c r="BP20" s="893" t="s">
        <v>310</v>
      </c>
      <c r="BU20" s="1534"/>
      <c r="BV20" s="1170"/>
      <c r="BW20" s="108"/>
      <c r="BX20" s="1530"/>
    </row>
    <row r="21" spans="2:76" x14ac:dyDescent="0.25">
      <c r="B21" s="893" t="s">
        <v>968</v>
      </c>
      <c r="C21" s="899">
        <v>155866.59</v>
      </c>
      <c r="D21" s="899">
        <v>36368.86</v>
      </c>
      <c r="E21" s="899">
        <v>119497.73</v>
      </c>
      <c r="G21" s="899">
        <f t="shared" si="32"/>
        <v>0.41000000000349246</v>
      </c>
      <c r="H21" s="899">
        <f t="shared" si="33"/>
        <v>4453.1399999999994</v>
      </c>
      <c r="I21" s="893" t="s">
        <v>968</v>
      </c>
      <c r="J21" s="899">
        <v>155867</v>
      </c>
      <c r="K21" s="899">
        <v>40822</v>
      </c>
      <c r="L21" s="899">
        <v>115044</v>
      </c>
      <c r="N21" s="899">
        <f t="shared" si="34"/>
        <v>0</v>
      </c>
      <c r="O21" s="899">
        <f t="shared" si="35"/>
        <v>4454</v>
      </c>
      <c r="P21" s="893" t="s">
        <v>968</v>
      </c>
      <c r="Q21" s="899">
        <v>155867</v>
      </c>
      <c r="R21" s="899">
        <v>45276</v>
      </c>
      <c r="S21" s="899">
        <v>110591</v>
      </c>
      <c r="U21" s="899">
        <f t="shared" si="36"/>
        <v>4008551</v>
      </c>
      <c r="V21" s="899">
        <f t="shared" si="37"/>
        <v>4453</v>
      </c>
      <c r="W21" s="893" t="s">
        <v>968</v>
      </c>
      <c r="X21" s="899">
        <v>4164418</v>
      </c>
      <c r="Y21" s="899">
        <v>49729</v>
      </c>
      <c r="Z21" s="899">
        <v>4114689</v>
      </c>
      <c r="AB21" s="899">
        <f t="shared" si="25"/>
        <v>0</v>
      </c>
      <c r="AC21" s="899">
        <f t="shared" si="26"/>
        <v>4453</v>
      </c>
      <c r="AD21" s="893" t="s">
        <v>968</v>
      </c>
      <c r="AE21" s="899">
        <v>4164418</v>
      </c>
      <c r="AF21" s="899">
        <v>54182</v>
      </c>
      <c r="AG21" s="899">
        <v>4110236</v>
      </c>
      <c r="AI21" s="899">
        <f t="shared" si="27"/>
        <v>-9.9999997764825821E-3</v>
      </c>
      <c r="AJ21" s="899">
        <f t="shared" si="38"/>
        <v>-9.9999997764825821E-3</v>
      </c>
      <c r="AK21" s="899">
        <f t="shared" si="28"/>
        <v>4453.510000000002</v>
      </c>
      <c r="AL21" s="915" t="s">
        <v>968</v>
      </c>
      <c r="AM21" s="906">
        <v>4164417.99</v>
      </c>
      <c r="AN21" s="906">
        <v>58635.51</v>
      </c>
      <c r="AO21" s="907">
        <f t="shared" si="29"/>
        <v>4105782.4800000004</v>
      </c>
      <c r="AP21" s="926"/>
      <c r="AQ21" s="899">
        <f t="shared" si="39"/>
        <v>0</v>
      </c>
      <c r="AR21" s="899">
        <f t="shared" si="40"/>
        <v>4453.3299999999945</v>
      </c>
      <c r="AS21" s="915" t="s">
        <v>968</v>
      </c>
      <c r="AT21" s="908">
        <v>4164417.99</v>
      </c>
      <c r="AU21" s="899">
        <v>63088.84</v>
      </c>
      <c r="AV21" s="906">
        <f t="shared" si="20"/>
        <v>4101329.1500000004</v>
      </c>
      <c r="AW21" s="926"/>
      <c r="AX21" s="899">
        <f t="shared" si="30"/>
        <v>0</v>
      </c>
      <c r="AY21" s="899">
        <f t="shared" si="21"/>
        <v>4453.3300000000017</v>
      </c>
      <c r="AZ21" s="915" t="s">
        <v>968</v>
      </c>
      <c r="BA21" s="908">
        <v>4164417.99</v>
      </c>
      <c r="BB21" s="899">
        <v>67542.17</v>
      </c>
      <c r="BC21" s="906">
        <f t="shared" si="22"/>
        <v>4096875.8200000003</v>
      </c>
      <c r="BD21" s="926"/>
      <c r="BE21" s="899">
        <f t="shared" si="23"/>
        <v>0</v>
      </c>
      <c r="BF21" s="899">
        <f t="shared" si="24"/>
        <v>4453.3300000000017</v>
      </c>
      <c r="BG21" s="915" t="s">
        <v>968</v>
      </c>
      <c r="BH21" s="899">
        <v>4164417.99</v>
      </c>
      <c r="BI21" s="899">
        <v>71995.5</v>
      </c>
      <c r="BJ21" s="909">
        <v>4092422.49</v>
      </c>
      <c r="BK21" s="926"/>
      <c r="BL21" s="893" t="b">
        <f t="shared" si="31"/>
        <v>1</v>
      </c>
      <c r="BO21" s="893" t="s">
        <v>301</v>
      </c>
      <c r="BP21" s="893" t="s">
        <v>310</v>
      </c>
      <c r="BU21" s="146"/>
      <c r="BV21" s="1170"/>
      <c r="BW21" s="108"/>
      <c r="BX21" s="1530"/>
    </row>
    <row r="22" spans="2:76" x14ac:dyDescent="0.25">
      <c r="B22" s="893" t="s">
        <v>969</v>
      </c>
      <c r="C22" s="899">
        <v>190182.39999999999</v>
      </c>
      <c r="D22" s="899">
        <v>26430.080000000002</v>
      </c>
      <c r="E22" s="899">
        <v>163752.32000000001</v>
      </c>
      <c r="G22" s="899">
        <f t="shared" si="32"/>
        <v>-0.39999999999417923</v>
      </c>
      <c r="H22" s="899">
        <f t="shared" si="33"/>
        <v>4878.9199999999983</v>
      </c>
      <c r="I22" s="893" t="s">
        <v>969</v>
      </c>
      <c r="J22" s="899">
        <v>190182</v>
      </c>
      <c r="K22" s="899">
        <v>31309</v>
      </c>
      <c r="L22" s="899">
        <v>158873</v>
      </c>
      <c r="N22" s="899">
        <f t="shared" si="34"/>
        <v>0</v>
      </c>
      <c r="O22" s="899">
        <f t="shared" si="35"/>
        <v>4880</v>
      </c>
      <c r="P22" s="893" t="s">
        <v>969</v>
      </c>
      <c r="Q22" s="899">
        <v>190182</v>
      </c>
      <c r="R22" s="899">
        <v>36189</v>
      </c>
      <c r="S22" s="899">
        <v>153994</v>
      </c>
      <c r="U22" s="899">
        <f t="shared" si="36"/>
        <v>29335616</v>
      </c>
      <c r="V22" s="899">
        <f t="shared" si="37"/>
        <v>75116</v>
      </c>
      <c r="W22" s="893" t="s">
        <v>969</v>
      </c>
      <c r="X22" s="899">
        <v>29525798</v>
      </c>
      <c r="Y22" s="899">
        <v>111305</v>
      </c>
      <c r="Z22" s="899">
        <v>29414492</v>
      </c>
      <c r="AB22" s="899">
        <f t="shared" si="25"/>
        <v>45982</v>
      </c>
      <c r="AC22" s="899">
        <f t="shared" si="26"/>
        <v>855921</v>
      </c>
      <c r="AD22" s="893" t="s">
        <v>969</v>
      </c>
      <c r="AE22" s="899">
        <v>29571780</v>
      </c>
      <c r="AF22" s="899">
        <v>967226</v>
      </c>
      <c r="AG22" s="899">
        <v>28604554</v>
      </c>
      <c r="AI22" s="899">
        <f t="shared" si="27"/>
        <v>-38994.070000007749</v>
      </c>
      <c r="AJ22" s="898">
        <f t="shared" si="38"/>
        <v>-38994.070000007749</v>
      </c>
      <c r="AK22" s="899">
        <f t="shared" si="28"/>
        <v>850003.59999999893</v>
      </c>
      <c r="AL22" s="893" t="s">
        <v>969</v>
      </c>
      <c r="AM22" s="906">
        <v>29532785.929999992</v>
      </c>
      <c r="AN22" s="906">
        <v>1817229.5999999989</v>
      </c>
      <c r="AO22" s="907">
        <f t="shared" si="29"/>
        <v>27715556.329999994</v>
      </c>
      <c r="AP22" s="926"/>
      <c r="AQ22" s="899">
        <f t="shared" si="39"/>
        <v>0</v>
      </c>
      <c r="AR22" s="899">
        <f t="shared" si="40"/>
        <v>851210.80000000237</v>
      </c>
      <c r="AS22" s="893" t="s">
        <v>969</v>
      </c>
      <c r="AT22" s="908">
        <v>29532785.929999992</v>
      </c>
      <c r="AU22" s="899">
        <v>2668440.4000000013</v>
      </c>
      <c r="AV22" s="906">
        <f t="shared" si="20"/>
        <v>26864345.52999999</v>
      </c>
      <c r="AW22" s="926"/>
      <c r="AX22" s="899">
        <f t="shared" si="30"/>
        <v>0</v>
      </c>
      <c r="AY22" s="899">
        <f t="shared" si="21"/>
        <v>851210.79999999749</v>
      </c>
      <c r="AZ22" s="893" t="s">
        <v>969</v>
      </c>
      <c r="BA22" s="908">
        <v>29532785.929999992</v>
      </c>
      <c r="BB22" s="899">
        <v>3519651.1999999988</v>
      </c>
      <c r="BC22" s="906">
        <f t="shared" si="22"/>
        <v>26013134.729999993</v>
      </c>
      <c r="BD22" s="926"/>
      <c r="BE22" s="1546">
        <f t="shared" si="23"/>
        <v>0</v>
      </c>
      <c r="BF22" s="899">
        <f t="shared" si="24"/>
        <v>851210.80000000121</v>
      </c>
      <c r="BG22" s="893" t="s">
        <v>969</v>
      </c>
      <c r="BH22" s="899">
        <v>29532785.929999992</v>
      </c>
      <c r="BI22" s="899">
        <v>4370862</v>
      </c>
      <c r="BJ22" s="909">
        <v>25161923.929999992</v>
      </c>
      <c r="BK22" s="926"/>
      <c r="BL22" s="893" t="b">
        <f t="shared" si="31"/>
        <v>1</v>
      </c>
      <c r="BO22" s="893" t="s">
        <v>301</v>
      </c>
      <c r="BP22" s="893" t="s">
        <v>310</v>
      </c>
      <c r="BU22" s="11"/>
      <c r="BV22" s="1170"/>
      <c r="BW22" s="108"/>
      <c r="BX22" s="1530"/>
    </row>
    <row r="23" spans="2:76" x14ac:dyDescent="0.25">
      <c r="N23" s="899">
        <f>+Q23-J23</f>
        <v>37163838</v>
      </c>
      <c r="O23" s="899">
        <f t="shared" si="35"/>
        <v>555790</v>
      </c>
      <c r="P23" s="893" t="s">
        <v>971</v>
      </c>
      <c r="Q23" s="899">
        <v>37163838</v>
      </c>
      <c r="R23" s="899">
        <v>555790</v>
      </c>
      <c r="S23" s="899">
        <v>36608048</v>
      </c>
      <c r="U23" s="899">
        <f t="shared" si="36"/>
        <v>0</v>
      </c>
      <c r="V23" s="899">
        <f t="shared" si="37"/>
        <v>962480</v>
      </c>
      <c r="W23" s="893" t="s">
        <v>971</v>
      </c>
      <c r="X23" s="899">
        <v>37163838</v>
      </c>
      <c r="Y23" s="899">
        <v>1518270</v>
      </c>
      <c r="Z23" s="899">
        <v>35645568</v>
      </c>
      <c r="AB23" s="899">
        <f t="shared" si="25"/>
        <v>7900841</v>
      </c>
      <c r="AC23" s="899">
        <f t="shared" si="26"/>
        <v>1404736</v>
      </c>
      <c r="AD23" s="893" t="s">
        <v>971</v>
      </c>
      <c r="AE23" s="899">
        <v>45064679</v>
      </c>
      <c r="AF23" s="899">
        <v>2923006</v>
      </c>
      <c r="AG23" s="899">
        <v>42141673</v>
      </c>
      <c r="AH23" s="893" t="s">
        <v>943</v>
      </c>
      <c r="AI23" s="899">
        <f t="shared" si="27"/>
        <v>69706.10000000149</v>
      </c>
      <c r="AJ23" s="899">
        <f t="shared" si="38"/>
        <v>0</v>
      </c>
      <c r="AK23" s="899">
        <f t="shared" si="28"/>
        <v>1217525.6100000013</v>
      </c>
      <c r="AL23" s="893" t="s">
        <v>971</v>
      </c>
      <c r="AM23" s="906">
        <v>45064679</v>
      </c>
      <c r="AN23" s="906">
        <v>4140531.6100000013</v>
      </c>
      <c r="AO23" s="907">
        <f t="shared" si="29"/>
        <v>40924147.390000001</v>
      </c>
      <c r="AP23" s="926"/>
      <c r="AQ23" s="899">
        <f t="shared" si="39"/>
        <v>0</v>
      </c>
      <c r="AR23" s="899">
        <f t="shared" si="40"/>
        <v>1217525.9699999932</v>
      </c>
      <c r="AS23" s="893" t="s">
        <v>971</v>
      </c>
      <c r="AT23" s="908">
        <v>45064679</v>
      </c>
      <c r="AU23" s="899">
        <v>5358057.5799999945</v>
      </c>
      <c r="AV23" s="906">
        <f t="shared" si="20"/>
        <v>39706621.420000002</v>
      </c>
      <c r="AW23" s="926"/>
      <c r="AX23" s="899">
        <f t="shared" si="30"/>
        <v>0</v>
      </c>
      <c r="AY23" s="899">
        <f t="shared" si="21"/>
        <v>1217525.9700000053</v>
      </c>
      <c r="AZ23" s="893" t="s">
        <v>971</v>
      </c>
      <c r="BA23" s="908">
        <v>45064679</v>
      </c>
      <c r="BB23" s="899">
        <v>6575583.5499999998</v>
      </c>
      <c r="BC23" s="906">
        <f t="shared" si="22"/>
        <v>38489095.450000003</v>
      </c>
      <c r="BD23" s="926"/>
      <c r="BE23" s="899">
        <f t="shared" si="23"/>
        <v>69706.10000000149</v>
      </c>
      <c r="BF23" s="899">
        <f t="shared" si="24"/>
        <v>1230471.2499999991</v>
      </c>
      <c r="BG23" s="893" t="s">
        <v>971</v>
      </c>
      <c r="BH23" s="899">
        <v>45134385.100000001</v>
      </c>
      <c r="BI23" s="899">
        <v>7806054.7999999989</v>
      </c>
      <c r="BJ23" s="909">
        <v>37328330.300000004</v>
      </c>
      <c r="BK23" s="926"/>
      <c r="BL23" s="893" t="b">
        <f t="shared" si="31"/>
        <v>1</v>
      </c>
      <c r="BO23" s="893" t="s">
        <v>301</v>
      </c>
      <c r="BP23" s="893" t="s">
        <v>310</v>
      </c>
      <c r="BU23" s="11"/>
      <c r="BV23" s="1170"/>
      <c r="BW23" s="108"/>
      <c r="BX23" s="1530"/>
    </row>
    <row r="24" spans="2:76" x14ac:dyDescent="0.25">
      <c r="AB24" s="899">
        <f t="shared" si="25"/>
        <v>875767</v>
      </c>
      <c r="AC24" s="899">
        <f t="shared" si="26"/>
        <v>5623</v>
      </c>
      <c r="AD24" s="893" t="s">
        <v>973</v>
      </c>
      <c r="AE24" s="899">
        <v>875767</v>
      </c>
      <c r="AF24" s="899">
        <v>5623</v>
      </c>
      <c r="AG24" s="899">
        <v>870144</v>
      </c>
      <c r="AH24" s="893" t="s">
        <v>943</v>
      </c>
      <c r="AI24" s="899">
        <f t="shared" si="27"/>
        <v>-0.28999999957159162</v>
      </c>
      <c r="AJ24" s="899">
        <f t="shared" si="38"/>
        <v>-0.28999999957159162</v>
      </c>
      <c r="AK24" s="899">
        <f t="shared" si="28"/>
        <v>22494.610000000011</v>
      </c>
      <c r="AL24" s="893" t="s">
        <v>973</v>
      </c>
      <c r="AM24" s="906">
        <v>875766.71000000043</v>
      </c>
      <c r="AN24" s="906">
        <v>28117.610000000011</v>
      </c>
      <c r="AO24" s="907">
        <f t="shared" si="29"/>
        <v>847649.10000000044</v>
      </c>
      <c r="AP24" s="926"/>
      <c r="AQ24" s="899">
        <f t="shared" si="39"/>
        <v>0</v>
      </c>
      <c r="AR24" s="899">
        <f t="shared" si="40"/>
        <v>22494.430000000062</v>
      </c>
      <c r="AS24" s="893" t="s">
        <v>973</v>
      </c>
      <c r="AT24" s="908">
        <v>875766.71000000043</v>
      </c>
      <c r="AU24" s="899">
        <v>50612.040000000074</v>
      </c>
      <c r="AV24" s="906">
        <f t="shared" si="20"/>
        <v>825154.67000000039</v>
      </c>
      <c r="AW24" s="926"/>
      <c r="AX24" s="899">
        <f t="shared" si="30"/>
        <v>0</v>
      </c>
      <c r="AY24" s="899">
        <f t="shared" si="21"/>
        <v>22494.429999999767</v>
      </c>
      <c r="AZ24" s="893" t="s">
        <v>973</v>
      </c>
      <c r="BA24" s="908">
        <v>875766.71000000043</v>
      </c>
      <c r="BB24" s="899">
        <v>73106.469999999841</v>
      </c>
      <c r="BC24" s="906">
        <f t="shared" si="22"/>
        <v>802660.24000000057</v>
      </c>
      <c r="BD24" s="926"/>
      <c r="BE24" s="899">
        <f t="shared" si="23"/>
        <v>0</v>
      </c>
      <c r="BF24" s="899">
        <f t="shared" si="24"/>
        <v>22494.430000000371</v>
      </c>
      <c r="BG24" s="893" t="s">
        <v>973</v>
      </c>
      <c r="BH24" s="899">
        <v>875766.71000000043</v>
      </c>
      <c r="BI24" s="899">
        <v>95600.900000000212</v>
      </c>
      <c r="BJ24" s="909">
        <v>780165.81000000017</v>
      </c>
      <c r="BK24" s="926"/>
      <c r="BL24" s="893" t="b">
        <f t="shared" si="31"/>
        <v>1</v>
      </c>
      <c r="BO24" s="893" t="s">
        <v>301</v>
      </c>
      <c r="BP24" s="893" t="s">
        <v>310</v>
      </c>
      <c r="BU24" s="11"/>
      <c r="BV24" s="1170"/>
      <c r="BW24" s="108"/>
      <c r="BX24" s="1530"/>
    </row>
    <row r="25" spans="2:76" x14ac:dyDescent="0.25">
      <c r="AB25" s="899">
        <f t="shared" si="25"/>
        <v>641050</v>
      </c>
      <c r="AC25" s="899">
        <f t="shared" si="26"/>
        <v>4152</v>
      </c>
      <c r="AD25" s="893" t="s">
        <v>975</v>
      </c>
      <c r="AE25" s="899">
        <v>641050</v>
      </c>
      <c r="AF25" s="899">
        <v>4152</v>
      </c>
      <c r="AG25" s="899">
        <v>636898</v>
      </c>
      <c r="AH25" s="893" t="s">
        <v>943</v>
      </c>
      <c r="AI25" s="899">
        <f t="shared" si="27"/>
        <v>0.14000000047963113</v>
      </c>
      <c r="AJ25" s="899">
        <f t="shared" si="38"/>
        <v>0.14000000047963113</v>
      </c>
      <c r="AK25" s="899">
        <f t="shared" si="28"/>
        <v>16609.660000000007</v>
      </c>
      <c r="AL25" s="893" t="s">
        <v>975</v>
      </c>
      <c r="AM25" s="906">
        <v>641050.14000000048</v>
      </c>
      <c r="AN25" s="906">
        <v>20761.660000000007</v>
      </c>
      <c r="AO25" s="907">
        <f t="shared" si="29"/>
        <v>620288.48000000045</v>
      </c>
      <c r="AP25" s="926"/>
      <c r="AQ25" s="899">
        <f t="shared" si="39"/>
        <v>0</v>
      </c>
      <c r="AR25" s="899">
        <f t="shared" si="40"/>
        <v>16609.650000000071</v>
      </c>
      <c r="AS25" s="893" t="s">
        <v>975</v>
      </c>
      <c r="AT25" s="908">
        <v>641050.14000000048</v>
      </c>
      <c r="AU25" s="899">
        <v>37371.310000000078</v>
      </c>
      <c r="AV25" s="906">
        <f t="shared" si="20"/>
        <v>603678.83000000042</v>
      </c>
      <c r="AW25" s="926"/>
      <c r="AX25" s="899">
        <f t="shared" si="30"/>
        <v>0</v>
      </c>
      <c r="AY25" s="899">
        <f t="shared" si="21"/>
        <v>16609.650000000052</v>
      </c>
      <c r="AZ25" s="893" t="s">
        <v>975</v>
      </c>
      <c r="BA25" s="908">
        <v>641050.14000000048</v>
      </c>
      <c r="BB25" s="899">
        <v>53980.96000000013</v>
      </c>
      <c r="BC25" s="906">
        <f t="shared" si="22"/>
        <v>587069.1800000004</v>
      </c>
      <c r="BD25" s="926"/>
      <c r="BE25" s="899">
        <f t="shared" si="23"/>
        <v>0</v>
      </c>
      <c r="BF25" s="899">
        <f t="shared" si="24"/>
        <v>16609.649999999958</v>
      </c>
      <c r="BG25" s="893" t="s">
        <v>975</v>
      </c>
      <c r="BH25" s="899">
        <v>641050.14000000048</v>
      </c>
      <c r="BI25" s="899">
        <v>70590.610000000088</v>
      </c>
      <c r="BJ25" s="909">
        <v>570459.53000000038</v>
      </c>
      <c r="BK25" s="926"/>
      <c r="BL25" s="893" t="b">
        <f t="shared" si="31"/>
        <v>1</v>
      </c>
      <c r="BO25" s="893" t="s">
        <v>301</v>
      </c>
      <c r="BP25" s="893" t="s">
        <v>310</v>
      </c>
      <c r="BU25" s="11"/>
      <c r="BV25" s="1170"/>
      <c r="BW25" s="108"/>
      <c r="BX25" s="1530"/>
    </row>
    <row r="26" spans="2:76" x14ac:dyDescent="0.25">
      <c r="AB26" s="899">
        <f t="shared" si="25"/>
        <v>0</v>
      </c>
      <c r="AC26" s="899">
        <f t="shared" si="26"/>
        <v>0</v>
      </c>
      <c r="AD26" s="893" t="s">
        <v>977</v>
      </c>
      <c r="AE26" s="893">
        <v>0</v>
      </c>
      <c r="AF26" s="893">
        <v>0</v>
      </c>
      <c r="AG26" s="893">
        <v>0</v>
      </c>
      <c r="AI26" s="899">
        <f t="shared" si="27"/>
        <v>0</v>
      </c>
      <c r="AJ26" s="899">
        <f t="shared" si="38"/>
        <v>0</v>
      </c>
      <c r="AK26" s="899">
        <f t="shared" si="28"/>
        <v>0</v>
      </c>
      <c r="AL26" s="893" t="s">
        <v>977</v>
      </c>
      <c r="AM26" s="906">
        <v>0</v>
      </c>
      <c r="AN26" s="906">
        <v>0</v>
      </c>
      <c r="AO26" s="907">
        <f t="shared" si="29"/>
        <v>0</v>
      </c>
      <c r="AP26" s="926"/>
      <c r="AQ26" s="899">
        <f t="shared" si="39"/>
        <v>0</v>
      </c>
      <c r="AR26" s="899">
        <f t="shared" si="40"/>
        <v>0</v>
      </c>
      <c r="AS26" s="893" t="s">
        <v>977</v>
      </c>
      <c r="AT26" s="906">
        <v>0</v>
      </c>
      <c r="AU26" s="909">
        <v>0</v>
      </c>
      <c r="AV26" s="906">
        <f t="shared" si="20"/>
        <v>0</v>
      </c>
      <c r="AW26" s="926"/>
      <c r="AX26" s="899">
        <f t="shared" si="30"/>
        <v>0</v>
      </c>
      <c r="AY26" s="899">
        <f t="shared" si="21"/>
        <v>0</v>
      </c>
      <c r="AZ26" s="893" t="s">
        <v>977</v>
      </c>
      <c r="BA26" s="906">
        <v>0</v>
      </c>
      <c r="BB26" s="909">
        <v>0</v>
      </c>
      <c r="BC26" s="906">
        <f t="shared" si="22"/>
        <v>0</v>
      </c>
      <c r="BD26" s="926"/>
      <c r="BE26" s="899">
        <f t="shared" si="23"/>
        <v>0</v>
      </c>
      <c r="BF26" s="899">
        <f t="shared" si="24"/>
        <v>0</v>
      </c>
      <c r="BG26" s="893" t="s">
        <v>977</v>
      </c>
      <c r="BH26" s="909">
        <v>0</v>
      </c>
      <c r="BI26" s="909">
        <v>0</v>
      </c>
      <c r="BJ26" s="909">
        <v>0</v>
      </c>
      <c r="BK26" s="926"/>
      <c r="BL26" s="893" t="b">
        <f t="shared" si="31"/>
        <v>1</v>
      </c>
      <c r="BO26" s="893" t="s">
        <v>301</v>
      </c>
      <c r="BP26" s="893" t="s">
        <v>310</v>
      </c>
      <c r="BU26" s="11"/>
      <c r="BV26" s="1530"/>
      <c r="BW26" s="1535"/>
      <c r="BX26" s="1530"/>
    </row>
    <row r="27" spans="2:76" x14ac:dyDescent="0.25">
      <c r="G27" s="899">
        <f t="shared" ref="G27:H40" si="41">+J27-C27</f>
        <v>94801929</v>
      </c>
      <c r="H27" s="899">
        <f t="shared" si="41"/>
        <v>2355870</v>
      </c>
      <c r="I27" s="893" t="s">
        <v>979</v>
      </c>
      <c r="J27" s="899">
        <v>94801929</v>
      </c>
      <c r="K27" s="899">
        <v>2355870</v>
      </c>
      <c r="L27" s="899">
        <v>92446059</v>
      </c>
      <c r="N27" s="899">
        <f t="shared" ref="N27:O40" si="42">+Q27-J27</f>
        <v>8118718</v>
      </c>
      <c r="O27" s="899">
        <f t="shared" si="42"/>
        <v>3161712</v>
      </c>
      <c r="P27" s="893" t="s">
        <v>979</v>
      </c>
      <c r="Q27" s="899">
        <v>102920647</v>
      </c>
      <c r="R27" s="899">
        <v>5517582</v>
      </c>
      <c r="S27" s="899">
        <v>97403065</v>
      </c>
      <c r="U27" s="899">
        <f t="shared" ref="U27:V40" si="43">+X27-Q27</f>
        <v>2049088</v>
      </c>
      <c r="V27" s="899">
        <f t="shared" si="43"/>
        <v>2704255</v>
      </c>
      <c r="W27" s="893" t="s">
        <v>979</v>
      </c>
      <c r="X27" s="899">
        <v>104969735</v>
      </c>
      <c r="Y27" s="899">
        <v>8221837</v>
      </c>
      <c r="Z27" s="899">
        <v>96747899</v>
      </c>
      <c r="AB27" s="899">
        <f t="shared" si="25"/>
        <v>-224829</v>
      </c>
      <c r="AC27" s="899">
        <f t="shared" si="26"/>
        <v>2793760</v>
      </c>
      <c r="AD27" s="893" t="s">
        <v>979</v>
      </c>
      <c r="AE27" s="899">
        <v>104744906</v>
      </c>
      <c r="AF27" s="899">
        <v>11015597</v>
      </c>
      <c r="AG27" s="899">
        <v>93729309</v>
      </c>
      <c r="AH27" s="893" t="s">
        <v>943</v>
      </c>
      <c r="AI27" s="899">
        <f t="shared" si="27"/>
        <v>5099087.7599997818</v>
      </c>
      <c r="AJ27" s="898">
        <f>AM27-AE27</f>
        <v>1104073.7099997699</v>
      </c>
      <c r="AK27" s="899">
        <f t="shared" si="28"/>
        <v>2824432.1399999205</v>
      </c>
      <c r="AL27" s="893" t="s">
        <v>979</v>
      </c>
      <c r="AM27" s="906">
        <v>105848979.70999977</v>
      </c>
      <c r="AN27" s="906">
        <v>13840029.139999921</v>
      </c>
      <c r="AO27" s="907">
        <f t="shared" si="29"/>
        <v>92008950.569999844</v>
      </c>
      <c r="AP27" s="926"/>
      <c r="AQ27" s="899">
        <f t="shared" si="39"/>
        <v>25559.540000006557</v>
      </c>
      <c r="AR27" s="899">
        <f t="shared" si="40"/>
        <v>2834192.7900002189</v>
      </c>
      <c r="AS27" s="893" t="s">
        <v>979</v>
      </c>
      <c r="AT27" s="908">
        <v>105874539.24999978</v>
      </c>
      <c r="AU27" s="899">
        <v>16674221.930000139</v>
      </c>
      <c r="AV27" s="906">
        <f t="shared" si="20"/>
        <v>89200317.319999635</v>
      </c>
      <c r="AW27" s="926"/>
      <c r="AX27" s="899">
        <f t="shared" si="30"/>
        <v>3689674.3800000101</v>
      </c>
      <c r="AY27" s="899">
        <f t="shared" si="21"/>
        <v>3162494.5399998594</v>
      </c>
      <c r="AZ27" s="893" t="s">
        <v>979</v>
      </c>
      <c r="BA27" s="908">
        <v>109564213.62999979</v>
      </c>
      <c r="BB27" s="899">
        <v>19836716.469999999</v>
      </c>
      <c r="BC27" s="906">
        <f t="shared" si="22"/>
        <v>89727497.159999788</v>
      </c>
      <c r="BD27" s="926"/>
      <c r="BE27" s="1546">
        <f t="shared" si="23"/>
        <v>279780.12999999523</v>
      </c>
      <c r="BF27" s="899">
        <f t="shared" si="24"/>
        <v>2965971.1199998558</v>
      </c>
      <c r="BG27" s="893" t="s">
        <v>979</v>
      </c>
      <c r="BH27" s="899">
        <v>109843993.75999978</v>
      </c>
      <c r="BI27" s="899">
        <v>22802687.589999855</v>
      </c>
      <c r="BJ27" s="909">
        <v>87041306.169999927</v>
      </c>
      <c r="BK27" s="926"/>
      <c r="BL27" s="893" t="b">
        <f t="shared" si="31"/>
        <v>1</v>
      </c>
      <c r="BO27" s="893" t="s">
        <v>301</v>
      </c>
      <c r="BP27" s="893" t="s">
        <v>310</v>
      </c>
      <c r="BU27" s="11"/>
      <c r="BV27" s="1170"/>
      <c r="BW27" s="108"/>
      <c r="BX27" s="1530"/>
    </row>
    <row r="28" spans="2:76" x14ac:dyDescent="0.25">
      <c r="B28" s="893" t="s">
        <v>970</v>
      </c>
      <c r="C28" s="899">
        <v>5479673.2900000131</v>
      </c>
      <c r="D28" s="899">
        <v>4520097.93</v>
      </c>
      <c r="E28" s="899">
        <v>959575.36000001337</v>
      </c>
      <c r="G28" s="899">
        <f t="shared" si="41"/>
        <v>-161164.29000001308</v>
      </c>
      <c r="H28" s="899">
        <f t="shared" si="41"/>
        <v>76252.070000000298</v>
      </c>
      <c r="I28" s="893" t="s">
        <v>970</v>
      </c>
      <c r="J28" s="899">
        <v>5318509</v>
      </c>
      <c r="K28" s="899">
        <v>4596350</v>
      </c>
      <c r="L28" s="899">
        <v>722158</v>
      </c>
      <c r="N28" s="899">
        <f t="shared" si="42"/>
        <v>0</v>
      </c>
      <c r="O28" s="899">
        <f t="shared" si="42"/>
        <v>76252</v>
      </c>
      <c r="P28" s="893" t="s">
        <v>970</v>
      </c>
      <c r="Q28" s="899">
        <v>5318509</v>
      </c>
      <c r="R28" s="899">
        <v>4672602</v>
      </c>
      <c r="S28" s="899">
        <v>645906</v>
      </c>
      <c r="U28" s="899">
        <f t="shared" si="43"/>
        <v>0</v>
      </c>
      <c r="V28" s="899">
        <f t="shared" si="43"/>
        <v>76252</v>
      </c>
      <c r="W28" s="893" t="s">
        <v>970</v>
      </c>
      <c r="X28" s="899">
        <v>5318509</v>
      </c>
      <c r="Y28" s="899">
        <v>4748854</v>
      </c>
      <c r="Z28" s="899">
        <v>569654</v>
      </c>
      <c r="AB28" s="899">
        <f t="shared" si="25"/>
        <v>0</v>
      </c>
      <c r="AC28" s="899">
        <f t="shared" si="26"/>
        <v>62280</v>
      </c>
      <c r="AD28" s="893" t="s">
        <v>970</v>
      </c>
      <c r="AE28" s="899">
        <v>5318509</v>
      </c>
      <c r="AF28" s="899">
        <v>4811134</v>
      </c>
      <c r="AG28" s="899">
        <v>507374</v>
      </c>
      <c r="AI28" s="899">
        <f t="shared" si="27"/>
        <v>62008.709999999031</v>
      </c>
      <c r="AJ28" s="898">
        <f t="shared" si="38"/>
        <v>-0.46000000089406967</v>
      </c>
      <c r="AK28" s="899">
        <f t="shared" si="28"/>
        <v>16449.86999999918</v>
      </c>
      <c r="AL28" s="932" t="s">
        <v>970</v>
      </c>
      <c r="AM28" s="906">
        <v>5318508.5399999991</v>
      </c>
      <c r="AN28" s="906">
        <v>4827583.8699999992</v>
      </c>
      <c r="AO28" s="907">
        <f t="shared" si="29"/>
        <v>490924.66999999993</v>
      </c>
      <c r="AP28" s="926"/>
      <c r="AQ28" s="899">
        <f t="shared" si="39"/>
        <v>62009.169999999925</v>
      </c>
      <c r="AR28" s="899">
        <f t="shared" si="40"/>
        <v>20758.719999999739</v>
      </c>
      <c r="AS28" s="932" t="s">
        <v>970</v>
      </c>
      <c r="AT28" s="908">
        <v>5380517.709999999</v>
      </c>
      <c r="AU28" s="899">
        <v>4848342.5899999989</v>
      </c>
      <c r="AV28" s="906">
        <f t="shared" si="20"/>
        <v>532175.12000000011</v>
      </c>
      <c r="AW28" s="926"/>
      <c r="AX28" s="899">
        <f t="shared" si="30"/>
        <v>0</v>
      </c>
      <c r="AY28" s="899">
        <f t="shared" si="21"/>
        <v>18683.680000000633</v>
      </c>
      <c r="AZ28" s="932" t="s">
        <v>970</v>
      </c>
      <c r="BA28" s="908">
        <v>5380517.709999999</v>
      </c>
      <c r="BB28" s="899">
        <v>4867026.2699999996</v>
      </c>
      <c r="BC28" s="906">
        <f t="shared" si="22"/>
        <v>513491.43999999948</v>
      </c>
      <c r="BD28" s="926"/>
      <c r="BE28" s="1546">
        <f t="shared" si="23"/>
        <v>0</v>
      </c>
      <c r="BF28" s="899">
        <f t="shared" si="24"/>
        <v>18683.679999997839</v>
      </c>
      <c r="BG28" s="932" t="s">
        <v>970</v>
      </c>
      <c r="BH28" s="899">
        <v>5380517.709999999</v>
      </c>
      <c r="BI28" s="899">
        <v>4885709.9499999974</v>
      </c>
      <c r="BJ28" s="909">
        <v>494807.76000000164</v>
      </c>
      <c r="BK28" s="926"/>
      <c r="BL28" s="893" t="b">
        <f t="shared" si="31"/>
        <v>1</v>
      </c>
      <c r="BO28" s="893" t="s">
        <v>301</v>
      </c>
      <c r="BP28" s="893" t="s">
        <v>310</v>
      </c>
      <c r="BU28" s="1536"/>
      <c r="BV28" s="1170"/>
      <c r="BW28" s="108"/>
      <c r="BX28" s="1530"/>
    </row>
    <row r="29" spans="2:76" x14ac:dyDescent="0.25">
      <c r="B29" s="893" t="s">
        <v>972</v>
      </c>
      <c r="C29" s="899">
        <v>15382217.730000161</v>
      </c>
      <c r="D29" s="899">
        <v>13838935.060000001</v>
      </c>
      <c r="E29" s="899">
        <v>1543282.6700001601</v>
      </c>
      <c r="G29" s="899">
        <f t="shared" si="41"/>
        <v>-119749.73000016063</v>
      </c>
      <c r="H29" s="899">
        <f t="shared" si="41"/>
        <v>160542.93999999948</v>
      </c>
      <c r="I29" s="893" t="s">
        <v>972</v>
      </c>
      <c r="J29" s="899">
        <v>15262468</v>
      </c>
      <c r="K29" s="899">
        <v>13999478</v>
      </c>
      <c r="L29" s="899">
        <v>1262990</v>
      </c>
      <c r="N29" s="899">
        <f t="shared" si="42"/>
        <v>0</v>
      </c>
      <c r="O29" s="899">
        <f t="shared" si="42"/>
        <v>238144</v>
      </c>
      <c r="P29" s="893" t="s">
        <v>972</v>
      </c>
      <c r="Q29" s="899">
        <v>15262468</v>
      </c>
      <c r="R29" s="899">
        <v>14237622</v>
      </c>
      <c r="S29" s="899">
        <v>1024846</v>
      </c>
      <c r="U29" s="899">
        <f t="shared" si="43"/>
        <v>7551</v>
      </c>
      <c r="V29" s="899">
        <f t="shared" si="43"/>
        <v>238630</v>
      </c>
      <c r="W29" s="893" t="s">
        <v>972</v>
      </c>
      <c r="X29" s="899">
        <v>15270019</v>
      </c>
      <c r="Y29" s="899">
        <v>14476252</v>
      </c>
      <c r="Z29" s="899">
        <v>793767</v>
      </c>
      <c r="AB29" s="899">
        <f t="shared" si="25"/>
        <v>0</v>
      </c>
      <c r="AC29" s="899">
        <f t="shared" si="26"/>
        <v>187144</v>
      </c>
      <c r="AD29" s="893" t="s">
        <v>972</v>
      </c>
      <c r="AE29" s="899">
        <v>15270019</v>
      </c>
      <c r="AF29" s="899">
        <v>14663396</v>
      </c>
      <c r="AG29" s="899">
        <v>606623</v>
      </c>
      <c r="AI29" s="899">
        <f t="shared" si="27"/>
        <v>2833318.7999999709</v>
      </c>
      <c r="AJ29" s="899">
        <f t="shared" si="38"/>
        <v>-5.0000028684735298E-2</v>
      </c>
      <c r="AK29" s="899">
        <f t="shared" si="28"/>
        <v>27893.62999997288</v>
      </c>
      <c r="AL29" s="932" t="s">
        <v>972</v>
      </c>
      <c r="AM29" s="906">
        <v>15270018.949999971</v>
      </c>
      <c r="AN29" s="906">
        <v>14691289.629999973</v>
      </c>
      <c r="AO29" s="907">
        <f t="shared" si="29"/>
        <v>578729.31999999844</v>
      </c>
      <c r="AP29" s="926"/>
      <c r="AQ29" s="899">
        <f t="shared" si="39"/>
        <v>0</v>
      </c>
      <c r="AR29" s="899">
        <f t="shared" si="40"/>
        <v>16789.88000000082</v>
      </c>
      <c r="AS29" s="932" t="s">
        <v>972</v>
      </c>
      <c r="AT29" s="908">
        <v>15270018.949999971</v>
      </c>
      <c r="AU29" s="899">
        <v>14708079.509999974</v>
      </c>
      <c r="AV29" s="906">
        <f t="shared" si="20"/>
        <v>561939.43999999762</v>
      </c>
      <c r="AW29" s="926"/>
      <c r="AX29" s="899">
        <f t="shared" si="30"/>
        <v>0</v>
      </c>
      <c r="AY29" s="899">
        <f t="shared" si="21"/>
        <v>16789.879999998957</v>
      </c>
      <c r="AZ29" s="932" t="s">
        <v>972</v>
      </c>
      <c r="BA29" s="908">
        <v>15270018.949999971</v>
      </c>
      <c r="BB29" s="899">
        <v>14724869.389999973</v>
      </c>
      <c r="BC29" s="906">
        <f t="shared" si="22"/>
        <v>545149.55999999866</v>
      </c>
      <c r="BD29" s="926"/>
      <c r="BE29" s="1546">
        <f>BH29-BA29</f>
        <v>2833318.8499999996</v>
      </c>
      <c r="BF29" s="899">
        <f t="shared" si="24"/>
        <v>77503.849999997765</v>
      </c>
      <c r="BG29" s="932" t="s">
        <v>972</v>
      </c>
      <c r="BH29" s="899">
        <v>18103337.799999971</v>
      </c>
      <c r="BI29" s="899">
        <v>14802373.23999997</v>
      </c>
      <c r="BJ29" s="909">
        <v>3300964.5600000005</v>
      </c>
      <c r="BK29" s="926"/>
      <c r="BL29" s="893" t="b">
        <f t="shared" si="31"/>
        <v>1</v>
      </c>
      <c r="BO29" s="893" t="s">
        <v>301</v>
      </c>
      <c r="BP29" s="893" t="s">
        <v>310</v>
      </c>
      <c r="BU29" s="1536"/>
      <c r="BV29" s="1170"/>
      <c r="BW29" s="108"/>
      <c r="BX29" s="1530"/>
    </row>
    <row r="30" spans="2:76" x14ac:dyDescent="0.25">
      <c r="G30" s="899">
        <f t="shared" si="41"/>
        <v>51763106</v>
      </c>
      <c r="H30" s="899">
        <f t="shared" si="41"/>
        <v>349950</v>
      </c>
      <c r="I30" s="893" t="s">
        <v>983</v>
      </c>
      <c r="J30" s="899">
        <v>51763106</v>
      </c>
      <c r="K30" s="899">
        <v>349950</v>
      </c>
      <c r="L30" s="899">
        <v>51413156</v>
      </c>
      <c r="N30" s="899">
        <f t="shared" si="42"/>
        <v>8556601</v>
      </c>
      <c r="O30" s="899">
        <f t="shared" si="42"/>
        <v>1402949</v>
      </c>
      <c r="P30" s="893" t="s">
        <v>983</v>
      </c>
      <c r="Q30" s="899">
        <v>60319707</v>
      </c>
      <c r="R30" s="899">
        <v>1752899</v>
      </c>
      <c r="S30" s="899">
        <v>58566808</v>
      </c>
      <c r="U30" s="899">
        <f t="shared" si="43"/>
        <v>661246</v>
      </c>
      <c r="V30" s="899">
        <f t="shared" si="43"/>
        <v>1840141</v>
      </c>
      <c r="W30" s="893" t="s">
        <v>983</v>
      </c>
      <c r="X30" s="899">
        <v>60980953</v>
      </c>
      <c r="Y30" s="899">
        <v>3593040</v>
      </c>
      <c r="Z30" s="899">
        <v>57387913</v>
      </c>
      <c r="AB30" s="899">
        <f t="shared" si="25"/>
        <v>0</v>
      </c>
      <c r="AC30" s="899">
        <f t="shared" si="26"/>
        <v>1667598</v>
      </c>
      <c r="AD30" s="893" t="s">
        <v>983</v>
      </c>
      <c r="AE30" s="899">
        <v>60980953</v>
      </c>
      <c r="AF30" s="899">
        <v>5260638</v>
      </c>
      <c r="AG30" s="899">
        <v>55720315</v>
      </c>
      <c r="AH30" s="893" t="s">
        <v>943</v>
      </c>
      <c r="AI30" s="899">
        <f t="shared" si="27"/>
        <v>223649.19999975711</v>
      </c>
      <c r="AJ30" s="898">
        <f t="shared" si="38"/>
        <v>151144.32999975979</v>
      </c>
      <c r="AK30" s="899">
        <f t="shared" si="28"/>
        <v>1621897.9499999732</v>
      </c>
      <c r="AL30" s="893" t="s">
        <v>983</v>
      </c>
      <c r="AM30" s="906">
        <v>61132097.32999976</v>
      </c>
      <c r="AN30" s="906">
        <v>6882535.9499999732</v>
      </c>
      <c r="AO30" s="907">
        <f t="shared" si="29"/>
        <v>54249561.379999787</v>
      </c>
      <c r="AP30" s="926"/>
      <c r="AQ30" s="899">
        <f t="shared" si="39"/>
        <v>22720.879999995232</v>
      </c>
      <c r="AR30" s="899">
        <f t="shared" si="40"/>
        <v>1624113.4200000297</v>
      </c>
      <c r="AS30" s="893" t="s">
        <v>983</v>
      </c>
      <c r="AT30" s="908">
        <v>61154818.209999755</v>
      </c>
      <c r="AU30" s="899">
        <v>8506649.3700000029</v>
      </c>
      <c r="AV30" s="906">
        <f t="shared" si="20"/>
        <v>52648168.83999975</v>
      </c>
      <c r="AW30" s="926"/>
      <c r="AX30" s="899">
        <f t="shared" si="30"/>
        <v>0</v>
      </c>
      <c r="AY30" s="899">
        <f t="shared" si="21"/>
        <v>1623626.4600000121</v>
      </c>
      <c r="AZ30" s="893" t="s">
        <v>983</v>
      </c>
      <c r="BA30" s="908">
        <v>61154818.209999755</v>
      </c>
      <c r="BB30" s="899">
        <v>10130275.830000015</v>
      </c>
      <c r="BC30" s="906">
        <f t="shared" si="22"/>
        <v>51024542.379999742</v>
      </c>
      <c r="BD30" s="926"/>
      <c r="BE30" s="1546">
        <f t="shared" si="23"/>
        <v>49783.990000002086</v>
      </c>
      <c r="BF30" s="899">
        <f t="shared" si="24"/>
        <v>1628960.3899999503</v>
      </c>
      <c r="BG30" s="893" t="s">
        <v>983</v>
      </c>
      <c r="BH30" s="899">
        <v>61204602.199999757</v>
      </c>
      <c r="BI30" s="899">
        <v>11759236.219999965</v>
      </c>
      <c r="BJ30" s="909">
        <v>49445365.979999796</v>
      </c>
      <c r="BK30" s="926"/>
      <c r="BL30" s="893" t="b">
        <f t="shared" si="31"/>
        <v>1</v>
      </c>
      <c r="BO30" s="893" t="s">
        <v>301</v>
      </c>
      <c r="BP30" s="893" t="s">
        <v>310</v>
      </c>
      <c r="BU30" s="11"/>
      <c r="BV30" s="1170"/>
      <c r="BW30" s="108"/>
      <c r="BX30" s="1530"/>
    </row>
    <row r="31" spans="2:76" x14ac:dyDescent="0.25">
      <c r="G31" s="899">
        <f t="shared" si="41"/>
        <v>144360203</v>
      </c>
      <c r="H31" s="899">
        <f t="shared" si="41"/>
        <v>987257</v>
      </c>
      <c r="I31" s="893" t="s">
        <v>985</v>
      </c>
      <c r="J31" s="899">
        <v>144360203</v>
      </c>
      <c r="K31" s="899">
        <v>987257</v>
      </c>
      <c r="L31" s="899">
        <v>143372945</v>
      </c>
      <c r="N31" s="899">
        <f t="shared" si="42"/>
        <v>20463660</v>
      </c>
      <c r="O31" s="899">
        <f t="shared" si="42"/>
        <v>4974418</v>
      </c>
      <c r="P31" s="893" t="s">
        <v>985</v>
      </c>
      <c r="Q31" s="899">
        <v>164823863</v>
      </c>
      <c r="R31" s="899">
        <v>5961675</v>
      </c>
      <c r="S31" s="899">
        <v>158862189</v>
      </c>
      <c r="U31" s="899">
        <f t="shared" si="43"/>
        <v>947183</v>
      </c>
      <c r="V31" s="899">
        <f t="shared" si="43"/>
        <v>3823757</v>
      </c>
      <c r="W31" s="893" t="s">
        <v>985</v>
      </c>
      <c r="X31" s="899">
        <v>165771046</v>
      </c>
      <c r="Y31" s="899">
        <v>9785432</v>
      </c>
      <c r="Z31" s="899">
        <v>155985614</v>
      </c>
      <c r="AB31" s="899">
        <f t="shared" si="25"/>
        <v>-656876</v>
      </c>
      <c r="AC31" s="899">
        <f t="shared" si="26"/>
        <v>4496782</v>
      </c>
      <c r="AD31" s="893" t="s">
        <v>985</v>
      </c>
      <c r="AE31" s="899">
        <v>165114170</v>
      </c>
      <c r="AF31" s="899">
        <v>14282214</v>
      </c>
      <c r="AG31" s="899">
        <v>150831956</v>
      </c>
      <c r="AH31" s="893" t="s">
        <v>943</v>
      </c>
      <c r="AI31" s="899">
        <f t="shared" si="27"/>
        <v>-0.13000234961509705</v>
      </c>
      <c r="AJ31" s="899">
        <f t="shared" si="38"/>
        <v>-612.67000234127045</v>
      </c>
      <c r="AK31" s="899">
        <f t="shared" si="28"/>
        <v>5998858.9300004654</v>
      </c>
      <c r="AL31" s="893" t="s">
        <v>985</v>
      </c>
      <c r="AM31" s="906">
        <v>165113557.32999766</v>
      </c>
      <c r="AN31" s="906">
        <v>20281072.930000465</v>
      </c>
      <c r="AO31" s="907">
        <f t="shared" si="29"/>
        <v>144832484.3999972</v>
      </c>
      <c r="AP31" s="926"/>
      <c r="AQ31" s="899">
        <f t="shared" si="39"/>
        <v>612.53999999165535</v>
      </c>
      <c r="AR31" s="899">
        <f t="shared" si="40"/>
        <v>3057446.159999717</v>
      </c>
      <c r="AS31" s="893" t="s">
        <v>985</v>
      </c>
      <c r="AT31" s="908">
        <v>165114169.86999765</v>
      </c>
      <c r="AU31" s="899">
        <v>23338519.090000182</v>
      </c>
      <c r="AV31" s="906">
        <f t="shared" si="20"/>
        <v>141775650.77999747</v>
      </c>
      <c r="AW31" s="926"/>
      <c r="AX31" s="899">
        <f t="shared" si="30"/>
        <v>0</v>
      </c>
      <c r="AY31" s="899">
        <f t="shared" si="21"/>
        <v>4528152.4399994574</v>
      </c>
      <c r="AZ31" s="893" t="s">
        <v>985</v>
      </c>
      <c r="BA31" s="908">
        <v>165114169.86999765</v>
      </c>
      <c r="BB31" s="899">
        <v>27866671.52999964</v>
      </c>
      <c r="BC31" s="906">
        <f t="shared" si="22"/>
        <v>137247498.33999801</v>
      </c>
      <c r="BD31" s="926"/>
      <c r="BE31" s="1546">
        <f t="shared" si="23"/>
        <v>0</v>
      </c>
      <c r="BF31" s="899">
        <f t="shared" si="24"/>
        <v>4528152.4399997965</v>
      </c>
      <c r="BG31" s="893" t="s">
        <v>985</v>
      </c>
      <c r="BH31" s="899">
        <v>165114169.86999765</v>
      </c>
      <c r="BI31" s="899">
        <v>32394823.969999436</v>
      </c>
      <c r="BJ31" s="909">
        <v>132719345.89999822</v>
      </c>
      <c r="BK31" s="926"/>
      <c r="BL31" s="893" t="b">
        <f t="shared" si="31"/>
        <v>1</v>
      </c>
      <c r="BO31" s="893" t="s">
        <v>301</v>
      </c>
      <c r="BP31" s="893" t="s">
        <v>310</v>
      </c>
      <c r="BU31" s="11"/>
      <c r="BV31" s="1170"/>
      <c r="BW31" s="108"/>
      <c r="BX31" s="1530"/>
    </row>
    <row r="32" spans="2:76" x14ac:dyDescent="0.25">
      <c r="B32" s="893" t="s">
        <v>974</v>
      </c>
      <c r="C32" s="899">
        <v>17678038.319999702</v>
      </c>
      <c r="D32" s="899">
        <v>4145452.46964098</v>
      </c>
      <c r="E32" s="899">
        <v>13532585.850358723</v>
      </c>
      <c r="G32" s="899">
        <f t="shared" si="41"/>
        <v>220841.68000029773</v>
      </c>
      <c r="H32" s="899">
        <f t="shared" si="41"/>
        <v>2309971.53035902</v>
      </c>
      <c r="I32" s="893" t="s">
        <v>974</v>
      </c>
      <c r="J32" s="899">
        <v>17898880</v>
      </c>
      <c r="K32" s="899">
        <v>6455424</v>
      </c>
      <c r="L32" s="899">
        <v>11443457</v>
      </c>
      <c r="N32" s="899">
        <f t="shared" si="42"/>
        <v>0</v>
      </c>
      <c r="O32" s="899">
        <f t="shared" si="42"/>
        <v>488636</v>
      </c>
      <c r="P32" s="893" t="s">
        <v>974</v>
      </c>
      <c r="Q32" s="899">
        <v>17898880</v>
      </c>
      <c r="R32" s="899">
        <v>6944060</v>
      </c>
      <c r="S32" s="899">
        <v>10954820</v>
      </c>
      <c r="U32" s="899">
        <f t="shared" si="43"/>
        <v>0</v>
      </c>
      <c r="V32" s="899">
        <f t="shared" si="43"/>
        <v>488637</v>
      </c>
      <c r="W32" s="893" t="s">
        <v>974</v>
      </c>
      <c r="X32" s="899">
        <v>17898880</v>
      </c>
      <c r="Y32" s="899">
        <v>7432697</v>
      </c>
      <c r="Z32" s="899">
        <v>10466184</v>
      </c>
      <c r="AB32" s="899">
        <f t="shared" si="25"/>
        <v>0</v>
      </c>
      <c r="AC32" s="899">
        <f t="shared" si="26"/>
        <v>488636</v>
      </c>
      <c r="AD32" s="893" t="s">
        <v>974</v>
      </c>
      <c r="AE32" s="899">
        <v>17898880</v>
      </c>
      <c r="AF32" s="899">
        <v>7921333</v>
      </c>
      <c r="AG32" s="899">
        <v>9977547</v>
      </c>
      <c r="AI32" s="899">
        <f t="shared" si="27"/>
        <v>1531163.5400000438</v>
      </c>
      <c r="AJ32" s="899">
        <f t="shared" si="38"/>
        <v>0.28000004217028618</v>
      </c>
      <c r="AK32" s="899">
        <f t="shared" si="28"/>
        <v>488636.71000005305</v>
      </c>
      <c r="AL32" s="932" t="s">
        <v>974</v>
      </c>
      <c r="AM32" s="906">
        <v>17898880.280000042</v>
      </c>
      <c r="AN32" s="906">
        <v>8409969.710000053</v>
      </c>
      <c r="AO32" s="907">
        <f t="shared" si="29"/>
        <v>9488910.5699999891</v>
      </c>
      <c r="AP32" s="926"/>
      <c r="AQ32" s="899">
        <f t="shared" si="39"/>
        <v>0</v>
      </c>
      <c r="AR32" s="899">
        <f t="shared" si="40"/>
        <v>488636.5099993106</v>
      </c>
      <c r="AS32" s="932" t="s">
        <v>974</v>
      </c>
      <c r="AT32" s="908">
        <v>17898880.280000042</v>
      </c>
      <c r="AU32" s="899">
        <v>8898606.2199993636</v>
      </c>
      <c r="AV32" s="906">
        <f t="shared" si="20"/>
        <v>9000274.0600006785</v>
      </c>
      <c r="AW32" s="926"/>
      <c r="AX32" s="899">
        <f t="shared" si="30"/>
        <v>0</v>
      </c>
      <c r="AY32" s="899">
        <f t="shared" si="21"/>
        <v>488636.51000026427</v>
      </c>
      <c r="AZ32" s="932" t="s">
        <v>974</v>
      </c>
      <c r="BA32" s="908">
        <v>17898880.280000042</v>
      </c>
      <c r="BB32" s="899">
        <v>9387242.7299996279</v>
      </c>
      <c r="BC32" s="906">
        <f t="shared" si="22"/>
        <v>8511637.5500004143</v>
      </c>
      <c r="BD32" s="926"/>
      <c r="BE32" s="1546">
        <f t="shared" si="23"/>
        <v>1531163.2600000016</v>
      </c>
      <c r="BF32" s="899">
        <f t="shared" si="24"/>
        <v>587524.09000054188</v>
      </c>
      <c r="BG32" s="932" t="s">
        <v>974</v>
      </c>
      <c r="BH32" s="899">
        <v>19430043.540000044</v>
      </c>
      <c r="BI32" s="899">
        <v>9974766.8200001698</v>
      </c>
      <c r="BJ32" s="909">
        <v>9455276.719999874</v>
      </c>
      <c r="BK32" s="926"/>
      <c r="BL32" s="893" t="b">
        <f t="shared" si="31"/>
        <v>1</v>
      </c>
      <c r="BO32" s="893" t="s">
        <v>301</v>
      </c>
      <c r="BP32" s="893" t="s">
        <v>310</v>
      </c>
      <c r="BU32" s="1536"/>
      <c r="BV32" s="1170"/>
      <c r="BW32" s="108"/>
      <c r="BX32" s="1530"/>
    </row>
    <row r="33" spans="2:76" x14ac:dyDescent="0.25">
      <c r="B33" s="893" t="s">
        <v>976</v>
      </c>
      <c r="C33" s="899">
        <v>20814874.85000021</v>
      </c>
      <c r="D33" s="899">
        <v>20814874.85000021</v>
      </c>
      <c r="E33" s="899">
        <v>0</v>
      </c>
      <c r="G33" s="899">
        <f t="shared" si="41"/>
        <v>-220841.85000021011</v>
      </c>
      <c r="H33" s="899">
        <f t="shared" si="41"/>
        <v>-1451406.8500002101</v>
      </c>
      <c r="I33" s="893" t="s">
        <v>976</v>
      </c>
      <c r="J33" s="899">
        <v>20594033</v>
      </c>
      <c r="K33" s="899">
        <v>19363468</v>
      </c>
      <c r="L33" s="899">
        <v>1230565</v>
      </c>
      <c r="N33" s="899">
        <f t="shared" si="42"/>
        <v>0</v>
      </c>
      <c r="O33" s="899">
        <f t="shared" si="42"/>
        <v>369928</v>
      </c>
      <c r="P33" s="893" t="s">
        <v>976</v>
      </c>
      <c r="Q33" s="899">
        <v>20594033</v>
      </c>
      <c r="R33" s="899">
        <v>19733396</v>
      </c>
      <c r="S33" s="899">
        <v>860636</v>
      </c>
      <c r="U33" s="899">
        <f t="shared" si="43"/>
        <v>0</v>
      </c>
      <c r="V33" s="899">
        <f t="shared" si="43"/>
        <v>369929</v>
      </c>
      <c r="W33" s="893" t="s">
        <v>976</v>
      </c>
      <c r="X33" s="899">
        <v>20594033</v>
      </c>
      <c r="Y33" s="899">
        <v>20103325</v>
      </c>
      <c r="Z33" s="899">
        <v>490708</v>
      </c>
      <c r="AB33" s="899">
        <f t="shared" si="25"/>
        <v>45354</v>
      </c>
      <c r="AC33" s="899">
        <f t="shared" si="26"/>
        <v>306165</v>
      </c>
      <c r="AD33" s="893" t="s">
        <v>976</v>
      </c>
      <c r="AE33" s="899">
        <v>20639387</v>
      </c>
      <c r="AF33" s="899">
        <v>20409490</v>
      </c>
      <c r="AG33" s="899">
        <v>229897</v>
      </c>
      <c r="AI33" s="899">
        <f t="shared" si="27"/>
        <v>-0.33000006154179573</v>
      </c>
      <c r="AJ33" s="899">
        <f t="shared" si="38"/>
        <v>-0.33000006154179573</v>
      </c>
      <c r="AK33" s="899">
        <f t="shared" si="28"/>
        <v>19783.969999931753</v>
      </c>
      <c r="AL33" s="932" t="s">
        <v>976</v>
      </c>
      <c r="AM33" s="906">
        <v>20639386.669999938</v>
      </c>
      <c r="AN33" s="906">
        <v>20429273.969999932</v>
      </c>
      <c r="AO33" s="907">
        <f t="shared" si="29"/>
        <v>210112.70000000671</v>
      </c>
      <c r="AP33" s="926"/>
      <c r="AQ33" s="899">
        <f t="shared" si="39"/>
        <v>0</v>
      </c>
      <c r="AR33" s="899">
        <f t="shared" si="40"/>
        <v>12154.190000005066</v>
      </c>
      <c r="AS33" s="932" t="s">
        <v>976</v>
      </c>
      <c r="AT33" s="908">
        <v>20639386.669999938</v>
      </c>
      <c r="AU33" s="899">
        <v>20441428.159999937</v>
      </c>
      <c r="AV33" s="906">
        <f t="shared" si="20"/>
        <v>197958.51000000164</v>
      </c>
      <c r="AW33" s="926"/>
      <c r="AX33" s="899">
        <f t="shared" si="30"/>
        <v>0</v>
      </c>
      <c r="AY33" s="899">
        <f t="shared" si="21"/>
        <v>12154.190000001341</v>
      </c>
      <c r="AZ33" s="932" t="s">
        <v>976</v>
      </c>
      <c r="BA33" s="908">
        <v>20639386.669999938</v>
      </c>
      <c r="BB33" s="899">
        <v>20453582.349999938</v>
      </c>
      <c r="BC33" s="906">
        <f t="shared" si="22"/>
        <v>185804.3200000003</v>
      </c>
      <c r="BD33" s="926"/>
      <c r="BE33" s="899">
        <f t="shared" si="23"/>
        <v>0</v>
      </c>
      <c r="BF33" s="899">
        <f t="shared" si="24"/>
        <v>12154.189999993891</v>
      </c>
      <c r="BG33" s="932" t="s">
        <v>976</v>
      </c>
      <c r="BH33" s="899">
        <v>20639386.669999938</v>
      </c>
      <c r="BI33" s="899">
        <v>20465736.539999932</v>
      </c>
      <c r="BJ33" s="909">
        <v>173650.13000000641</v>
      </c>
      <c r="BK33" s="926"/>
      <c r="BL33" s="893" t="b">
        <f t="shared" si="31"/>
        <v>1</v>
      </c>
      <c r="BO33" s="893" t="s">
        <v>301</v>
      </c>
      <c r="BP33" s="893" t="s">
        <v>310</v>
      </c>
      <c r="BU33" s="1536"/>
      <c r="BV33" s="1170"/>
      <c r="BW33" s="108"/>
      <c r="BX33" s="1530"/>
    </row>
    <row r="34" spans="2:76" x14ac:dyDescent="0.25">
      <c r="B34" s="893" t="s">
        <v>987</v>
      </c>
      <c r="C34" s="899">
        <v>5788685.8799999906</v>
      </c>
      <c r="D34" s="899">
        <v>5003676.45</v>
      </c>
      <c r="E34" s="899">
        <v>785009.42999999039</v>
      </c>
      <c r="G34" s="899">
        <f t="shared" si="41"/>
        <v>197979.12000000942</v>
      </c>
      <c r="H34" s="899">
        <f t="shared" si="41"/>
        <v>-985955.45000000019</v>
      </c>
      <c r="I34" s="893" t="s">
        <v>987</v>
      </c>
      <c r="J34" s="899">
        <v>5986665</v>
      </c>
      <c r="K34" s="899">
        <v>4017721</v>
      </c>
      <c r="L34" s="899">
        <v>1968944</v>
      </c>
      <c r="N34" s="899">
        <f t="shared" si="42"/>
        <v>0</v>
      </c>
      <c r="O34" s="899">
        <f t="shared" si="42"/>
        <v>122311</v>
      </c>
      <c r="P34" s="893" t="s">
        <v>987</v>
      </c>
      <c r="Q34" s="899">
        <v>5986665</v>
      </c>
      <c r="R34" s="899">
        <v>4140032</v>
      </c>
      <c r="S34" s="899">
        <v>1846633</v>
      </c>
      <c r="U34" s="899">
        <f t="shared" si="43"/>
        <v>0</v>
      </c>
      <c r="V34" s="899">
        <f t="shared" si="43"/>
        <v>122312</v>
      </c>
      <c r="W34" s="893" t="s">
        <v>987</v>
      </c>
      <c r="X34" s="899">
        <v>5986665</v>
      </c>
      <c r="Y34" s="899">
        <v>4262344</v>
      </c>
      <c r="Z34" s="899">
        <v>1724322</v>
      </c>
      <c r="AB34" s="899">
        <f t="shared" si="25"/>
        <v>0</v>
      </c>
      <c r="AC34" s="899">
        <f t="shared" si="26"/>
        <v>86525</v>
      </c>
      <c r="AD34" s="893" t="s">
        <v>987</v>
      </c>
      <c r="AE34" s="899">
        <v>5986665</v>
      </c>
      <c r="AF34" s="899">
        <v>4348869</v>
      </c>
      <c r="AG34" s="899">
        <v>1637797</v>
      </c>
      <c r="AI34" s="899">
        <f t="shared" si="27"/>
        <v>522118.30999998841</v>
      </c>
      <c r="AJ34" s="898">
        <f>AM34-AE34</f>
        <v>522118.30999998841</v>
      </c>
      <c r="AK34" s="899">
        <f t="shared" si="28"/>
        <v>504341.51999999117</v>
      </c>
      <c r="AL34" s="933" t="s">
        <v>987</v>
      </c>
      <c r="AM34" s="906">
        <v>6508783.3099999884</v>
      </c>
      <c r="AN34" s="906">
        <v>4853210.5199999912</v>
      </c>
      <c r="AO34" s="907">
        <f t="shared" si="29"/>
        <v>1655572.7899999972</v>
      </c>
      <c r="AP34" s="926"/>
      <c r="AQ34" s="899">
        <f t="shared" si="39"/>
        <v>0</v>
      </c>
      <c r="AR34" s="899">
        <f t="shared" si="40"/>
        <v>32824.379999999888</v>
      </c>
      <c r="AS34" s="933" t="s">
        <v>987</v>
      </c>
      <c r="AT34" s="908">
        <v>6508783.3099999884</v>
      </c>
      <c r="AU34" s="899">
        <v>4886034.8999999911</v>
      </c>
      <c r="AV34" s="906">
        <f t="shared" si="20"/>
        <v>1622748.4099999974</v>
      </c>
      <c r="AW34" s="926"/>
      <c r="AX34" s="899">
        <f t="shared" si="30"/>
        <v>0</v>
      </c>
      <c r="AY34" s="899">
        <f t="shared" si="21"/>
        <v>32824.379999999888</v>
      </c>
      <c r="AZ34" s="933" t="s">
        <v>987</v>
      </c>
      <c r="BA34" s="908">
        <v>6508783.3099999884</v>
      </c>
      <c r="BB34" s="899">
        <v>4918859.2799999909</v>
      </c>
      <c r="BC34" s="906">
        <f t="shared" si="22"/>
        <v>1589924.0299999975</v>
      </c>
      <c r="BD34" s="926"/>
      <c r="BE34" s="1546">
        <f t="shared" si="23"/>
        <v>0</v>
      </c>
      <c r="BF34" s="899">
        <f t="shared" si="24"/>
        <v>32824.379999999888</v>
      </c>
      <c r="BG34" s="933" t="s">
        <v>987</v>
      </c>
      <c r="BH34" s="899">
        <v>6508783.3099999884</v>
      </c>
      <c r="BI34" s="899">
        <v>4951683.6599999908</v>
      </c>
      <c r="BJ34" s="909">
        <v>1557099.6499999976</v>
      </c>
      <c r="BK34" s="926"/>
      <c r="BL34" s="893" t="b">
        <f t="shared" si="31"/>
        <v>1</v>
      </c>
      <c r="BO34" s="893" t="s">
        <v>301</v>
      </c>
      <c r="BP34" s="893" t="s">
        <v>310</v>
      </c>
      <c r="BU34" s="1537"/>
      <c r="BV34" s="1170"/>
      <c r="BW34" s="108"/>
      <c r="BX34" s="1530"/>
    </row>
    <row r="35" spans="2:76" x14ac:dyDescent="0.25">
      <c r="B35" s="893" t="s">
        <v>978</v>
      </c>
      <c r="C35" s="899">
        <v>5017483.4300000062</v>
      </c>
      <c r="D35" s="899">
        <v>3822203.31</v>
      </c>
      <c r="E35" s="899">
        <v>1195280.1200000062</v>
      </c>
      <c r="G35" s="899">
        <f t="shared" si="41"/>
        <v>-122242.43000000622</v>
      </c>
      <c r="H35" s="899">
        <f t="shared" si="41"/>
        <v>-331372.31000000006</v>
      </c>
      <c r="I35" s="893" t="s">
        <v>978</v>
      </c>
      <c r="J35" s="899">
        <v>4895241</v>
      </c>
      <c r="K35" s="899">
        <v>3490831</v>
      </c>
      <c r="L35" s="899">
        <v>1404410</v>
      </c>
      <c r="N35" s="899">
        <f t="shared" si="42"/>
        <v>0</v>
      </c>
      <c r="O35" s="899">
        <f t="shared" si="42"/>
        <v>54883</v>
      </c>
      <c r="P35" s="893" t="s">
        <v>978</v>
      </c>
      <c r="Q35" s="899">
        <v>4895241</v>
      </c>
      <c r="R35" s="899">
        <v>3545714</v>
      </c>
      <c r="S35" s="899">
        <v>1349527</v>
      </c>
      <c r="U35" s="899">
        <f t="shared" si="43"/>
        <v>0</v>
      </c>
      <c r="V35" s="899">
        <f t="shared" si="43"/>
        <v>54883</v>
      </c>
      <c r="W35" s="893" t="s">
        <v>978</v>
      </c>
      <c r="X35" s="899">
        <v>4895241</v>
      </c>
      <c r="Y35" s="899">
        <v>3600597</v>
      </c>
      <c r="Z35" s="899">
        <v>1294644</v>
      </c>
      <c r="AB35" s="899">
        <f t="shared" si="25"/>
        <v>0</v>
      </c>
      <c r="AC35" s="899">
        <f t="shared" si="26"/>
        <v>54882</v>
      </c>
      <c r="AD35" s="893" t="s">
        <v>978</v>
      </c>
      <c r="AE35" s="899">
        <v>4895241</v>
      </c>
      <c r="AF35" s="899">
        <v>3655479</v>
      </c>
      <c r="AG35" s="899">
        <v>1239762</v>
      </c>
      <c r="AI35" s="899">
        <f t="shared" si="27"/>
        <v>8.9999997988343239E-2</v>
      </c>
      <c r="AJ35" s="899">
        <f t="shared" si="38"/>
        <v>8.9999997988343239E-2</v>
      </c>
      <c r="AK35" s="899">
        <f t="shared" si="28"/>
        <v>54883.150000000373</v>
      </c>
      <c r="AL35" s="932" t="s">
        <v>978</v>
      </c>
      <c r="AM35" s="906">
        <v>4895241.089999998</v>
      </c>
      <c r="AN35" s="906">
        <v>3710362.1500000004</v>
      </c>
      <c r="AO35" s="907">
        <f t="shared" si="29"/>
        <v>1184878.9399999976</v>
      </c>
      <c r="AP35" s="926"/>
      <c r="AQ35" s="899">
        <f t="shared" si="39"/>
        <v>0</v>
      </c>
      <c r="AR35" s="899">
        <f t="shared" si="40"/>
        <v>54882.739999999758</v>
      </c>
      <c r="AS35" s="932" t="s">
        <v>978</v>
      </c>
      <c r="AT35" s="908">
        <v>4895241.089999998</v>
      </c>
      <c r="AU35" s="899">
        <v>3765244.89</v>
      </c>
      <c r="AV35" s="906">
        <f t="shared" si="20"/>
        <v>1129996.1999999979</v>
      </c>
      <c r="AW35" s="926"/>
      <c r="AX35" s="899">
        <f t="shared" si="30"/>
        <v>0</v>
      </c>
      <c r="AY35" s="899">
        <f t="shared" si="21"/>
        <v>54882.739999998827</v>
      </c>
      <c r="AZ35" s="932" t="s">
        <v>978</v>
      </c>
      <c r="BA35" s="908">
        <v>4895241.089999998</v>
      </c>
      <c r="BB35" s="899">
        <v>3820127.629999999</v>
      </c>
      <c r="BC35" s="906">
        <f t="shared" si="22"/>
        <v>1075113.459999999</v>
      </c>
      <c r="BD35" s="926"/>
      <c r="BE35" s="899">
        <f t="shared" si="23"/>
        <v>0</v>
      </c>
      <c r="BF35" s="899">
        <f t="shared" si="24"/>
        <v>54882.740000001155</v>
      </c>
      <c r="BG35" s="932" t="s">
        <v>978</v>
      </c>
      <c r="BH35" s="899">
        <v>4895241.089999998</v>
      </c>
      <c r="BI35" s="899">
        <v>3875010.37</v>
      </c>
      <c r="BJ35" s="909">
        <v>1020230.7199999979</v>
      </c>
      <c r="BK35" s="926"/>
      <c r="BL35" s="893" t="b">
        <f t="shared" si="31"/>
        <v>1</v>
      </c>
      <c r="BO35" s="893" t="s">
        <v>301</v>
      </c>
      <c r="BP35" s="893" t="s">
        <v>310</v>
      </c>
      <c r="BU35" s="1536"/>
      <c r="BV35" s="1170"/>
      <c r="BW35" s="108"/>
      <c r="BX35" s="1530"/>
    </row>
    <row r="36" spans="2:76" x14ac:dyDescent="0.25">
      <c r="B36" s="893" t="s">
        <v>984</v>
      </c>
      <c r="C36" s="899">
        <v>2055550.2199999983</v>
      </c>
      <c r="D36" s="899">
        <v>1767493.76</v>
      </c>
      <c r="E36" s="899">
        <v>288056.45999999833</v>
      </c>
      <c r="G36" s="899">
        <f t="shared" si="41"/>
        <v>-195741.21999999834</v>
      </c>
      <c r="H36" s="899">
        <f t="shared" si="41"/>
        <v>24302.239999999991</v>
      </c>
      <c r="I36" s="893" t="s">
        <v>984</v>
      </c>
      <c r="J36" s="899">
        <v>1859809</v>
      </c>
      <c r="K36" s="899">
        <v>1791796</v>
      </c>
      <c r="L36" s="899">
        <v>68014</v>
      </c>
      <c r="N36" s="899">
        <f t="shared" si="42"/>
        <v>0</v>
      </c>
      <c r="O36" s="899">
        <f t="shared" si="42"/>
        <v>24301</v>
      </c>
      <c r="P36" s="893" t="s">
        <v>984</v>
      </c>
      <c r="Q36" s="899">
        <v>1859809</v>
      </c>
      <c r="R36" s="899">
        <v>1816097</v>
      </c>
      <c r="S36" s="899">
        <v>43712</v>
      </c>
      <c r="U36" s="899">
        <f t="shared" si="43"/>
        <v>0</v>
      </c>
      <c r="V36" s="899">
        <f t="shared" si="43"/>
        <v>24302</v>
      </c>
      <c r="W36" s="893" t="s">
        <v>984</v>
      </c>
      <c r="X36" s="899">
        <v>1859809</v>
      </c>
      <c r="Y36" s="899">
        <v>1840399</v>
      </c>
      <c r="Z36" s="899">
        <v>19410</v>
      </c>
      <c r="AB36" s="899">
        <f t="shared" si="25"/>
        <v>0</v>
      </c>
      <c r="AC36" s="899">
        <f t="shared" si="26"/>
        <v>18814</v>
      </c>
      <c r="AD36" s="893" t="s">
        <v>984</v>
      </c>
      <c r="AE36" s="899">
        <v>1859809</v>
      </c>
      <c r="AF36" s="899">
        <v>1859213</v>
      </c>
      <c r="AG36" s="893">
        <v>596</v>
      </c>
      <c r="AI36" s="899">
        <f t="shared" si="27"/>
        <v>0.35000000009313226</v>
      </c>
      <c r="AJ36" s="899">
        <f t="shared" si="38"/>
        <v>0.35000000009313226</v>
      </c>
      <c r="AK36" s="899">
        <f t="shared" si="28"/>
        <v>596.35000000009313</v>
      </c>
      <c r="AL36" s="932" t="s">
        <v>984</v>
      </c>
      <c r="AM36" s="906">
        <v>1859809.35</v>
      </c>
      <c r="AN36" s="906">
        <v>1859809.35</v>
      </c>
      <c r="AO36" s="907">
        <f t="shared" si="29"/>
        <v>0</v>
      </c>
      <c r="AP36" s="926"/>
      <c r="AQ36" s="899">
        <f t="shared" si="39"/>
        <v>0</v>
      </c>
      <c r="AR36" s="899">
        <f t="shared" si="40"/>
        <v>0</v>
      </c>
      <c r="AS36" s="932" t="s">
        <v>984</v>
      </c>
      <c r="AT36" s="906">
        <v>1859809.35</v>
      </c>
      <c r="AU36" s="909">
        <v>1859809.35</v>
      </c>
      <c r="AV36" s="906">
        <f t="shared" si="20"/>
        <v>0</v>
      </c>
      <c r="AW36" s="926"/>
      <c r="AX36" s="899">
        <f t="shared" si="30"/>
        <v>0</v>
      </c>
      <c r="AY36" s="899">
        <f t="shared" si="21"/>
        <v>0</v>
      </c>
      <c r="AZ36" s="932" t="s">
        <v>984</v>
      </c>
      <c r="BA36" s="906">
        <v>1859809.35</v>
      </c>
      <c r="BB36" s="909">
        <v>1859809.35</v>
      </c>
      <c r="BC36" s="906">
        <f t="shared" si="22"/>
        <v>0</v>
      </c>
      <c r="BD36" s="926"/>
      <c r="BE36" s="899">
        <f t="shared" si="23"/>
        <v>0</v>
      </c>
      <c r="BF36" s="899">
        <f t="shared" si="24"/>
        <v>0</v>
      </c>
      <c r="BG36" s="932" t="s">
        <v>984</v>
      </c>
      <c r="BH36" s="909">
        <v>1859809.35</v>
      </c>
      <c r="BI36" s="909">
        <v>1859809.35</v>
      </c>
      <c r="BJ36" s="909">
        <v>0</v>
      </c>
      <c r="BK36" s="926"/>
      <c r="BL36" s="893" t="b">
        <f t="shared" si="31"/>
        <v>1</v>
      </c>
      <c r="BO36" s="893" t="s">
        <v>301</v>
      </c>
      <c r="BP36" s="893" t="s">
        <v>310</v>
      </c>
      <c r="BU36" s="1536"/>
      <c r="BV36" s="1530"/>
      <c r="BW36" s="1535"/>
      <c r="BX36" s="1530"/>
    </row>
    <row r="37" spans="2:76" x14ac:dyDescent="0.25">
      <c r="B37" s="893" t="s">
        <v>980</v>
      </c>
      <c r="C37" s="899">
        <v>54855161.380000539</v>
      </c>
      <c r="D37" s="899">
        <v>14922765.810000001</v>
      </c>
      <c r="E37" s="899">
        <v>39932395.570000537</v>
      </c>
      <c r="G37" s="899">
        <f t="shared" si="41"/>
        <v>6226.619999460876</v>
      </c>
      <c r="H37" s="899">
        <f t="shared" si="41"/>
        <v>3346594.1899999995</v>
      </c>
      <c r="I37" s="893" t="s">
        <v>980</v>
      </c>
      <c r="J37" s="899">
        <v>54861388</v>
      </c>
      <c r="K37" s="899">
        <v>18269360</v>
      </c>
      <c r="L37" s="899">
        <v>36592027</v>
      </c>
      <c r="N37" s="899">
        <f t="shared" si="42"/>
        <v>779</v>
      </c>
      <c r="O37" s="899">
        <f t="shared" si="42"/>
        <v>1433001</v>
      </c>
      <c r="P37" s="893" t="s">
        <v>980</v>
      </c>
      <c r="Q37" s="899">
        <v>54862167</v>
      </c>
      <c r="R37" s="899">
        <v>19702361</v>
      </c>
      <c r="S37" s="899">
        <v>35159805</v>
      </c>
      <c r="U37" s="899">
        <f t="shared" si="43"/>
        <v>167725</v>
      </c>
      <c r="V37" s="899">
        <f t="shared" si="43"/>
        <v>1389466</v>
      </c>
      <c r="W37" s="893" t="s">
        <v>980</v>
      </c>
      <c r="X37" s="899">
        <v>55029892</v>
      </c>
      <c r="Y37" s="899">
        <v>21091827</v>
      </c>
      <c r="Z37" s="899">
        <v>33938065</v>
      </c>
      <c r="AB37" s="899">
        <f t="shared" si="25"/>
        <v>1074</v>
      </c>
      <c r="AC37" s="899">
        <f t="shared" si="26"/>
        <v>1597588</v>
      </c>
      <c r="AD37" s="893" t="s">
        <v>980</v>
      </c>
      <c r="AE37" s="899">
        <v>55030966</v>
      </c>
      <c r="AF37" s="899">
        <v>22689415</v>
      </c>
      <c r="AG37" s="899">
        <v>32341552</v>
      </c>
      <c r="AI37" s="899">
        <f t="shared" si="27"/>
        <v>-1569717.1999996975</v>
      </c>
      <c r="AJ37" s="898">
        <f t="shared" si="38"/>
        <v>-1997679.4200000018</v>
      </c>
      <c r="AK37" s="899">
        <f t="shared" si="28"/>
        <v>-364184.47000000253</v>
      </c>
      <c r="AL37" s="932" t="s">
        <v>980</v>
      </c>
      <c r="AM37" s="906">
        <f>52358247.89+675038.69</f>
        <v>53033286.579999998</v>
      </c>
      <c r="AN37" s="906">
        <f>21884339.2+440891.33</f>
        <v>22325230.529999997</v>
      </c>
      <c r="AO37" s="907">
        <f t="shared" si="29"/>
        <v>30708056.050000001</v>
      </c>
      <c r="AP37" s="926"/>
      <c r="AQ37" s="899">
        <f t="shared" si="39"/>
        <v>-590191.68999969959</v>
      </c>
      <c r="AR37" s="899">
        <f t="shared" si="40"/>
        <v>1035115.450000003</v>
      </c>
      <c r="AS37" s="932" t="s">
        <v>980</v>
      </c>
      <c r="AT37" s="906">
        <f>52358247.8900003+84847</f>
        <v>52443094.890000299</v>
      </c>
      <c r="AU37" s="909">
        <f>23296410.98+63935</f>
        <v>23360345.98</v>
      </c>
      <c r="AV37" s="906">
        <f t="shared" si="20"/>
        <v>29082748.910000298</v>
      </c>
      <c r="AW37" s="926"/>
      <c r="AX37" s="899">
        <f t="shared" si="30"/>
        <v>-0.15999999642372131</v>
      </c>
      <c r="AY37" s="899">
        <f t="shared" si="21"/>
        <v>1413101.3200001977</v>
      </c>
      <c r="AZ37" s="932" t="s">
        <v>980</v>
      </c>
      <c r="BA37" s="906">
        <f>52358247.8900003+84846.84</f>
        <v>52443094.730000302</v>
      </c>
      <c r="BB37" s="909">
        <f>24708482.7600002+64964.54</f>
        <v>24773447.300000198</v>
      </c>
      <c r="BC37" s="906">
        <f t="shared" si="22"/>
        <v>27669647.430000104</v>
      </c>
      <c r="BD37" s="926"/>
      <c r="BE37" s="1546">
        <f t="shared" si="23"/>
        <v>1018154.0700000003</v>
      </c>
      <c r="BF37" s="899">
        <f t="shared" si="24"/>
        <v>1746113.2100002468</v>
      </c>
      <c r="BG37" s="932" t="s">
        <v>980</v>
      </c>
      <c r="BH37" s="909">
        <v>53461248.800000302</v>
      </c>
      <c r="BI37" s="909">
        <v>26519560.510000445</v>
      </c>
      <c r="BJ37" s="909">
        <v>26941688.289999858</v>
      </c>
      <c r="BK37" s="926"/>
      <c r="BL37" s="893" t="b">
        <f t="shared" si="31"/>
        <v>1</v>
      </c>
      <c r="BO37" s="893" t="s">
        <v>301</v>
      </c>
      <c r="BP37" s="893" t="s">
        <v>310</v>
      </c>
      <c r="BU37" s="1536"/>
      <c r="BV37" s="1530"/>
      <c r="BW37" s="1535"/>
      <c r="BX37" s="1530"/>
    </row>
    <row r="38" spans="2:76" x14ac:dyDescent="0.25">
      <c r="B38" s="893" t="s">
        <v>981</v>
      </c>
      <c r="C38" s="899">
        <v>3463510.84</v>
      </c>
      <c r="D38" s="899">
        <v>1459385.32</v>
      </c>
      <c r="E38" s="899">
        <v>2004125.5199999998</v>
      </c>
      <c r="G38" s="899">
        <f t="shared" si="41"/>
        <v>-228442.83999999985</v>
      </c>
      <c r="H38" s="899">
        <f t="shared" si="41"/>
        <v>72780.679999999935</v>
      </c>
      <c r="I38" s="893" t="s">
        <v>981</v>
      </c>
      <c r="J38" s="899">
        <v>3235068</v>
      </c>
      <c r="K38" s="899">
        <v>1532166</v>
      </c>
      <c r="L38" s="899">
        <v>1702902</v>
      </c>
      <c r="N38" s="899">
        <f t="shared" si="42"/>
        <v>0</v>
      </c>
      <c r="O38" s="899">
        <f t="shared" si="42"/>
        <v>72781</v>
      </c>
      <c r="P38" s="893" t="s">
        <v>981</v>
      </c>
      <c r="Q38" s="899">
        <v>3235068</v>
      </c>
      <c r="R38" s="899">
        <v>1604947</v>
      </c>
      <c r="S38" s="899">
        <v>1630121</v>
      </c>
      <c r="U38" s="899">
        <f t="shared" si="43"/>
        <v>0</v>
      </c>
      <c r="V38" s="899">
        <f t="shared" si="43"/>
        <v>72780</v>
      </c>
      <c r="W38" s="893" t="s">
        <v>981</v>
      </c>
      <c r="X38" s="899">
        <v>3235068</v>
      </c>
      <c r="Y38" s="899">
        <v>1677727</v>
      </c>
      <c r="Z38" s="899">
        <v>1557341</v>
      </c>
      <c r="AB38" s="899">
        <f t="shared" si="25"/>
        <v>93222</v>
      </c>
      <c r="AC38" s="899">
        <f t="shared" si="26"/>
        <v>79633</v>
      </c>
      <c r="AD38" s="893" t="s">
        <v>981</v>
      </c>
      <c r="AE38" s="899">
        <v>3328290</v>
      </c>
      <c r="AF38" s="899">
        <v>1757360</v>
      </c>
      <c r="AG38" s="899">
        <v>1570930</v>
      </c>
      <c r="AI38" s="899">
        <f t="shared" si="27"/>
        <v>-0.12000000104308128</v>
      </c>
      <c r="AJ38" s="899">
        <f t="shared" si="38"/>
        <v>-0.12000000104308128</v>
      </c>
      <c r="AK38" s="899">
        <f t="shared" si="28"/>
        <v>63396.499999999767</v>
      </c>
      <c r="AL38" s="932" t="s">
        <v>981</v>
      </c>
      <c r="AM38" s="906">
        <v>3328289.879999999</v>
      </c>
      <c r="AN38" s="906">
        <v>1820756.4999999998</v>
      </c>
      <c r="AO38" s="907">
        <f t="shared" si="29"/>
        <v>1507533.3799999992</v>
      </c>
      <c r="AP38" s="926"/>
      <c r="AQ38" s="899">
        <f t="shared" si="39"/>
        <v>0</v>
      </c>
      <c r="AR38" s="899">
        <f t="shared" si="40"/>
        <v>63005.090000000084</v>
      </c>
      <c r="AS38" s="932" t="s">
        <v>981</v>
      </c>
      <c r="AT38" s="906">
        <v>3328289.879999999</v>
      </c>
      <c r="AU38" s="909">
        <v>1883761.5899999999</v>
      </c>
      <c r="AV38" s="906">
        <f t="shared" si="20"/>
        <v>1444528.2899999991</v>
      </c>
      <c r="AW38" s="926"/>
      <c r="AX38" s="899">
        <f t="shared" si="30"/>
        <v>0</v>
      </c>
      <c r="AY38" s="899">
        <f t="shared" si="21"/>
        <v>63005.090000000084</v>
      </c>
      <c r="AZ38" s="932" t="s">
        <v>981</v>
      </c>
      <c r="BA38" s="906">
        <v>3328289.879999999</v>
      </c>
      <c r="BB38" s="909">
        <v>1946766.68</v>
      </c>
      <c r="BC38" s="906">
        <f t="shared" si="22"/>
        <v>1381523.199999999</v>
      </c>
      <c r="BD38" s="926"/>
      <c r="BE38" s="899">
        <f t="shared" si="23"/>
        <v>0</v>
      </c>
      <c r="BF38" s="899">
        <f t="shared" si="24"/>
        <v>63005.089999999385</v>
      </c>
      <c r="BG38" s="932" t="s">
        <v>981</v>
      </c>
      <c r="BH38" s="909">
        <v>3328289.879999999</v>
      </c>
      <c r="BI38" s="909">
        <v>2009771.7699999993</v>
      </c>
      <c r="BJ38" s="909">
        <v>1318518.1099999996</v>
      </c>
      <c r="BK38" s="926"/>
      <c r="BL38" s="893" t="b">
        <f t="shared" si="31"/>
        <v>1</v>
      </c>
      <c r="BO38" s="893" t="s">
        <v>301</v>
      </c>
      <c r="BP38" s="893" t="s">
        <v>310</v>
      </c>
      <c r="BU38" s="1536"/>
      <c r="BV38" s="1530"/>
      <c r="BW38" s="1535"/>
      <c r="BX38" s="1530"/>
    </row>
    <row r="39" spans="2:76" x14ac:dyDescent="0.25">
      <c r="B39" s="893" t="s">
        <v>982</v>
      </c>
      <c r="C39" s="899">
        <v>4901324.7499999944</v>
      </c>
      <c r="D39" s="899">
        <v>3833148.21</v>
      </c>
      <c r="E39" s="899">
        <v>1068176.5399999944</v>
      </c>
      <c r="G39" s="899">
        <f t="shared" si="41"/>
        <v>0.25000000558793545</v>
      </c>
      <c r="H39" s="899">
        <f t="shared" si="41"/>
        <v>96429.790000000037</v>
      </c>
      <c r="I39" s="893" t="s">
        <v>982</v>
      </c>
      <c r="J39" s="899">
        <v>4901325</v>
      </c>
      <c r="K39" s="899">
        <v>3929578</v>
      </c>
      <c r="L39" s="899">
        <v>971747</v>
      </c>
      <c r="N39" s="899">
        <f t="shared" si="42"/>
        <v>0</v>
      </c>
      <c r="O39" s="899">
        <f t="shared" si="42"/>
        <v>69504</v>
      </c>
      <c r="P39" s="893" t="s">
        <v>982</v>
      </c>
      <c r="Q39" s="899">
        <v>4901325</v>
      </c>
      <c r="R39" s="899">
        <v>3999082</v>
      </c>
      <c r="S39" s="899">
        <v>902243</v>
      </c>
      <c r="U39" s="899">
        <f t="shared" si="43"/>
        <v>497671</v>
      </c>
      <c r="V39" s="899">
        <f t="shared" si="43"/>
        <v>169953</v>
      </c>
      <c r="W39" s="893" t="s">
        <v>982</v>
      </c>
      <c r="X39" s="899">
        <v>5398996</v>
      </c>
      <c r="Y39" s="899">
        <v>4169035</v>
      </c>
      <c r="Z39" s="899">
        <v>1229961</v>
      </c>
      <c r="AB39" s="899">
        <f t="shared" si="25"/>
        <v>0</v>
      </c>
      <c r="AC39" s="899">
        <f t="shared" si="26"/>
        <v>51971</v>
      </c>
      <c r="AD39" s="893" t="s">
        <v>982</v>
      </c>
      <c r="AE39" s="899">
        <v>5398996</v>
      </c>
      <c r="AF39" s="899">
        <v>4221006</v>
      </c>
      <c r="AG39" s="899">
        <v>1177990</v>
      </c>
      <c r="AI39" s="899">
        <f t="shared" si="27"/>
        <v>6275260.4899999984</v>
      </c>
      <c r="AJ39" s="898">
        <f t="shared" si="38"/>
        <v>-8.0000001937150955E-2</v>
      </c>
      <c r="AK39" s="899">
        <f t="shared" si="28"/>
        <v>50802.969999998808</v>
      </c>
      <c r="AL39" s="932" t="s">
        <v>982</v>
      </c>
      <c r="AM39" s="906">
        <v>5398995.9199999981</v>
      </c>
      <c r="AN39" s="906">
        <v>4271808.9699999988</v>
      </c>
      <c r="AO39" s="907">
        <f t="shared" si="29"/>
        <v>1127186.9499999993</v>
      </c>
      <c r="AP39" s="926"/>
      <c r="AQ39" s="899">
        <f t="shared" si="39"/>
        <v>0</v>
      </c>
      <c r="AR39" s="899">
        <f t="shared" si="40"/>
        <v>49295.429999999702</v>
      </c>
      <c r="AS39" s="932" t="s">
        <v>982</v>
      </c>
      <c r="AT39" s="906">
        <v>5398995.9199999981</v>
      </c>
      <c r="AU39" s="909">
        <v>4321104.3999999985</v>
      </c>
      <c r="AV39" s="906">
        <f t="shared" si="20"/>
        <v>1077891.5199999996</v>
      </c>
      <c r="AW39" s="926"/>
      <c r="AX39" s="899">
        <f t="shared" si="30"/>
        <v>0</v>
      </c>
      <c r="AY39" s="899">
        <f t="shared" si="21"/>
        <v>49295.429999999702</v>
      </c>
      <c r="AZ39" s="932" t="s">
        <v>982</v>
      </c>
      <c r="BA39" s="906">
        <v>5398995.9199999981</v>
      </c>
      <c r="BB39" s="909">
        <v>4370399.8299999982</v>
      </c>
      <c r="BC39" s="906">
        <f t="shared" si="22"/>
        <v>1028596.0899999999</v>
      </c>
      <c r="BD39" s="926"/>
      <c r="BE39" s="1546">
        <f t="shared" si="23"/>
        <v>6275260.5700000003</v>
      </c>
      <c r="BF39" s="899">
        <f t="shared" si="24"/>
        <v>205946.95000000205</v>
      </c>
      <c r="BG39" s="932" t="s">
        <v>982</v>
      </c>
      <c r="BH39" s="909">
        <v>11674256.489999998</v>
      </c>
      <c r="BI39" s="909">
        <v>4576346.78</v>
      </c>
      <c r="BJ39" s="909">
        <v>7097909.7099999981</v>
      </c>
      <c r="BK39" s="926"/>
      <c r="BL39" s="893" t="b">
        <f t="shared" si="31"/>
        <v>1</v>
      </c>
      <c r="BO39" s="893" t="s">
        <v>301</v>
      </c>
      <c r="BP39" s="893" t="s">
        <v>310</v>
      </c>
      <c r="BU39" s="1536"/>
      <c r="BV39" s="1530"/>
      <c r="BW39" s="1535"/>
      <c r="BX39" s="1530"/>
    </row>
    <row r="40" spans="2:76" x14ac:dyDescent="0.25">
      <c r="B40" s="893" t="s">
        <v>986</v>
      </c>
      <c r="C40" s="899">
        <v>14009147.400000095</v>
      </c>
      <c r="D40" s="899">
        <v>4369099.2300000004</v>
      </c>
      <c r="E40" s="899">
        <v>9640048.1700000949</v>
      </c>
      <c r="G40" s="899">
        <f t="shared" si="41"/>
        <v>-0.40000009536743164</v>
      </c>
      <c r="H40" s="899">
        <f t="shared" si="41"/>
        <v>550294.76999999955</v>
      </c>
      <c r="I40" s="893" t="s">
        <v>986</v>
      </c>
      <c r="J40" s="899">
        <v>14009147</v>
      </c>
      <c r="K40" s="899">
        <v>4919394</v>
      </c>
      <c r="L40" s="899">
        <v>9089753</v>
      </c>
      <c r="N40" s="899">
        <f t="shared" si="42"/>
        <v>0</v>
      </c>
      <c r="O40" s="899">
        <f t="shared" si="42"/>
        <v>375295</v>
      </c>
      <c r="P40" s="893" t="s">
        <v>986</v>
      </c>
      <c r="Q40" s="899">
        <v>14009147</v>
      </c>
      <c r="R40" s="899">
        <v>5294689</v>
      </c>
      <c r="S40" s="899">
        <v>8714459</v>
      </c>
      <c r="U40" s="899">
        <f t="shared" si="43"/>
        <v>0</v>
      </c>
      <c r="V40" s="899">
        <f t="shared" si="43"/>
        <v>375295</v>
      </c>
      <c r="W40" s="893" t="s">
        <v>986</v>
      </c>
      <c r="X40" s="899">
        <v>14009147</v>
      </c>
      <c r="Y40" s="899">
        <v>5669984</v>
      </c>
      <c r="Z40" s="899">
        <v>8339164</v>
      </c>
      <c r="AB40" s="899">
        <f t="shared" si="25"/>
        <v>4096388</v>
      </c>
      <c r="AC40" s="899">
        <f t="shared" si="26"/>
        <v>465070</v>
      </c>
      <c r="AD40" s="893" t="s">
        <v>986</v>
      </c>
      <c r="AE40" s="899">
        <v>18105535</v>
      </c>
      <c r="AF40" s="899">
        <v>6135054</v>
      </c>
      <c r="AG40" s="899">
        <v>11970481</v>
      </c>
      <c r="AI40" s="899">
        <f t="shared" si="27"/>
        <v>1464545.2100001946</v>
      </c>
      <c r="AJ40" s="898">
        <f t="shared" si="38"/>
        <v>1128761.8800001927</v>
      </c>
      <c r="AK40" s="899">
        <f t="shared" si="28"/>
        <v>537448.15000006743</v>
      </c>
      <c r="AL40" s="932" t="s">
        <v>986</v>
      </c>
      <c r="AM40" s="906">
        <v>19234296.880000193</v>
      </c>
      <c r="AN40" s="906">
        <v>6672502.1500000674</v>
      </c>
      <c r="AO40" s="907">
        <f t="shared" si="29"/>
        <v>12561794.730000125</v>
      </c>
      <c r="AP40" s="926"/>
      <c r="AQ40" s="899">
        <f t="shared" si="39"/>
        <v>44763.449999999255</v>
      </c>
      <c r="AR40" s="899">
        <f t="shared" si="40"/>
        <v>536585.39999995194</v>
      </c>
      <c r="AS40" s="932" t="s">
        <v>986</v>
      </c>
      <c r="AT40" s="906">
        <v>19279060.330000192</v>
      </c>
      <c r="AU40" s="909">
        <v>7209087.5500000194</v>
      </c>
      <c r="AV40" s="906">
        <f t="shared" si="20"/>
        <v>12069972.780000173</v>
      </c>
      <c r="AW40" s="926"/>
      <c r="AX40" s="899">
        <f t="shared" si="30"/>
        <v>0</v>
      </c>
      <c r="AY40" s="899">
        <f t="shared" si="21"/>
        <v>513990.62000001036</v>
      </c>
      <c r="AZ40" s="932" t="s">
        <v>986</v>
      </c>
      <c r="BA40" s="906">
        <v>19279060.330000192</v>
      </c>
      <c r="BB40" s="909">
        <v>7723078.1700000297</v>
      </c>
      <c r="BC40" s="906">
        <f t="shared" si="22"/>
        <v>11555982.160000162</v>
      </c>
      <c r="BD40" s="926"/>
      <c r="BE40" s="1546">
        <f t="shared" si="23"/>
        <v>291019.88000000268</v>
      </c>
      <c r="BF40" s="899">
        <f t="shared" si="24"/>
        <v>564312.81999994908</v>
      </c>
      <c r="BG40" s="932" t="s">
        <v>986</v>
      </c>
      <c r="BH40" s="909">
        <v>19570080.210000195</v>
      </c>
      <c r="BI40" s="909">
        <v>8287390.9899999788</v>
      </c>
      <c r="BJ40" s="909">
        <v>11282689.220000215</v>
      </c>
      <c r="BK40" s="926"/>
      <c r="BL40" s="893" t="b">
        <f t="shared" si="31"/>
        <v>1</v>
      </c>
      <c r="BO40" s="893" t="s">
        <v>301</v>
      </c>
      <c r="BP40" s="893" t="s">
        <v>310</v>
      </c>
      <c r="BU40" s="1536"/>
      <c r="BV40" s="1530"/>
      <c r="BW40" s="1535"/>
      <c r="BX40" s="1530"/>
    </row>
    <row r="41" spans="2:76" x14ac:dyDescent="0.25">
      <c r="J41" s="899"/>
      <c r="K41" s="899"/>
      <c r="L41" s="899"/>
      <c r="Q41" s="899"/>
      <c r="R41" s="899"/>
      <c r="S41" s="899"/>
      <c r="X41" s="899"/>
      <c r="Y41" s="899"/>
      <c r="Z41" s="899"/>
      <c r="AE41" s="899"/>
      <c r="AF41" s="899"/>
      <c r="AG41" s="899"/>
      <c r="AI41" s="899">
        <f>AJ41+AQ41+AX41+BE41</f>
        <v>44462231.120000005</v>
      </c>
      <c r="AJ41" s="897"/>
      <c r="AP41" s="926"/>
      <c r="BE41" s="1547">
        <f t="shared" si="23"/>
        <v>44462231.120000005</v>
      </c>
      <c r="BF41" s="903">
        <f t="shared" si="24"/>
        <v>230441.52</v>
      </c>
      <c r="BG41" s="934" t="s">
        <v>1308</v>
      </c>
      <c r="BH41" s="945">
        <v>44462231.120000005</v>
      </c>
      <c r="BI41" s="945">
        <v>230441.52</v>
      </c>
      <c r="BJ41" s="945">
        <v>44231789.600000001</v>
      </c>
      <c r="BK41" s="935" t="s">
        <v>1309</v>
      </c>
      <c r="BL41" s="893" t="b">
        <f t="shared" si="31"/>
        <v>0</v>
      </c>
      <c r="BO41" s="893" t="s">
        <v>301</v>
      </c>
      <c r="BP41" s="893" t="s">
        <v>310</v>
      </c>
      <c r="BU41" s="1536"/>
      <c r="BV41" s="1530"/>
      <c r="BW41" s="1535"/>
      <c r="BX41" s="1530"/>
    </row>
    <row r="42" spans="2:76" x14ac:dyDescent="0.25">
      <c r="B42" s="893" t="s">
        <v>196</v>
      </c>
      <c r="C42" s="899">
        <v>22509818.390000001</v>
      </c>
      <c r="D42" s="899">
        <v>9616523.6040574275</v>
      </c>
      <c r="E42" s="899">
        <v>12893294.785942573</v>
      </c>
      <c r="G42" s="899">
        <f t="shared" ref="G42:H70" si="44">+J42-C42</f>
        <v>-3014139.3900000006</v>
      </c>
      <c r="H42" s="899">
        <f t="shared" si="44"/>
        <v>400027.3959425725</v>
      </c>
      <c r="I42" s="893" t="s">
        <v>196</v>
      </c>
      <c r="J42" s="899">
        <v>19495679</v>
      </c>
      <c r="K42" s="899">
        <v>10016551</v>
      </c>
      <c r="L42" s="899">
        <v>9479128</v>
      </c>
      <c r="N42" s="899">
        <f t="shared" ref="N42:O51" si="45">+Q42-J42</f>
        <v>0</v>
      </c>
      <c r="O42" s="899">
        <f t="shared" si="45"/>
        <v>400027</v>
      </c>
      <c r="P42" s="893" t="s">
        <v>196</v>
      </c>
      <c r="Q42" s="899">
        <v>19495679</v>
      </c>
      <c r="R42" s="899">
        <v>10416578</v>
      </c>
      <c r="S42" s="899">
        <v>9079101</v>
      </c>
      <c r="U42" s="899">
        <f t="shared" ref="U42:V51" si="46">+X42-Q42</f>
        <v>0</v>
      </c>
      <c r="V42" s="899">
        <f t="shared" si="46"/>
        <v>400028</v>
      </c>
      <c r="W42" s="893" t="s">
        <v>196</v>
      </c>
      <c r="X42" s="899">
        <v>19495679</v>
      </c>
      <c r="Y42" s="899">
        <v>10816606</v>
      </c>
      <c r="Z42" s="899">
        <v>8679073</v>
      </c>
      <c r="AA42" s="893" t="s">
        <v>766</v>
      </c>
      <c r="AB42" s="899">
        <f t="shared" ref="AB42:AB51" si="47">+AE42-X42</f>
        <v>6540949</v>
      </c>
      <c r="AC42" s="899">
        <f t="shared" ref="AC42:AC51" si="48">+AF42-Y42</f>
        <v>-1927090</v>
      </c>
      <c r="AD42" s="893" t="s">
        <v>196</v>
      </c>
      <c r="AE42" s="899">
        <v>26036628</v>
      </c>
      <c r="AF42" s="899">
        <v>8889516</v>
      </c>
      <c r="AG42" s="899">
        <v>17147112</v>
      </c>
      <c r="AI42" s="899">
        <f t="shared" si="27"/>
        <v>14622257.040000007</v>
      </c>
      <c r="AJ42" s="899">
        <f>AM42-AE42</f>
        <v>965328.95000000671</v>
      </c>
      <c r="AK42" s="899">
        <f t="shared" ref="AK42" si="49">AN42-AF42</f>
        <v>1424232.1100000087</v>
      </c>
      <c r="AL42" s="928" t="s">
        <v>196</v>
      </c>
      <c r="AM42" s="902">
        <f>SUM(AM43:AM51)</f>
        <v>27001956.950000007</v>
      </c>
      <c r="AN42" s="902">
        <f>SUM(AN43:AN51)</f>
        <v>10313748.110000009</v>
      </c>
      <c r="AO42" s="902">
        <f>SUM(AO43:AO51)</f>
        <v>16688208.839999994</v>
      </c>
      <c r="AP42" s="926"/>
      <c r="AQ42" s="899">
        <f t="shared" ref="AQ42" si="50">AT42-AM42</f>
        <v>186415.46000000089</v>
      </c>
      <c r="AR42" s="899">
        <f t="shared" ref="AR42" si="51">AU42-AN42</f>
        <v>725283.72999999486</v>
      </c>
      <c r="AS42" s="928" t="s">
        <v>196</v>
      </c>
      <c r="AT42" s="902">
        <f>SUM(AT43:AT51)</f>
        <v>27188372.410000008</v>
      </c>
      <c r="AU42" s="910">
        <f>SUM(AU43:AU51)</f>
        <v>11039031.840000004</v>
      </c>
      <c r="AV42" s="902">
        <f>SUM(AV43:AV51)</f>
        <v>16149340.57</v>
      </c>
      <c r="AW42" s="926"/>
      <c r="AX42" s="899">
        <f>BA42-AT42</f>
        <v>0</v>
      </c>
      <c r="AY42" s="899">
        <f t="shared" ref="AY42" si="52">BB42-AU42</f>
        <v>598802.40999999456</v>
      </c>
      <c r="AZ42" s="928" t="s">
        <v>196</v>
      </c>
      <c r="BA42" s="902">
        <f>SUM(BA43:BA51)</f>
        <v>27188372.410000008</v>
      </c>
      <c r="BB42" s="910">
        <f>SUM(BB43:BB51)</f>
        <v>11637834.249999998</v>
      </c>
      <c r="BC42" s="902">
        <f>SUM(BC43:BC51)</f>
        <v>15550538.160000004</v>
      </c>
      <c r="BD42" s="926"/>
      <c r="BE42" s="899">
        <f t="shared" ref="BE42" si="53">BH42-BA42</f>
        <v>13470512.629999999</v>
      </c>
      <c r="BF42" s="899">
        <f t="shared" ref="BF42" si="54">BI42-BB42</f>
        <v>634175.10000000522</v>
      </c>
      <c r="BG42" s="928" t="s">
        <v>196</v>
      </c>
      <c r="BH42" s="910">
        <f>SUM(BH43:BH51)</f>
        <v>40658885.040000007</v>
      </c>
      <c r="BI42" s="910">
        <f>SUM(BI43:BI51)</f>
        <v>12272009.350000003</v>
      </c>
      <c r="BJ42" s="910">
        <f>SUM(BJ43:BJ51)</f>
        <v>28386875.690000005</v>
      </c>
      <c r="BK42" s="926"/>
    </row>
    <row r="43" spans="2:76" x14ac:dyDescent="0.25">
      <c r="C43" s="899"/>
      <c r="D43" s="899"/>
      <c r="E43" s="899"/>
      <c r="G43" s="899"/>
      <c r="H43" s="899"/>
      <c r="I43" s="893" t="s">
        <v>988</v>
      </c>
      <c r="J43" s="893">
        <v>0</v>
      </c>
      <c r="K43" s="893">
        <v>0</v>
      </c>
      <c r="L43" s="893">
        <v>0</v>
      </c>
      <c r="N43" s="899">
        <f t="shared" si="45"/>
        <v>0</v>
      </c>
      <c r="O43" s="899">
        <f t="shared" si="45"/>
        <v>0</v>
      </c>
      <c r="P43" s="893" t="s">
        <v>988</v>
      </c>
      <c r="Q43" s="893">
        <v>0</v>
      </c>
      <c r="R43" s="893">
        <v>0</v>
      </c>
      <c r="S43" s="893">
        <v>0</v>
      </c>
      <c r="U43" s="899">
        <f t="shared" si="46"/>
        <v>0</v>
      </c>
      <c r="V43" s="899">
        <f t="shared" si="46"/>
        <v>0</v>
      </c>
      <c r="W43" s="893" t="s">
        <v>988</v>
      </c>
      <c r="X43" s="893">
        <v>0</v>
      </c>
      <c r="Y43" s="893">
        <v>0</v>
      </c>
      <c r="Z43" s="893">
        <v>0</v>
      </c>
      <c r="AB43" s="899">
        <f t="shared" si="47"/>
        <v>0</v>
      </c>
      <c r="AC43" s="899">
        <f t="shared" si="48"/>
        <v>0</v>
      </c>
      <c r="AD43" s="893" t="s">
        <v>988</v>
      </c>
      <c r="AE43" s="893">
        <v>0</v>
      </c>
      <c r="AF43" s="893">
        <v>0</v>
      </c>
      <c r="AG43" s="893">
        <v>0</v>
      </c>
      <c r="AH43" s="893" t="s">
        <v>943</v>
      </c>
      <c r="AI43" s="899">
        <f t="shared" si="27"/>
        <v>0</v>
      </c>
      <c r="AJ43" s="899">
        <f t="shared" ref="AJ43:AJ51" si="55">AM43-AE43</f>
        <v>0</v>
      </c>
      <c r="AK43" s="899">
        <f t="shared" ref="AK43:AK51" si="56">AN43-AF43</f>
        <v>0</v>
      </c>
      <c r="AL43" s="930" t="s">
        <v>988</v>
      </c>
      <c r="AM43" s="906">
        <v>0</v>
      </c>
      <c r="AN43" s="906">
        <v>0</v>
      </c>
      <c r="AO43" s="907">
        <f t="shared" ref="AO43:AO51" si="57">+AM43-AN43</f>
        <v>0</v>
      </c>
      <c r="AP43" s="926"/>
      <c r="AQ43" s="899">
        <f t="shared" ref="AQ43:AQ51" si="58">AT43-AM43</f>
        <v>0</v>
      </c>
      <c r="AR43" s="899">
        <f t="shared" ref="AR43:AR51" si="59">AU43-AN43</f>
        <v>0</v>
      </c>
      <c r="AS43" s="930" t="s">
        <v>988</v>
      </c>
      <c r="AT43" s="906">
        <v>0</v>
      </c>
      <c r="AU43" s="909">
        <v>0</v>
      </c>
      <c r="AV43" s="906">
        <f t="shared" ref="AV43:AV51" si="60">+AT43-AU43</f>
        <v>0</v>
      </c>
      <c r="AW43" s="926"/>
      <c r="AX43" s="899">
        <f t="shared" ref="AX43:AX51" si="61">BA43-AT43</f>
        <v>0</v>
      </c>
      <c r="AY43" s="899">
        <f t="shared" ref="AY43:AY51" si="62">BB43-AU43</f>
        <v>0</v>
      </c>
      <c r="AZ43" s="930" t="s">
        <v>988</v>
      </c>
      <c r="BA43" s="906">
        <v>0</v>
      </c>
      <c r="BB43" s="909">
        <v>0</v>
      </c>
      <c r="BC43" s="906">
        <f t="shared" ref="BC43:BC51" si="63">+BA43-BB43</f>
        <v>0</v>
      </c>
      <c r="BD43" s="926"/>
      <c r="BE43" s="899">
        <f t="shared" ref="BE43:BE51" si="64">BH43-BA43</f>
        <v>0</v>
      </c>
      <c r="BF43" s="899">
        <f t="shared" ref="BF43:BF51" si="65">BI43-BB43</f>
        <v>0</v>
      </c>
      <c r="BG43" s="930" t="s">
        <v>988</v>
      </c>
      <c r="BH43" s="909">
        <v>0</v>
      </c>
      <c r="BI43" s="909">
        <v>0</v>
      </c>
      <c r="BJ43" s="909">
        <v>0</v>
      </c>
      <c r="BK43" s="926"/>
      <c r="BL43" s="893" t="b">
        <f t="shared" si="31"/>
        <v>1</v>
      </c>
      <c r="BO43" s="893" t="s">
        <v>301</v>
      </c>
      <c r="BP43" s="893" t="s">
        <v>310</v>
      </c>
      <c r="BU43" s="1538"/>
      <c r="BV43" s="1530"/>
      <c r="BW43" s="1535"/>
      <c r="BX43" s="1530"/>
    </row>
    <row r="44" spans="2:76" x14ac:dyDescent="0.25">
      <c r="B44" s="893" t="s">
        <v>990</v>
      </c>
      <c r="C44" s="899">
        <v>2032630.8099999996</v>
      </c>
      <c r="D44" s="899">
        <v>1204319.57</v>
      </c>
      <c r="E44" s="899">
        <v>828311.23999999953</v>
      </c>
      <c r="G44" s="899">
        <f t="shared" si="44"/>
        <v>-442874.80999999959</v>
      </c>
      <c r="H44" s="899">
        <f t="shared" si="44"/>
        <v>18067.429999999935</v>
      </c>
      <c r="I44" s="893" t="s">
        <v>989</v>
      </c>
      <c r="J44" s="899">
        <v>1589756</v>
      </c>
      <c r="K44" s="899">
        <v>1222387</v>
      </c>
      <c r="L44" s="899">
        <v>367369</v>
      </c>
      <c r="N44" s="899">
        <f t="shared" si="45"/>
        <v>0</v>
      </c>
      <c r="O44" s="899">
        <f t="shared" si="45"/>
        <v>18067</v>
      </c>
      <c r="P44" s="893" t="s">
        <v>989</v>
      </c>
      <c r="Q44" s="899">
        <v>1589756</v>
      </c>
      <c r="R44" s="899">
        <v>1240454</v>
      </c>
      <c r="S44" s="899">
        <v>349302</v>
      </c>
      <c r="U44" s="899">
        <f t="shared" si="46"/>
        <v>0</v>
      </c>
      <c r="V44" s="899">
        <f t="shared" si="46"/>
        <v>18067</v>
      </c>
      <c r="W44" s="893" t="s">
        <v>989</v>
      </c>
      <c r="X44" s="899">
        <v>1589756</v>
      </c>
      <c r="Y44" s="899">
        <v>1258521</v>
      </c>
      <c r="Z44" s="899">
        <v>331235</v>
      </c>
      <c r="AB44" s="899">
        <f t="shared" si="47"/>
        <v>5998306</v>
      </c>
      <c r="AC44" s="899">
        <f t="shared" si="48"/>
        <v>-99091</v>
      </c>
      <c r="AD44" s="893" t="s">
        <v>989</v>
      </c>
      <c r="AE44" s="899">
        <v>7588062</v>
      </c>
      <c r="AF44" s="899">
        <v>1159430</v>
      </c>
      <c r="AG44" s="899">
        <v>6428632</v>
      </c>
      <c r="AI44" s="899">
        <f t="shared" si="27"/>
        <v>675797.07999999914</v>
      </c>
      <c r="AJ44" s="898">
        <f t="shared" si="55"/>
        <v>613787.89999999851</v>
      </c>
      <c r="AK44" s="899">
        <f t="shared" si="56"/>
        <v>757110.6500000013</v>
      </c>
      <c r="AL44" s="932" t="s">
        <v>989</v>
      </c>
      <c r="AM44" s="906">
        <v>8201849.8999999985</v>
      </c>
      <c r="AN44" s="906">
        <v>1916540.6500000013</v>
      </c>
      <c r="AO44" s="907">
        <f t="shared" si="57"/>
        <v>6285309.2499999972</v>
      </c>
      <c r="AP44" s="926"/>
      <c r="AQ44" s="899">
        <f t="shared" si="58"/>
        <v>62009.180000000633</v>
      </c>
      <c r="AR44" s="899">
        <f t="shared" si="59"/>
        <v>215876.35999999894</v>
      </c>
      <c r="AS44" s="932" t="s">
        <v>989</v>
      </c>
      <c r="AT44" s="908">
        <v>8263859.0799999991</v>
      </c>
      <c r="AU44" s="899">
        <v>2132417.0100000002</v>
      </c>
      <c r="AV44" s="906">
        <f t="shared" si="60"/>
        <v>6131442.0699999984</v>
      </c>
      <c r="AW44" s="926"/>
      <c r="AX44" s="899">
        <f t="shared" si="61"/>
        <v>0</v>
      </c>
      <c r="AY44" s="899">
        <f t="shared" si="62"/>
        <v>213801.32000000076</v>
      </c>
      <c r="AZ44" s="932" t="s">
        <v>989</v>
      </c>
      <c r="BA44" s="908">
        <v>8263859.0799999991</v>
      </c>
      <c r="BB44" s="899">
        <v>2346218.330000001</v>
      </c>
      <c r="BC44" s="906">
        <f t="shared" si="63"/>
        <v>5917640.7499999981</v>
      </c>
      <c r="BD44" s="926"/>
      <c r="BE44" s="1546">
        <f t="shared" si="64"/>
        <v>0</v>
      </c>
      <c r="BF44" s="899">
        <f t="shared" si="65"/>
        <v>213801.31999999937</v>
      </c>
      <c r="BG44" s="932" t="s">
        <v>989</v>
      </c>
      <c r="BH44" s="899">
        <v>8263859.0799999991</v>
      </c>
      <c r="BI44" s="899">
        <v>2560019.6500000004</v>
      </c>
      <c r="BJ44" s="909">
        <v>5703839.4299999988</v>
      </c>
      <c r="BK44" s="926"/>
      <c r="BL44" s="893" t="b">
        <f t="shared" si="31"/>
        <v>1</v>
      </c>
      <c r="BO44" s="893" t="s">
        <v>301</v>
      </c>
      <c r="BP44" s="893" t="s">
        <v>310</v>
      </c>
      <c r="BU44" s="1536"/>
      <c r="BV44" s="1170"/>
      <c r="BW44" s="108"/>
      <c r="BX44" s="1530"/>
    </row>
    <row r="45" spans="2:76" x14ac:dyDescent="0.25">
      <c r="B45" s="893" t="s">
        <v>992</v>
      </c>
      <c r="C45" s="899">
        <v>2962163.64</v>
      </c>
      <c r="D45" s="899">
        <v>964498.23</v>
      </c>
      <c r="E45" s="899">
        <v>1997665.4100000001</v>
      </c>
      <c r="G45" s="899">
        <f t="shared" si="44"/>
        <v>1293799.3599999999</v>
      </c>
      <c r="H45" s="899">
        <f t="shared" si="44"/>
        <v>2108265.77</v>
      </c>
      <c r="I45" s="893" t="s">
        <v>991</v>
      </c>
      <c r="J45" s="899">
        <v>4255963</v>
      </c>
      <c r="K45" s="899">
        <v>3072764</v>
      </c>
      <c r="L45" s="899">
        <v>1183199</v>
      </c>
      <c r="N45" s="899">
        <f t="shared" si="45"/>
        <v>0</v>
      </c>
      <c r="O45" s="899">
        <f t="shared" si="45"/>
        <v>58189</v>
      </c>
      <c r="P45" s="893" t="s">
        <v>991</v>
      </c>
      <c r="Q45" s="899">
        <v>4255963</v>
      </c>
      <c r="R45" s="899">
        <v>3130953</v>
      </c>
      <c r="S45" s="899">
        <v>1125010</v>
      </c>
      <c r="U45" s="899">
        <f t="shared" si="46"/>
        <v>0</v>
      </c>
      <c r="V45" s="899">
        <f t="shared" si="46"/>
        <v>58189</v>
      </c>
      <c r="W45" s="893" t="s">
        <v>991</v>
      </c>
      <c r="X45" s="899">
        <v>4255963</v>
      </c>
      <c r="Y45" s="899">
        <v>3189142</v>
      </c>
      <c r="Z45" s="899">
        <v>1066821</v>
      </c>
      <c r="AB45" s="899">
        <f t="shared" si="47"/>
        <v>1482102</v>
      </c>
      <c r="AC45" s="899">
        <f t="shared" si="48"/>
        <v>-840161</v>
      </c>
      <c r="AD45" s="893" t="s">
        <v>991</v>
      </c>
      <c r="AE45" s="899">
        <v>5738065</v>
      </c>
      <c r="AF45" s="899">
        <v>2348981</v>
      </c>
      <c r="AG45" s="899">
        <v>3389084</v>
      </c>
      <c r="AI45" s="899">
        <f t="shared" si="27"/>
        <v>442279.49000000022</v>
      </c>
      <c r="AJ45" s="898">
        <f t="shared" si="55"/>
        <v>351541.85000000056</v>
      </c>
      <c r="AK45" s="899">
        <f t="shared" si="56"/>
        <v>419530.88000000175</v>
      </c>
      <c r="AL45" s="932" t="s">
        <v>991</v>
      </c>
      <c r="AM45" s="906">
        <v>6089606.8500000006</v>
      </c>
      <c r="AN45" s="906">
        <v>2768511.8800000018</v>
      </c>
      <c r="AO45" s="907">
        <f t="shared" si="57"/>
        <v>3321094.9699999988</v>
      </c>
      <c r="AP45" s="926"/>
      <c r="AQ45" s="899">
        <f t="shared" si="58"/>
        <v>90737.639999999665</v>
      </c>
      <c r="AR45" s="899">
        <f t="shared" si="59"/>
        <v>228402.25999999698</v>
      </c>
      <c r="AS45" s="932" t="s">
        <v>991</v>
      </c>
      <c r="AT45" s="908">
        <v>6180344.4900000002</v>
      </c>
      <c r="AU45" s="899">
        <v>2996914.1399999987</v>
      </c>
      <c r="AV45" s="906">
        <f t="shared" si="60"/>
        <v>3183430.3500000015</v>
      </c>
      <c r="AW45" s="926"/>
      <c r="AX45" s="899">
        <f t="shared" si="61"/>
        <v>0</v>
      </c>
      <c r="AY45" s="899">
        <f t="shared" si="62"/>
        <v>137664.62000000197</v>
      </c>
      <c r="AZ45" s="932" t="s">
        <v>991</v>
      </c>
      <c r="BA45" s="908">
        <v>6180344.4900000002</v>
      </c>
      <c r="BB45" s="899">
        <v>3134578.7600000007</v>
      </c>
      <c r="BC45" s="906">
        <f t="shared" si="63"/>
        <v>3045765.7299999995</v>
      </c>
      <c r="BD45" s="926"/>
      <c r="BE45" s="1546">
        <f t="shared" si="64"/>
        <v>0</v>
      </c>
      <c r="BF45" s="899">
        <f t="shared" si="65"/>
        <v>137664.62000000011</v>
      </c>
      <c r="BG45" s="932" t="s">
        <v>991</v>
      </c>
      <c r="BH45" s="899">
        <v>6180344.4900000002</v>
      </c>
      <c r="BI45" s="899">
        <v>3272243.3800000008</v>
      </c>
      <c r="BJ45" s="909">
        <v>2908101.1099999994</v>
      </c>
      <c r="BK45" s="926"/>
      <c r="BL45" s="893" t="b">
        <f t="shared" si="31"/>
        <v>1</v>
      </c>
      <c r="BO45" s="893" t="s">
        <v>301</v>
      </c>
      <c r="BP45" s="893" t="s">
        <v>310</v>
      </c>
      <c r="BU45" s="1536"/>
      <c r="BV45" s="1170"/>
      <c r="BW45" s="108"/>
      <c r="BX45" s="1530"/>
    </row>
    <row r="46" spans="2:76" x14ac:dyDescent="0.25">
      <c r="B46" s="893" t="s">
        <v>993</v>
      </c>
      <c r="C46" s="899">
        <v>4313901.0299999993</v>
      </c>
      <c r="D46" s="899">
        <v>3014574.39</v>
      </c>
      <c r="E46" s="899">
        <v>1299326.6399999992</v>
      </c>
      <c r="G46" s="899">
        <f t="shared" si="44"/>
        <v>-1550086.0299999993</v>
      </c>
      <c r="H46" s="899">
        <f t="shared" si="44"/>
        <v>-1972754.3900000001</v>
      </c>
      <c r="I46" s="893" t="s">
        <v>992</v>
      </c>
      <c r="J46" s="899">
        <v>2763815</v>
      </c>
      <c r="K46" s="899">
        <v>1041820</v>
      </c>
      <c r="L46" s="899">
        <v>1721996</v>
      </c>
      <c r="N46" s="899">
        <f t="shared" si="45"/>
        <v>0</v>
      </c>
      <c r="O46" s="899">
        <f t="shared" si="45"/>
        <v>77322</v>
      </c>
      <c r="P46" s="893" t="s">
        <v>992</v>
      </c>
      <c r="Q46" s="899">
        <v>2763815</v>
      </c>
      <c r="R46" s="899">
        <v>1119142</v>
      </c>
      <c r="S46" s="899">
        <v>1644674</v>
      </c>
      <c r="U46" s="899">
        <f t="shared" si="46"/>
        <v>0</v>
      </c>
      <c r="V46" s="899">
        <f t="shared" si="46"/>
        <v>77321</v>
      </c>
      <c r="W46" s="893" t="s">
        <v>992</v>
      </c>
      <c r="X46" s="899">
        <v>2763815</v>
      </c>
      <c r="Y46" s="899">
        <v>1196463</v>
      </c>
      <c r="Z46" s="899">
        <v>1567352</v>
      </c>
      <c r="AB46" s="899">
        <f t="shared" si="47"/>
        <v>241572</v>
      </c>
      <c r="AC46" s="899">
        <f t="shared" si="48"/>
        <v>-593018</v>
      </c>
      <c r="AD46" s="893" t="s">
        <v>992</v>
      </c>
      <c r="AE46" s="899">
        <v>3005387</v>
      </c>
      <c r="AF46" s="899">
        <v>603445</v>
      </c>
      <c r="AG46" s="899">
        <v>2401942</v>
      </c>
      <c r="AI46" s="899">
        <f t="shared" si="27"/>
        <v>33668.430000000168</v>
      </c>
      <c r="AJ46" s="898">
        <f t="shared" si="55"/>
        <v>-0.20999999949708581</v>
      </c>
      <c r="AK46" s="899">
        <f t="shared" si="56"/>
        <v>84223.930000000168</v>
      </c>
      <c r="AL46" s="932" t="s">
        <v>992</v>
      </c>
      <c r="AM46" s="906">
        <v>3005386.7900000005</v>
      </c>
      <c r="AN46" s="906">
        <v>687668.93000000017</v>
      </c>
      <c r="AO46" s="907">
        <f t="shared" si="57"/>
        <v>2317717.8600000003</v>
      </c>
      <c r="AP46" s="926"/>
      <c r="AQ46" s="899">
        <f t="shared" si="58"/>
        <v>33668.639999999665</v>
      </c>
      <c r="AR46" s="899">
        <f t="shared" si="59"/>
        <v>117892.38000000024</v>
      </c>
      <c r="AS46" s="932" t="s">
        <v>992</v>
      </c>
      <c r="AT46" s="908">
        <v>3039055.43</v>
      </c>
      <c r="AU46" s="899">
        <v>805561.31000000041</v>
      </c>
      <c r="AV46" s="906">
        <f t="shared" si="60"/>
        <v>2233494.1199999996</v>
      </c>
      <c r="AW46" s="926"/>
      <c r="AX46" s="899">
        <f t="shared" si="61"/>
        <v>0</v>
      </c>
      <c r="AY46" s="899">
        <f t="shared" si="62"/>
        <v>84223.739999999641</v>
      </c>
      <c r="AZ46" s="932" t="s">
        <v>992</v>
      </c>
      <c r="BA46" s="908">
        <v>3039055.43</v>
      </c>
      <c r="BB46" s="899">
        <v>889785.05</v>
      </c>
      <c r="BC46" s="906">
        <f t="shared" si="63"/>
        <v>2149270.38</v>
      </c>
      <c r="BD46" s="926"/>
      <c r="BE46" s="1546">
        <f t="shared" si="64"/>
        <v>0</v>
      </c>
      <c r="BF46" s="899">
        <f t="shared" si="65"/>
        <v>84223.740000000107</v>
      </c>
      <c r="BG46" s="932" t="s">
        <v>992</v>
      </c>
      <c r="BH46" s="899">
        <v>3039055.43</v>
      </c>
      <c r="BI46" s="899">
        <v>974008.79000000015</v>
      </c>
      <c r="BJ46" s="909">
        <v>2065046.6400000001</v>
      </c>
      <c r="BK46" s="926"/>
      <c r="BL46" s="893" t="b">
        <f t="shared" si="31"/>
        <v>1</v>
      </c>
      <c r="BO46" s="893" t="s">
        <v>301</v>
      </c>
      <c r="BP46" s="893" t="s">
        <v>310</v>
      </c>
      <c r="BU46" s="1536"/>
      <c r="BV46" s="1170"/>
      <c r="BW46" s="108"/>
      <c r="BX46" s="1530"/>
    </row>
    <row r="47" spans="2:76" x14ac:dyDescent="0.25">
      <c r="B47" s="893" t="s">
        <v>994</v>
      </c>
      <c r="C47" s="899">
        <v>5766682.9100000001</v>
      </c>
      <c r="D47" s="899">
        <v>2334296.21</v>
      </c>
      <c r="E47" s="899">
        <v>3432386.7</v>
      </c>
      <c r="G47" s="899">
        <f t="shared" si="44"/>
        <v>-2314978.91</v>
      </c>
      <c r="H47" s="899">
        <f t="shared" si="44"/>
        <v>71008.790000000037</v>
      </c>
      <c r="I47" s="893" t="s">
        <v>994</v>
      </c>
      <c r="J47" s="899">
        <v>3451704</v>
      </c>
      <c r="K47" s="899">
        <v>2405305</v>
      </c>
      <c r="L47" s="899">
        <v>1046400</v>
      </c>
      <c r="N47" s="899">
        <f t="shared" si="45"/>
        <v>0</v>
      </c>
      <c r="O47" s="899">
        <f t="shared" si="45"/>
        <v>71008</v>
      </c>
      <c r="P47" s="893" t="s">
        <v>994</v>
      </c>
      <c r="Q47" s="899">
        <v>3451704</v>
      </c>
      <c r="R47" s="899">
        <v>2476313</v>
      </c>
      <c r="S47" s="899">
        <v>975391</v>
      </c>
      <c r="U47" s="899">
        <f t="shared" si="46"/>
        <v>0</v>
      </c>
      <c r="V47" s="899">
        <f t="shared" si="46"/>
        <v>71009</v>
      </c>
      <c r="W47" s="893" t="s">
        <v>994</v>
      </c>
      <c r="X47" s="899">
        <v>3451704</v>
      </c>
      <c r="Y47" s="899">
        <v>2547322</v>
      </c>
      <c r="Z47" s="899">
        <v>904383</v>
      </c>
      <c r="AB47" s="899">
        <f t="shared" si="47"/>
        <v>0</v>
      </c>
      <c r="AC47" s="899">
        <f t="shared" si="48"/>
        <v>33879</v>
      </c>
      <c r="AD47" s="893" t="s">
        <v>994</v>
      </c>
      <c r="AE47" s="899">
        <v>3451704</v>
      </c>
      <c r="AF47" s="899">
        <v>2581201</v>
      </c>
      <c r="AG47" s="899">
        <v>870503</v>
      </c>
      <c r="AI47" s="899">
        <f t="shared" si="27"/>
        <v>0.49000000255182385</v>
      </c>
      <c r="AJ47" s="899">
        <f t="shared" si="55"/>
        <v>0.49000000255182385</v>
      </c>
      <c r="AK47" s="899">
        <f t="shared" si="56"/>
        <v>14747.670000003651</v>
      </c>
      <c r="AL47" s="932" t="s">
        <v>994</v>
      </c>
      <c r="AM47" s="906">
        <v>3451704.4900000026</v>
      </c>
      <c r="AN47" s="906">
        <v>2595948.6700000037</v>
      </c>
      <c r="AO47" s="907">
        <f t="shared" si="57"/>
        <v>855755.8199999989</v>
      </c>
      <c r="AP47" s="926"/>
      <c r="AQ47" s="899">
        <f t="shared" si="58"/>
        <v>0</v>
      </c>
      <c r="AR47" s="899">
        <f t="shared" si="59"/>
        <v>14747.370000002906</v>
      </c>
      <c r="AS47" s="932" t="s">
        <v>994</v>
      </c>
      <c r="AT47" s="908">
        <v>3451704.4900000026</v>
      </c>
      <c r="AU47" s="899">
        <v>2610696.0400000066</v>
      </c>
      <c r="AV47" s="906">
        <f t="shared" si="60"/>
        <v>841008.449999996</v>
      </c>
      <c r="AW47" s="926"/>
      <c r="AX47" s="899">
        <f t="shared" si="61"/>
        <v>0</v>
      </c>
      <c r="AY47" s="899">
        <f t="shared" si="62"/>
        <v>14747.369999991264</v>
      </c>
      <c r="AZ47" s="932" t="s">
        <v>994</v>
      </c>
      <c r="BA47" s="908">
        <v>3451704.4900000026</v>
      </c>
      <c r="BB47" s="899">
        <v>2625443.4099999978</v>
      </c>
      <c r="BC47" s="906">
        <f t="shared" si="63"/>
        <v>826261.08000000473</v>
      </c>
      <c r="BD47" s="926"/>
      <c r="BE47" s="899">
        <f t="shared" si="64"/>
        <v>0</v>
      </c>
      <c r="BF47" s="899">
        <f t="shared" si="65"/>
        <v>14747.370000001509</v>
      </c>
      <c r="BG47" s="932" t="s">
        <v>994</v>
      </c>
      <c r="BH47" s="899">
        <v>3451704.4900000026</v>
      </c>
      <c r="BI47" s="899">
        <v>2640190.7799999993</v>
      </c>
      <c r="BJ47" s="909">
        <v>811513.71000000322</v>
      </c>
      <c r="BK47" s="926"/>
      <c r="BL47" s="893" t="b">
        <f t="shared" si="31"/>
        <v>1</v>
      </c>
      <c r="BO47" s="893" t="s">
        <v>301</v>
      </c>
      <c r="BP47" s="893" t="s">
        <v>310</v>
      </c>
      <c r="BU47" s="1536"/>
      <c r="BV47" s="1170"/>
      <c r="BW47" s="108"/>
      <c r="BX47" s="1530"/>
    </row>
    <row r="48" spans="2:76" x14ac:dyDescent="0.25">
      <c r="B48" s="893" t="s">
        <v>995</v>
      </c>
      <c r="C48" s="899">
        <v>199901.93</v>
      </c>
      <c r="D48" s="899">
        <v>171571.70263836512</v>
      </c>
      <c r="E48" s="899">
        <v>28330.227361634868</v>
      </c>
      <c r="G48" s="899">
        <f t="shared" si="44"/>
        <v>7.0000000006984919E-2</v>
      </c>
      <c r="H48" s="899">
        <f t="shared" si="44"/>
        <v>-17507.702638365125</v>
      </c>
      <c r="I48" s="893" t="s">
        <v>995</v>
      </c>
      <c r="J48" s="899">
        <v>199902</v>
      </c>
      <c r="K48" s="899">
        <v>154064</v>
      </c>
      <c r="L48" s="899">
        <v>45838</v>
      </c>
      <c r="N48" s="899">
        <f t="shared" si="45"/>
        <v>0</v>
      </c>
      <c r="O48" s="899">
        <f t="shared" si="45"/>
        <v>4947</v>
      </c>
      <c r="P48" s="893" t="s">
        <v>995</v>
      </c>
      <c r="Q48" s="899">
        <v>199902</v>
      </c>
      <c r="R48" s="899">
        <v>159011</v>
      </c>
      <c r="S48" s="899">
        <v>40891</v>
      </c>
      <c r="U48" s="899">
        <f t="shared" si="46"/>
        <v>0</v>
      </c>
      <c r="V48" s="899">
        <f t="shared" si="46"/>
        <v>4947</v>
      </c>
      <c r="W48" s="893" t="s">
        <v>995</v>
      </c>
      <c r="X48" s="899">
        <v>199902</v>
      </c>
      <c r="Y48" s="899">
        <v>163958</v>
      </c>
      <c r="Z48" s="899">
        <v>35944</v>
      </c>
      <c r="AB48" s="899">
        <f t="shared" si="47"/>
        <v>69916</v>
      </c>
      <c r="AC48" s="899">
        <f t="shared" si="48"/>
        <v>14658</v>
      </c>
      <c r="AD48" s="893" t="s">
        <v>995</v>
      </c>
      <c r="AE48" s="899">
        <v>269818</v>
      </c>
      <c r="AF48" s="899">
        <v>178616</v>
      </c>
      <c r="AG48" s="899">
        <v>91202</v>
      </c>
      <c r="AI48" s="899">
        <f t="shared" si="27"/>
        <v>0.4599999999627471</v>
      </c>
      <c r="AJ48" s="899">
        <f t="shared" si="55"/>
        <v>0.4599999999627471</v>
      </c>
      <c r="AK48" s="899">
        <f t="shared" si="56"/>
        <v>9094.1600000000035</v>
      </c>
      <c r="AL48" s="932" t="s">
        <v>995</v>
      </c>
      <c r="AM48" s="906">
        <v>269818.45999999996</v>
      </c>
      <c r="AN48" s="906">
        <v>187710.16</v>
      </c>
      <c r="AO48" s="907">
        <f t="shared" si="57"/>
        <v>82108.299999999959</v>
      </c>
      <c r="AP48" s="926"/>
      <c r="AQ48" s="899">
        <f t="shared" si="58"/>
        <v>0</v>
      </c>
      <c r="AR48" s="899">
        <f t="shared" si="59"/>
        <v>8839.7299999999523</v>
      </c>
      <c r="AS48" s="932" t="s">
        <v>995</v>
      </c>
      <c r="AT48" s="908">
        <v>269818.45999999996</v>
      </c>
      <c r="AU48" s="899">
        <v>196549.88999999996</v>
      </c>
      <c r="AV48" s="906">
        <f t="shared" si="60"/>
        <v>73268.570000000007</v>
      </c>
      <c r="AW48" s="926"/>
      <c r="AX48" s="899">
        <f t="shared" si="61"/>
        <v>0</v>
      </c>
      <c r="AY48" s="899">
        <f t="shared" si="62"/>
        <v>8839.7300000000396</v>
      </c>
      <c r="AZ48" s="932" t="s">
        <v>995</v>
      </c>
      <c r="BA48" s="908">
        <v>269818.45999999996</v>
      </c>
      <c r="BB48" s="899">
        <v>205389.62</v>
      </c>
      <c r="BC48" s="906">
        <f t="shared" si="63"/>
        <v>64428.839999999967</v>
      </c>
      <c r="BD48" s="926"/>
      <c r="BE48" s="899">
        <f t="shared" si="64"/>
        <v>0</v>
      </c>
      <c r="BF48" s="899">
        <f t="shared" si="65"/>
        <v>8839.7299999999814</v>
      </c>
      <c r="BG48" s="932" t="s">
        <v>995</v>
      </c>
      <c r="BH48" s="899">
        <v>269818.45999999996</v>
      </c>
      <c r="BI48" s="899">
        <v>214229.34999999998</v>
      </c>
      <c r="BJ48" s="909">
        <v>55589.109999999986</v>
      </c>
      <c r="BK48" s="926"/>
      <c r="BL48" s="893" t="b">
        <f t="shared" si="31"/>
        <v>1</v>
      </c>
      <c r="BO48" s="893" t="s">
        <v>301</v>
      </c>
      <c r="BP48" s="893" t="s">
        <v>310</v>
      </c>
      <c r="BU48" s="1536"/>
      <c r="BV48" s="1170"/>
      <c r="BW48" s="108"/>
      <c r="BX48" s="1530"/>
    </row>
    <row r="49" spans="1:76" x14ac:dyDescent="0.25">
      <c r="B49" s="893" t="s">
        <v>996</v>
      </c>
      <c r="C49" s="899">
        <v>779197.70000000007</v>
      </c>
      <c r="D49" s="899">
        <v>152689.91141906299</v>
      </c>
      <c r="E49" s="899">
        <v>626507.78858093708</v>
      </c>
      <c r="G49" s="899">
        <f t="shared" si="44"/>
        <v>0.29999999993015081</v>
      </c>
      <c r="H49" s="899">
        <f t="shared" si="44"/>
        <v>44717.088580937008</v>
      </c>
      <c r="I49" s="893" t="s">
        <v>996</v>
      </c>
      <c r="J49" s="899">
        <v>779198</v>
      </c>
      <c r="K49" s="899">
        <v>197407</v>
      </c>
      <c r="L49" s="899">
        <v>581790</v>
      </c>
      <c r="N49" s="899">
        <f t="shared" si="45"/>
        <v>0</v>
      </c>
      <c r="O49" s="899">
        <f t="shared" si="45"/>
        <v>22263</v>
      </c>
      <c r="P49" s="893" t="s">
        <v>996</v>
      </c>
      <c r="Q49" s="899">
        <v>779198</v>
      </c>
      <c r="R49" s="899">
        <v>219670</v>
      </c>
      <c r="S49" s="899">
        <v>559528</v>
      </c>
      <c r="U49" s="899">
        <f t="shared" si="46"/>
        <v>0</v>
      </c>
      <c r="V49" s="899">
        <f t="shared" si="46"/>
        <v>22263</v>
      </c>
      <c r="W49" s="893" t="s">
        <v>996</v>
      </c>
      <c r="X49" s="899">
        <v>779198</v>
      </c>
      <c r="Y49" s="899">
        <v>241933</v>
      </c>
      <c r="Z49" s="899">
        <v>537265</v>
      </c>
      <c r="AB49" s="899">
        <f t="shared" si="47"/>
        <v>69916</v>
      </c>
      <c r="AC49" s="899">
        <f t="shared" si="48"/>
        <v>31585</v>
      </c>
      <c r="AD49" s="893" t="s">
        <v>996</v>
      </c>
      <c r="AE49" s="899">
        <v>849114</v>
      </c>
      <c r="AF49" s="899">
        <v>273518</v>
      </c>
      <c r="AG49" s="899">
        <v>575597</v>
      </c>
      <c r="AI49" s="899">
        <f t="shared" si="27"/>
        <v>0.22999999986495823</v>
      </c>
      <c r="AJ49" s="899">
        <f t="shared" si="55"/>
        <v>0.22999999986495823</v>
      </c>
      <c r="AK49" s="899">
        <f t="shared" si="56"/>
        <v>29254.099999999977</v>
      </c>
      <c r="AL49" s="932" t="s">
        <v>996</v>
      </c>
      <c r="AM49" s="906">
        <v>849114.22999999986</v>
      </c>
      <c r="AN49" s="906">
        <v>302772.09999999998</v>
      </c>
      <c r="AO49" s="907">
        <f t="shared" si="57"/>
        <v>546342.12999999989</v>
      </c>
      <c r="AP49" s="926"/>
      <c r="AQ49" s="899">
        <f t="shared" si="58"/>
        <v>0</v>
      </c>
      <c r="AR49" s="899">
        <f t="shared" si="59"/>
        <v>29254.380000000063</v>
      </c>
      <c r="AS49" s="932" t="s">
        <v>996</v>
      </c>
      <c r="AT49" s="908">
        <v>849114.22999999986</v>
      </c>
      <c r="AU49" s="899">
        <v>332026.48000000004</v>
      </c>
      <c r="AV49" s="906">
        <f t="shared" si="60"/>
        <v>517087.74999999983</v>
      </c>
      <c r="AW49" s="926"/>
      <c r="AX49" s="899">
        <f t="shared" si="61"/>
        <v>0</v>
      </c>
      <c r="AY49" s="899">
        <f t="shared" si="62"/>
        <v>29254.379999999946</v>
      </c>
      <c r="AZ49" s="932" t="s">
        <v>996</v>
      </c>
      <c r="BA49" s="908">
        <v>849114.22999999986</v>
      </c>
      <c r="BB49" s="899">
        <v>361280.86</v>
      </c>
      <c r="BC49" s="906">
        <f t="shared" si="63"/>
        <v>487833.36999999988</v>
      </c>
      <c r="BD49" s="926"/>
      <c r="BE49" s="899">
        <f t="shared" si="64"/>
        <v>0</v>
      </c>
      <c r="BF49" s="899">
        <f t="shared" si="65"/>
        <v>29254.380000000063</v>
      </c>
      <c r="BG49" s="932" t="s">
        <v>996</v>
      </c>
      <c r="BH49" s="899">
        <v>849114.22999999986</v>
      </c>
      <c r="BI49" s="899">
        <v>390535.24000000005</v>
      </c>
      <c r="BJ49" s="909">
        <v>458578.98999999982</v>
      </c>
      <c r="BK49" s="926"/>
      <c r="BL49" s="893" t="b">
        <f t="shared" si="31"/>
        <v>1</v>
      </c>
      <c r="BO49" s="893" t="s">
        <v>301</v>
      </c>
      <c r="BP49" s="893" t="s">
        <v>310</v>
      </c>
      <c r="BU49" s="1536"/>
      <c r="BV49" s="1170"/>
      <c r="BW49" s="108"/>
      <c r="BX49" s="1530"/>
    </row>
    <row r="50" spans="1:76" x14ac:dyDescent="0.25">
      <c r="C50" s="899"/>
      <c r="D50" s="899"/>
      <c r="E50" s="899"/>
      <c r="G50" s="899"/>
      <c r="H50" s="899"/>
      <c r="J50" s="899"/>
      <c r="K50" s="899"/>
      <c r="L50" s="899"/>
      <c r="N50" s="899"/>
      <c r="O50" s="899"/>
      <c r="Q50" s="899"/>
      <c r="R50" s="899"/>
      <c r="S50" s="899"/>
      <c r="U50" s="899"/>
      <c r="V50" s="899"/>
      <c r="X50" s="899"/>
      <c r="Y50" s="899"/>
      <c r="Z50" s="899"/>
      <c r="AB50" s="899"/>
      <c r="AC50" s="899"/>
      <c r="AE50" s="899"/>
      <c r="AF50" s="899"/>
      <c r="AG50" s="899"/>
      <c r="AI50" s="899">
        <f t="shared" si="27"/>
        <v>13470512.630000001</v>
      </c>
      <c r="AJ50" s="899"/>
      <c r="AK50" s="899"/>
      <c r="AL50" s="932"/>
      <c r="AM50" s="906"/>
      <c r="AN50" s="906"/>
      <c r="AO50" s="907"/>
      <c r="AP50" s="926"/>
      <c r="AQ50" s="899"/>
      <c r="AR50" s="899"/>
      <c r="AS50" s="932"/>
      <c r="AT50" s="908"/>
      <c r="AU50" s="899"/>
      <c r="AV50" s="906"/>
      <c r="AW50" s="926"/>
      <c r="AX50" s="899"/>
      <c r="AY50" s="899"/>
      <c r="AZ50" s="932"/>
      <c r="BA50" s="908"/>
      <c r="BB50" s="899"/>
      <c r="BC50" s="906"/>
      <c r="BD50" s="926"/>
      <c r="BE50" s="1547">
        <f t="shared" ref="BE50" si="66">BH50-BA50</f>
        <v>13470512.630000001</v>
      </c>
      <c r="BF50" s="903">
        <f t="shared" ref="BF50" si="67">BI50-BB50</f>
        <v>35372.69</v>
      </c>
      <c r="BG50" s="1539" t="s">
        <v>1794</v>
      </c>
      <c r="BH50" s="903">
        <v>13470512.630000001</v>
      </c>
      <c r="BI50" s="903">
        <v>35372.69</v>
      </c>
      <c r="BJ50" s="945">
        <v>13435139.940000001</v>
      </c>
      <c r="BK50" s="935" t="s">
        <v>1309</v>
      </c>
      <c r="BL50" s="893" t="b">
        <f t="shared" si="31"/>
        <v>0</v>
      </c>
      <c r="BO50" s="893" t="s">
        <v>301</v>
      </c>
      <c r="BP50" s="893" t="s">
        <v>310</v>
      </c>
      <c r="BU50" s="1536"/>
      <c r="BV50" s="1170"/>
      <c r="BW50" s="108"/>
      <c r="BX50" s="1530"/>
    </row>
    <row r="51" spans="1:76" x14ac:dyDescent="0.25">
      <c r="B51" s="893" t="s">
        <v>997</v>
      </c>
      <c r="C51" s="899">
        <v>6455340.370000001</v>
      </c>
      <c r="D51" s="899">
        <v>1774573.59</v>
      </c>
      <c r="E51" s="899">
        <v>4680766.7800000012</v>
      </c>
      <c r="G51" s="899">
        <f t="shared" si="44"/>
        <v>-0.37000000104308128</v>
      </c>
      <c r="H51" s="899">
        <f t="shared" si="44"/>
        <v>148231.40999999992</v>
      </c>
      <c r="I51" s="893" t="s">
        <v>997</v>
      </c>
      <c r="J51" s="899">
        <v>6455340</v>
      </c>
      <c r="K51" s="899">
        <v>1922805</v>
      </c>
      <c r="L51" s="899">
        <v>4532536</v>
      </c>
      <c r="N51" s="899">
        <f t="shared" si="45"/>
        <v>0</v>
      </c>
      <c r="O51" s="899">
        <f t="shared" si="45"/>
        <v>148231</v>
      </c>
      <c r="P51" s="893" t="s">
        <v>997</v>
      </c>
      <c r="Q51" s="899">
        <v>6455340</v>
      </c>
      <c r="R51" s="899">
        <v>2071036</v>
      </c>
      <c r="S51" s="899">
        <v>4384305</v>
      </c>
      <c r="U51" s="899">
        <f t="shared" si="46"/>
        <v>0</v>
      </c>
      <c r="V51" s="899">
        <f t="shared" si="46"/>
        <v>148231</v>
      </c>
      <c r="W51" s="893" t="s">
        <v>997</v>
      </c>
      <c r="X51" s="899">
        <v>6455340</v>
      </c>
      <c r="Y51" s="899">
        <v>2219267</v>
      </c>
      <c r="Z51" s="899">
        <v>4236074</v>
      </c>
      <c r="AB51" s="899">
        <f t="shared" si="47"/>
        <v>-1320864</v>
      </c>
      <c r="AC51" s="899">
        <f t="shared" si="48"/>
        <v>-474943</v>
      </c>
      <c r="AD51" s="893" t="s">
        <v>997</v>
      </c>
      <c r="AE51" s="899">
        <v>5134476</v>
      </c>
      <c r="AF51" s="899">
        <v>1744324</v>
      </c>
      <c r="AG51" s="899">
        <v>3390152</v>
      </c>
      <c r="AH51" s="893" t="s">
        <v>467</v>
      </c>
      <c r="AI51" s="899">
        <f t="shared" si="27"/>
        <v>0.23000000324100256</v>
      </c>
      <c r="AJ51" s="899">
        <f t="shared" si="55"/>
        <v>0.23000000324100256</v>
      </c>
      <c r="AK51" s="899">
        <f t="shared" si="56"/>
        <v>110271.720000003</v>
      </c>
      <c r="AL51" s="930" t="s">
        <v>997</v>
      </c>
      <c r="AM51" s="906">
        <v>5134476.2300000032</v>
      </c>
      <c r="AN51" s="906">
        <v>1854595.720000003</v>
      </c>
      <c r="AO51" s="907">
        <f t="shared" si="57"/>
        <v>3279880.5100000002</v>
      </c>
      <c r="AP51" s="926"/>
      <c r="AQ51" s="899">
        <f t="shared" si="58"/>
        <v>0</v>
      </c>
      <c r="AR51" s="899">
        <f t="shared" si="59"/>
        <v>110271.24999999488</v>
      </c>
      <c r="AS51" s="930" t="s">
        <v>997</v>
      </c>
      <c r="AT51" s="908">
        <v>5134476.2300000032</v>
      </c>
      <c r="AU51" s="899">
        <v>1964866.9699999979</v>
      </c>
      <c r="AV51" s="906">
        <f t="shared" si="60"/>
        <v>3169609.2600000054</v>
      </c>
      <c r="AW51" s="926"/>
      <c r="AX51" s="899">
        <f t="shared" si="61"/>
        <v>0</v>
      </c>
      <c r="AY51" s="899">
        <f t="shared" si="62"/>
        <v>110271.2500000021</v>
      </c>
      <c r="AZ51" s="930" t="s">
        <v>997</v>
      </c>
      <c r="BA51" s="908">
        <v>5134476.2300000032</v>
      </c>
      <c r="BB51" s="899">
        <v>2075138.22</v>
      </c>
      <c r="BC51" s="906">
        <f t="shared" si="63"/>
        <v>3059338.0100000035</v>
      </c>
      <c r="BD51" s="926" t="s">
        <v>467</v>
      </c>
      <c r="BE51" s="899">
        <f t="shared" si="64"/>
        <v>0</v>
      </c>
      <c r="BF51" s="899">
        <f t="shared" si="65"/>
        <v>110271.25000000256</v>
      </c>
      <c r="BG51" s="930" t="s">
        <v>997</v>
      </c>
      <c r="BH51" s="899">
        <v>5134476.2300000032</v>
      </c>
      <c r="BI51" s="899">
        <v>2185409.4700000025</v>
      </c>
      <c r="BJ51" s="909">
        <v>2949066.7600000007</v>
      </c>
      <c r="BK51" s="926" t="s">
        <v>467</v>
      </c>
      <c r="BL51" s="893" t="b">
        <f t="shared" si="31"/>
        <v>1</v>
      </c>
      <c r="BO51" s="893" t="s">
        <v>301</v>
      </c>
      <c r="BP51" s="893" t="s">
        <v>310</v>
      </c>
      <c r="BU51" s="676"/>
      <c r="BV51" s="1170"/>
      <c r="BW51" s="108"/>
      <c r="BX51" s="1530"/>
    </row>
    <row r="52" spans="1:76" x14ac:dyDescent="0.25">
      <c r="C52" s="899"/>
      <c r="D52" s="899"/>
      <c r="E52" s="899"/>
      <c r="J52" s="899"/>
      <c r="K52" s="899"/>
      <c r="L52" s="899"/>
      <c r="Q52" s="899"/>
      <c r="R52" s="899"/>
      <c r="S52" s="899"/>
      <c r="X52" s="899"/>
      <c r="Y52" s="899"/>
      <c r="Z52" s="899"/>
      <c r="AE52" s="899"/>
      <c r="AF52" s="899"/>
      <c r="AG52" s="899"/>
      <c r="AI52" s="899"/>
      <c r="AP52" s="926"/>
      <c r="AW52" s="926"/>
    </row>
    <row r="53" spans="1:76" x14ac:dyDescent="0.25">
      <c r="B53" s="893" t="s">
        <v>934</v>
      </c>
      <c r="C53" s="899">
        <v>175082021.50999996</v>
      </c>
      <c r="D53" s="899">
        <v>78955532.550491899</v>
      </c>
      <c r="E53" s="899">
        <v>96126488.959508061</v>
      </c>
      <c r="G53" s="899">
        <f t="shared" si="44"/>
        <v>86898238.490000039</v>
      </c>
      <c r="H53" s="899">
        <f t="shared" si="44"/>
        <v>8961447.4495081007</v>
      </c>
      <c r="I53" s="893" t="s">
        <v>934</v>
      </c>
      <c r="J53" s="899">
        <v>261980260</v>
      </c>
      <c r="K53" s="899">
        <v>87916980</v>
      </c>
      <c r="L53" s="899">
        <v>174063280</v>
      </c>
      <c r="N53" s="899">
        <f t="shared" ref="N53:O70" si="68">+Q53-J53</f>
        <v>4194250</v>
      </c>
      <c r="O53" s="899">
        <f t="shared" si="68"/>
        <v>9394838</v>
      </c>
      <c r="P53" s="893" t="s">
        <v>934</v>
      </c>
      <c r="Q53" s="899">
        <v>266174510</v>
      </c>
      <c r="R53" s="899">
        <v>97311818</v>
      </c>
      <c r="S53" s="899">
        <v>168862692</v>
      </c>
      <c r="U53" s="899">
        <f t="shared" ref="U53:V56" si="69">+X53-Q53</f>
        <v>29257585</v>
      </c>
      <c r="V53" s="899">
        <f t="shared" si="69"/>
        <v>10334466</v>
      </c>
      <c r="W53" s="893" t="s">
        <v>934</v>
      </c>
      <c r="X53" s="899">
        <v>295432095</v>
      </c>
      <c r="Y53" s="899">
        <v>107646284</v>
      </c>
      <c r="Z53" s="899">
        <v>187785810</v>
      </c>
      <c r="AA53" s="893" t="s">
        <v>766</v>
      </c>
      <c r="AB53" s="899">
        <f t="shared" ref="AB53:AB70" si="70">+AE53-X53</f>
        <v>20299548</v>
      </c>
      <c r="AC53" s="899">
        <f t="shared" ref="AC53:AC70" si="71">+AF53-Y53</f>
        <v>9929871</v>
      </c>
      <c r="AD53" s="893" t="s">
        <v>934</v>
      </c>
      <c r="AE53" s="899">
        <v>315731643</v>
      </c>
      <c r="AF53" s="899">
        <v>117576155</v>
      </c>
      <c r="AG53" s="899">
        <v>198155488</v>
      </c>
      <c r="AI53" s="899">
        <f t="shared" si="27"/>
        <v>184522119.71999931</v>
      </c>
      <c r="AJ53" s="899">
        <f>AM53-AE53</f>
        <v>64875860.899999976</v>
      </c>
      <c r="AK53" s="899">
        <f t="shared" ref="AK53" si="72">AN53-AF53</f>
        <v>10198241.120000064</v>
      </c>
      <c r="AL53" s="911" t="s">
        <v>934</v>
      </c>
      <c r="AM53" s="912">
        <f>+AM54+AM79</f>
        <v>380607503.89999998</v>
      </c>
      <c r="AN53" s="912">
        <f>+AN54+AN79</f>
        <v>127774396.12000006</v>
      </c>
      <c r="AO53" s="912">
        <f>+AO54+AO79</f>
        <v>252833107.77999994</v>
      </c>
      <c r="AP53" s="926"/>
      <c r="AQ53" s="899">
        <f t="shared" ref="AQ53:AQ54" si="73">AT53-AM53</f>
        <v>52200521.89999944</v>
      </c>
      <c r="AR53" s="899">
        <f t="shared" ref="AR53:AR54" si="74">AU53-AN53</f>
        <v>12533278.540000021</v>
      </c>
      <c r="AS53" s="911" t="s">
        <v>934</v>
      </c>
      <c r="AT53" s="912">
        <f>+AT54+AT79</f>
        <v>432808025.79999942</v>
      </c>
      <c r="AU53" s="913">
        <f>+AU54+AU79</f>
        <v>140307674.66000009</v>
      </c>
      <c r="AV53" s="912">
        <f>+AV54+AV79</f>
        <v>292500351.13999939</v>
      </c>
      <c r="AW53" s="926"/>
      <c r="AX53" s="899">
        <f t="shared" ref="AX53:AX54" si="75">BA53-AT53</f>
        <v>11171516.019999921</v>
      </c>
      <c r="AY53" s="899">
        <f t="shared" ref="AY53:AY54" si="76">BB53-AU53</f>
        <v>14405324.440000117</v>
      </c>
      <c r="AZ53" s="911" t="s">
        <v>934</v>
      </c>
      <c r="BA53" s="912">
        <f>+BA54+BA79</f>
        <v>443979541.81999934</v>
      </c>
      <c r="BB53" s="913">
        <f>+BB54+BB79</f>
        <v>154712999.1000002</v>
      </c>
      <c r="BC53" s="912">
        <f>+BC54+BC79</f>
        <v>289266542.71999925</v>
      </c>
      <c r="BD53" s="930"/>
      <c r="BE53" s="899">
        <f t="shared" ref="BE53:BE54" si="77">BH53-BA53</f>
        <v>56274220.899999976</v>
      </c>
      <c r="BF53" s="899">
        <f t="shared" ref="BF53:BF54" si="78">BI53-BB53</f>
        <v>15770863.249999762</v>
      </c>
      <c r="BG53" s="911" t="s">
        <v>934</v>
      </c>
      <c r="BH53" s="913">
        <f>+BH54+BH79</f>
        <v>500253762.71999931</v>
      </c>
      <c r="BI53" s="913">
        <f>+BI54+BI79</f>
        <v>170483862.34999996</v>
      </c>
      <c r="BJ53" s="913">
        <f>+BJ54+BJ79</f>
        <v>329769900.36999935</v>
      </c>
      <c r="BK53" s="930"/>
    </row>
    <row r="54" spans="1:76" x14ac:dyDescent="0.25">
      <c r="B54" s="893" t="s">
        <v>941</v>
      </c>
      <c r="C54" s="899">
        <v>138710954.00999996</v>
      </c>
      <c r="D54" s="899">
        <v>66415469.858891904</v>
      </c>
      <c r="E54" s="899">
        <v>72295484.151108071</v>
      </c>
      <c r="G54" s="899">
        <f t="shared" si="44"/>
        <v>84099289.990000039</v>
      </c>
      <c r="H54" s="899">
        <f t="shared" si="44"/>
        <v>7355959.1411080956</v>
      </c>
      <c r="I54" s="893" t="s">
        <v>941</v>
      </c>
      <c r="J54" s="899">
        <v>222810244</v>
      </c>
      <c r="K54" s="899">
        <v>73771429</v>
      </c>
      <c r="L54" s="899">
        <v>149038814</v>
      </c>
      <c r="N54" s="899">
        <f t="shared" si="68"/>
        <v>4194250</v>
      </c>
      <c r="O54" s="899">
        <f t="shared" si="68"/>
        <v>7958138</v>
      </c>
      <c r="P54" s="893" t="s">
        <v>941</v>
      </c>
      <c r="Q54" s="899">
        <v>227004494</v>
      </c>
      <c r="R54" s="899">
        <v>81729567</v>
      </c>
      <c r="S54" s="899">
        <v>145274928</v>
      </c>
      <c r="U54" s="899">
        <f t="shared" si="69"/>
        <v>25320081</v>
      </c>
      <c r="V54" s="899">
        <f t="shared" si="69"/>
        <v>8219447</v>
      </c>
      <c r="W54" s="893" t="s">
        <v>941</v>
      </c>
      <c r="X54" s="899">
        <v>252324575</v>
      </c>
      <c r="Y54" s="899">
        <v>89949014</v>
      </c>
      <c r="Z54" s="899">
        <v>162375560</v>
      </c>
      <c r="AA54" s="893" t="s">
        <v>766</v>
      </c>
      <c r="AB54" s="899">
        <f t="shared" si="70"/>
        <v>20054548</v>
      </c>
      <c r="AC54" s="899">
        <f t="shared" si="71"/>
        <v>8380597</v>
      </c>
      <c r="AD54" s="893" t="s">
        <v>941</v>
      </c>
      <c r="AE54" s="899">
        <v>272379123</v>
      </c>
      <c r="AF54" s="899">
        <v>98329611</v>
      </c>
      <c r="AG54" s="899">
        <v>174049512</v>
      </c>
      <c r="AI54" s="899">
        <f t="shared" si="27"/>
        <v>178524405.00999922</v>
      </c>
      <c r="AJ54" s="899">
        <f>AM54-AE54</f>
        <v>64554718.269999862</v>
      </c>
      <c r="AK54" s="899">
        <f t="shared" ref="AK54" si="79">AN54-AF54</f>
        <v>8499168.580000028</v>
      </c>
      <c r="AL54" s="928" t="s">
        <v>941</v>
      </c>
      <c r="AM54" s="902">
        <f>SUM(AM55:AM76)</f>
        <v>336933841.26999986</v>
      </c>
      <c r="AN54" s="902">
        <f t="shared" ref="AN54:AO54" si="80">SUM(AN55:AN76)</f>
        <v>106828779.58000003</v>
      </c>
      <c r="AO54" s="902">
        <f t="shared" si="80"/>
        <v>230105061.68999988</v>
      </c>
      <c r="AP54" s="926"/>
      <c r="AQ54" s="899">
        <f t="shared" si="73"/>
        <v>50613608.779999435</v>
      </c>
      <c r="AR54" s="899">
        <f t="shared" si="74"/>
        <v>11062928.970000118</v>
      </c>
      <c r="AS54" s="928" t="s">
        <v>941</v>
      </c>
      <c r="AT54" s="902">
        <f>SUM(AT55:AT76)</f>
        <v>387547450.0499993</v>
      </c>
      <c r="AU54" s="910">
        <f t="shared" ref="AU54:AV54" si="81">SUM(AU55:AU76)</f>
        <v>117891708.55000015</v>
      </c>
      <c r="AV54" s="902">
        <f t="shared" si="81"/>
        <v>269655741.49999923</v>
      </c>
      <c r="AW54" s="926"/>
      <c r="AX54" s="899">
        <f t="shared" si="75"/>
        <v>11016644.549999952</v>
      </c>
      <c r="AY54" s="899">
        <f t="shared" si="76"/>
        <v>13002635.300000086</v>
      </c>
      <c r="AZ54" s="928" t="s">
        <v>941</v>
      </c>
      <c r="BA54" s="902">
        <f>SUM(BA55:BA76)</f>
        <v>398564094.59999925</v>
      </c>
      <c r="BB54" s="910">
        <f t="shared" ref="BB54:BC54" si="82">SUM(BB55:BB76)</f>
        <v>130894343.85000023</v>
      </c>
      <c r="BC54" s="902">
        <f t="shared" si="82"/>
        <v>267669750.74999911</v>
      </c>
      <c r="BD54" s="930"/>
      <c r="BE54" s="899">
        <f t="shared" si="77"/>
        <v>52339433.409999967</v>
      </c>
      <c r="BF54" s="899">
        <f t="shared" si="78"/>
        <v>14246586.21999979</v>
      </c>
      <c r="BG54" s="928" t="s">
        <v>941</v>
      </c>
      <c r="BH54" s="910">
        <f>SUM(BH55:BH77)</f>
        <v>450903528.00999922</v>
      </c>
      <c r="BI54" s="910">
        <f>SUM(BI55:BI77)</f>
        <v>145140930.07000002</v>
      </c>
      <c r="BJ54" s="910">
        <f>SUM(BJ55:BJ77)</f>
        <v>305762597.93999916</v>
      </c>
      <c r="BK54" s="930"/>
    </row>
    <row r="55" spans="1:76" s="894" customFormat="1" x14ac:dyDescent="0.25">
      <c r="A55" s="893"/>
      <c r="B55" s="893" t="s">
        <v>1012</v>
      </c>
      <c r="C55" s="899">
        <v>2828058.17</v>
      </c>
      <c r="D55" s="899">
        <v>56380.24</v>
      </c>
      <c r="E55" s="899">
        <v>2771677.9299999997</v>
      </c>
      <c r="F55" s="893"/>
      <c r="G55" s="899">
        <f t="shared" si="44"/>
        <v>-2828058.17</v>
      </c>
      <c r="H55" s="899">
        <f t="shared" si="44"/>
        <v>-56380.24</v>
      </c>
      <c r="I55" s="893" t="s">
        <v>961</v>
      </c>
      <c r="J55" s="893">
        <v>0</v>
      </c>
      <c r="K55" s="893">
        <v>0</v>
      </c>
      <c r="L55" s="893">
        <v>0</v>
      </c>
      <c r="M55" s="893"/>
      <c r="N55" s="899">
        <f t="shared" si="68"/>
        <v>0</v>
      </c>
      <c r="O55" s="899">
        <f t="shared" si="68"/>
        <v>0</v>
      </c>
      <c r="P55" s="893" t="s">
        <v>961</v>
      </c>
      <c r="Q55" s="893">
        <v>0</v>
      </c>
      <c r="R55" s="893">
        <v>0</v>
      </c>
      <c r="S55" s="893">
        <v>0</v>
      </c>
      <c r="T55" s="893"/>
      <c r="U55" s="899">
        <f t="shared" si="69"/>
        <v>0</v>
      </c>
      <c r="V55" s="899">
        <f t="shared" si="69"/>
        <v>0</v>
      </c>
      <c r="W55" s="893" t="s">
        <v>961</v>
      </c>
      <c r="X55" s="893">
        <v>0</v>
      </c>
      <c r="Y55" s="893">
        <v>0</v>
      </c>
      <c r="Z55" s="893">
        <v>0</v>
      </c>
      <c r="AA55" s="893"/>
      <c r="AB55" s="899">
        <f t="shared" si="70"/>
        <v>0</v>
      </c>
      <c r="AC55" s="899">
        <f t="shared" si="71"/>
        <v>0</v>
      </c>
      <c r="AD55" s="893" t="s">
        <v>961</v>
      </c>
      <c r="AE55" s="893">
        <v>0</v>
      </c>
      <c r="AF55" s="893">
        <v>0</v>
      </c>
      <c r="AG55" s="893">
        <v>0</v>
      </c>
      <c r="AH55" s="893"/>
      <c r="AI55" s="899">
        <f t="shared" si="27"/>
        <v>129722.08</v>
      </c>
      <c r="AJ55" s="898">
        <f>AM55-AE55</f>
        <v>0</v>
      </c>
      <c r="AK55" s="899">
        <f>AN55-AF55</f>
        <v>0</v>
      </c>
      <c r="AL55" s="893" t="s">
        <v>961</v>
      </c>
      <c r="AM55" s="906">
        <v>0</v>
      </c>
      <c r="AN55" s="906">
        <v>0</v>
      </c>
      <c r="AO55" s="907">
        <f t="shared" ref="AO55:AO76" si="83">+AM55-AN55</f>
        <v>0</v>
      </c>
      <c r="AP55" s="926"/>
      <c r="AQ55" s="899">
        <f t="shared" ref="AQ55:AQ76" si="84">AT55-AM55</f>
        <v>0</v>
      </c>
      <c r="AR55" s="899">
        <f t="shared" ref="AR55:AR76" si="85">AU55-AN55</f>
        <v>0</v>
      </c>
      <c r="AS55" s="893" t="s">
        <v>961</v>
      </c>
      <c r="AT55" s="906">
        <v>0</v>
      </c>
      <c r="AU55" s="909">
        <v>0</v>
      </c>
      <c r="AV55" s="906">
        <f t="shared" ref="AV55:AV76" si="86">+AT55-AU55</f>
        <v>0</v>
      </c>
      <c r="AW55" s="926"/>
      <c r="AX55" s="899">
        <f t="shared" ref="AX55:AX76" si="87">BA55-AT55</f>
        <v>0</v>
      </c>
      <c r="AY55" s="899">
        <f t="shared" ref="AY55:AY76" si="88">BB55-AU55</f>
        <v>0</v>
      </c>
      <c r="AZ55" s="893" t="s">
        <v>961</v>
      </c>
      <c r="BA55" s="906">
        <v>0</v>
      </c>
      <c r="BB55" s="909">
        <v>0</v>
      </c>
      <c r="BC55" s="906">
        <f t="shared" ref="BC55:BC76" si="89">+BA55-BB55</f>
        <v>0</v>
      </c>
      <c r="BD55" s="926"/>
      <c r="BE55" s="1546">
        <f t="shared" ref="BE55:BE76" si="90">BH55-BA55</f>
        <v>129722.08</v>
      </c>
      <c r="BF55" s="899">
        <f t="shared" ref="BF55:BF76" si="91">BI55-BB55</f>
        <v>7083.2199999999993</v>
      </c>
      <c r="BG55" s="893" t="s">
        <v>1310</v>
      </c>
      <c r="BH55" s="909">
        <v>129722.08</v>
      </c>
      <c r="BI55" s="909">
        <v>7083.2199999999993</v>
      </c>
      <c r="BJ55" s="909">
        <f t="shared" ref="BJ55:BJ77" si="92">+BH55-BI55</f>
        <v>122638.86</v>
      </c>
      <c r="BK55" s="926"/>
      <c r="BL55" s="893"/>
      <c r="BO55" s="893" t="s">
        <v>301</v>
      </c>
      <c r="BP55" s="893" t="s">
        <v>308</v>
      </c>
      <c r="BU55" s="1540"/>
      <c r="BV55" s="1530"/>
      <c r="BW55" s="1535"/>
      <c r="BX55" s="1530"/>
    </row>
    <row r="56" spans="1:76" s="895" customFormat="1" x14ac:dyDescent="0.25">
      <c r="A56" s="894"/>
      <c r="B56" s="894"/>
      <c r="C56" s="914"/>
      <c r="D56" s="914"/>
      <c r="E56" s="914"/>
      <c r="F56" s="894">
        <v>1</v>
      </c>
      <c r="G56" s="914">
        <f t="shared" si="44"/>
        <v>7345712</v>
      </c>
      <c r="H56" s="914">
        <f t="shared" si="44"/>
        <v>365950</v>
      </c>
      <c r="I56" s="894" t="s">
        <v>999</v>
      </c>
      <c r="J56" s="914">
        <v>7345712</v>
      </c>
      <c r="K56" s="914">
        <v>365950</v>
      </c>
      <c r="L56" s="914">
        <v>6979763</v>
      </c>
      <c r="M56" s="894">
        <v>1</v>
      </c>
      <c r="N56" s="914">
        <f t="shared" si="68"/>
        <v>0</v>
      </c>
      <c r="O56" s="914">
        <f t="shared" si="68"/>
        <v>274463</v>
      </c>
      <c r="P56" s="894" t="s">
        <v>999</v>
      </c>
      <c r="Q56" s="914">
        <v>7345712</v>
      </c>
      <c r="R56" s="914">
        <v>640413</v>
      </c>
      <c r="S56" s="914">
        <v>6705299</v>
      </c>
      <c r="T56" s="894">
        <v>1</v>
      </c>
      <c r="U56" s="914">
        <f t="shared" si="69"/>
        <v>240796</v>
      </c>
      <c r="V56" s="914">
        <f t="shared" si="69"/>
        <v>297396</v>
      </c>
      <c r="W56" s="894" t="s">
        <v>999</v>
      </c>
      <c r="X56" s="914">
        <v>7586508</v>
      </c>
      <c r="Y56" s="914">
        <v>937809</v>
      </c>
      <c r="Z56" s="914">
        <v>6648699</v>
      </c>
      <c r="AA56" s="894">
        <v>1</v>
      </c>
      <c r="AB56" s="914">
        <f t="shared" si="70"/>
        <v>0</v>
      </c>
      <c r="AC56" s="914">
        <f t="shared" si="71"/>
        <v>281343</v>
      </c>
      <c r="AD56" s="894" t="s">
        <v>999</v>
      </c>
      <c r="AE56" s="914">
        <v>7586508</v>
      </c>
      <c r="AF56" s="914">
        <v>1219152</v>
      </c>
      <c r="AG56" s="914">
        <v>6367356</v>
      </c>
      <c r="AH56" s="894"/>
      <c r="AI56" s="899">
        <f t="shared" si="27"/>
        <v>-0.44000001065433025</v>
      </c>
      <c r="AJ56" s="899">
        <f t="shared" ref="AJ56:AJ76" si="93">AM56-AE56</f>
        <v>-0.44000001065433025</v>
      </c>
      <c r="AK56" s="899">
        <f t="shared" ref="AK56:AK76" si="94">AN56-AF56</f>
        <v>281343.03999999957</v>
      </c>
      <c r="AL56" s="930" t="s">
        <v>999</v>
      </c>
      <c r="AM56" s="906">
        <v>7586507.5599999893</v>
      </c>
      <c r="AN56" s="906">
        <v>1500495.0399999996</v>
      </c>
      <c r="AO56" s="907">
        <f t="shared" si="83"/>
        <v>6086012.5199999902</v>
      </c>
      <c r="AP56" s="926"/>
      <c r="AQ56" s="899">
        <f t="shared" si="84"/>
        <v>0</v>
      </c>
      <c r="AR56" s="899">
        <f t="shared" si="85"/>
        <v>281343.02000000398</v>
      </c>
      <c r="AS56" s="930" t="s">
        <v>999</v>
      </c>
      <c r="AT56" s="906">
        <v>7586507.5599999893</v>
      </c>
      <c r="AU56" s="909">
        <v>1781838.0600000035</v>
      </c>
      <c r="AV56" s="906">
        <f t="shared" si="86"/>
        <v>5804669.499999986</v>
      </c>
      <c r="AW56" s="926"/>
      <c r="AX56" s="899">
        <f t="shared" si="87"/>
        <v>0</v>
      </c>
      <c r="AY56" s="899">
        <f t="shared" si="88"/>
        <v>281343.01999999792</v>
      </c>
      <c r="AZ56" s="930" t="s">
        <v>999</v>
      </c>
      <c r="BA56" s="906">
        <v>7586507.5599999893</v>
      </c>
      <c r="BB56" s="909">
        <v>2063181.0800000015</v>
      </c>
      <c r="BC56" s="906">
        <f t="shared" si="89"/>
        <v>5523326.4799999874</v>
      </c>
      <c r="BD56" s="926"/>
      <c r="BE56" s="899">
        <f t="shared" si="90"/>
        <v>0</v>
      </c>
      <c r="BF56" s="899">
        <f t="shared" si="91"/>
        <v>281343.0199999935</v>
      </c>
      <c r="BG56" s="930" t="s">
        <v>999</v>
      </c>
      <c r="BH56" s="909">
        <v>7586507.5599999893</v>
      </c>
      <c r="BI56" s="909">
        <v>2344524.099999995</v>
      </c>
      <c r="BJ56" s="909">
        <f t="shared" si="92"/>
        <v>5241983.4599999944</v>
      </c>
      <c r="BK56" s="926"/>
      <c r="BL56" s="893"/>
      <c r="BO56" s="893" t="s">
        <v>301</v>
      </c>
      <c r="BP56" s="893" t="s">
        <v>308</v>
      </c>
      <c r="BT56" s="894"/>
      <c r="BU56" s="1533"/>
      <c r="BV56" s="1530"/>
      <c r="BW56" s="1535"/>
      <c r="BX56" s="1530"/>
    </row>
    <row r="57" spans="1:76" x14ac:dyDescent="0.25">
      <c r="A57" s="895"/>
      <c r="B57" s="895"/>
      <c r="C57" s="903"/>
      <c r="D57" s="903"/>
      <c r="E57" s="903"/>
      <c r="F57" s="895"/>
      <c r="G57" s="895"/>
      <c r="H57" s="895"/>
      <c r="I57" s="895"/>
      <c r="J57" s="895"/>
      <c r="K57" s="895"/>
      <c r="L57" s="895"/>
      <c r="M57" s="895"/>
      <c r="N57" s="895"/>
      <c r="O57" s="895"/>
      <c r="P57" s="895"/>
      <c r="Q57" s="895"/>
      <c r="R57" s="895"/>
      <c r="S57" s="895"/>
      <c r="T57" s="895"/>
      <c r="U57" s="895"/>
      <c r="V57" s="895"/>
      <c r="W57" s="895"/>
      <c r="X57" s="895"/>
      <c r="Y57" s="895"/>
      <c r="Z57" s="895"/>
      <c r="AA57" s="895">
        <v>1</v>
      </c>
      <c r="AB57" s="903">
        <f t="shared" si="70"/>
        <v>122667</v>
      </c>
      <c r="AC57" s="903">
        <f t="shared" si="71"/>
        <v>0</v>
      </c>
      <c r="AD57" s="895" t="s">
        <v>1001</v>
      </c>
      <c r="AE57" s="903">
        <v>122667</v>
      </c>
      <c r="AF57" s="895">
        <v>0</v>
      </c>
      <c r="AG57" s="903">
        <v>122667</v>
      </c>
      <c r="AH57" s="895" t="s">
        <v>943</v>
      </c>
      <c r="AI57" s="899">
        <f t="shared" si="27"/>
        <v>-0.27999999999883585</v>
      </c>
      <c r="AJ57" s="899">
        <f t="shared" si="93"/>
        <v>-0.27999999999883585</v>
      </c>
      <c r="AK57" s="899">
        <f t="shared" si="94"/>
        <v>0</v>
      </c>
      <c r="AL57" s="930" t="s">
        <v>1001</v>
      </c>
      <c r="AM57" s="906">
        <v>122666.72</v>
      </c>
      <c r="AN57" s="906">
        <v>0</v>
      </c>
      <c r="AO57" s="907">
        <f t="shared" si="83"/>
        <v>122666.72</v>
      </c>
      <c r="AP57" s="926"/>
      <c r="AQ57" s="899">
        <f t="shared" si="84"/>
        <v>0</v>
      </c>
      <c r="AR57" s="899">
        <f t="shared" si="85"/>
        <v>0</v>
      </c>
      <c r="AS57" s="930" t="s">
        <v>1001</v>
      </c>
      <c r="AT57" s="906">
        <v>122666.72</v>
      </c>
      <c r="AU57" s="909">
        <v>0</v>
      </c>
      <c r="AV57" s="906">
        <f t="shared" si="86"/>
        <v>122666.72</v>
      </c>
      <c r="AW57" s="926"/>
      <c r="AX57" s="899">
        <f t="shared" si="87"/>
        <v>0</v>
      </c>
      <c r="AY57" s="899">
        <f t="shared" si="88"/>
        <v>0</v>
      </c>
      <c r="AZ57" s="930" t="s">
        <v>1001</v>
      </c>
      <c r="BA57" s="906">
        <v>122666.72</v>
      </c>
      <c r="BB57" s="909">
        <v>0</v>
      </c>
      <c r="BC57" s="906">
        <f t="shared" si="89"/>
        <v>122666.72</v>
      </c>
      <c r="BD57" s="926" t="s">
        <v>943</v>
      </c>
      <c r="BE57" s="899">
        <f t="shared" si="90"/>
        <v>0</v>
      </c>
      <c r="BF57" s="899">
        <f t="shared" si="91"/>
        <v>0</v>
      </c>
      <c r="BG57" s="930" t="s">
        <v>1001</v>
      </c>
      <c r="BH57" s="909">
        <v>122666.72</v>
      </c>
      <c r="BI57" s="909">
        <v>0</v>
      </c>
      <c r="BJ57" s="909">
        <f t="shared" si="92"/>
        <v>122666.72</v>
      </c>
      <c r="BK57" s="926" t="s">
        <v>943</v>
      </c>
      <c r="BO57" s="893" t="s">
        <v>301</v>
      </c>
      <c r="BP57" s="893" t="s">
        <v>308</v>
      </c>
      <c r="BT57" s="894"/>
      <c r="BU57" s="1533"/>
      <c r="BV57" s="1530"/>
      <c r="BW57" s="1535"/>
      <c r="BX57" s="1530"/>
    </row>
    <row r="58" spans="1:76" x14ac:dyDescent="0.25">
      <c r="B58" s="893" t="s">
        <v>998</v>
      </c>
      <c r="C58" s="899">
        <v>7925306.71</v>
      </c>
      <c r="D58" s="899">
        <v>1744121.2599999998</v>
      </c>
      <c r="E58" s="899">
        <v>6181185.4500000002</v>
      </c>
      <c r="G58" s="899">
        <f t="shared" si="44"/>
        <v>4862.2900000000373</v>
      </c>
      <c r="H58" s="899">
        <f t="shared" si="44"/>
        <v>699658.74000000022</v>
      </c>
      <c r="I58" s="893" t="s">
        <v>998</v>
      </c>
      <c r="J58" s="899">
        <v>7930169</v>
      </c>
      <c r="K58" s="899">
        <v>2443780</v>
      </c>
      <c r="L58" s="899">
        <v>5486390</v>
      </c>
      <c r="N58" s="899">
        <f t="shared" si="68"/>
        <v>0</v>
      </c>
      <c r="O58" s="899">
        <f t="shared" si="68"/>
        <v>356907</v>
      </c>
      <c r="P58" s="893" t="s">
        <v>998</v>
      </c>
      <c r="Q58" s="899">
        <v>7930169</v>
      </c>
      <c r="R58" s="899">
        <v>2800687</v>
      </c>
      <c r="S58" s="899">
        <v>5129483</v>
      </c>
      <c r="U58" s="899">
        <f t="shared" ref="U58:V67" si="95">+X58-Q58</f>
        <v>0</v>
      </c>
      <c r="V58" s="899">
        <f t="shared" si="95"/>
        <v>356907</v>
      </c>
      <c r="W58" s="893" t="s">
        <v>998</v>
      </c>
      <c r="X58" s="899">
        <v>7930169</v>
      </c>
      <c r="Y58" s="899">
        <v>3157594</v>
      </c>
      <c r="Z58" s="899">
        <v>4772576</v>
      </c>
      <c r="AB58" s="899">
        <f t="shared" si="70"/>
        <v>0</v>
      </c>
      <c r="AC58" s="899">
        <f t="shared" si="71"/>
        <v>314582</v>
      </c>
      <c r="AD58" s="893" t="s">
        <v>998</v>
      </c>
      <c r="AE58" s="899">
        <v>7930169</v>
      </c>
      <c r="AF58" s="899">
        <v>3472176</v>
      </c>
      <c r="AG58" s="899">
        <v>4457994</v>
      </c>
      <c r="AI58" s="899">
        <f t="shared" si="27"/>
        <v>11077762.840000011</v>
      </c>
      <c r="AJ58" s="898">
        <f t="shared" si="93"/>
        <v>0.46000000648200512</v>
      </c>
      <c r="AK58" s="899">
        <f t="shared" si="94"/>
        <v>229931.3499999973</v>
      </c>
      <c r="AL58" s="915" t="s">
        <v>998</v>
      </c>
      <c r="AM58" s="906">
        <v>7930169.4600000065</v>
      </c>
      <c r="AN58" s="906">
        <v>3702107.3499999973</v>
      </c>
      <c r="AO58" s="907">
        <f t="shared" si="83"/>
        <v>4228062.1100000087</v>
      </c>
      <c r="AP58" s="926"/>
      <c r="AQ58" s="899">
        <f t="shared" si="84"/>
        <v>7324640.6399999969</v>
      </c>
      <c r="AR58" s="899">
        <f t="shared" si="85"/>
        <v>415951.31000000332</v>
      </c>
      <c r="AS58" s="915" t="s">
        <v>998</v>
      </c>
      <c r="AT58" s="906">
        <v>15254810.100000003</v>
      </c>
      <c r="AU58" s="909">
        <v>4118058.6600000006</v>
      </c>
      <c r="AV58" s="906">
        <f t="shared" si="86"/>
        <v>11136751.440000003</v>
      </c>
      <c r="AW58" s="926"/>
      <c r="AX58" s="899">
        <f t="shared" si="87"/>
        <v>0</v>
      </c>
      <c r="AY58" s="899">
        <f t="shared" si="88"/>
        <v>471484.75000000605</v>
      </c>
      <c r="AZ58" s="915" t="s">
        <v>998</v>
      </c>
      <c r="BA58" s="906">
        <v>15254810.100000003</v>
      </c>
      <c r="BB58" s="909">
        <v>4589543.4100000067</v>
      </c>
      <c r="BC58" s="906">
        <f t="shared" si="89"/>
        <v>10665266.689999998</v>
      </c>
      <c r="BD58" s="926"/>
      <c r="BE58" s="1546">
        <f t="shared" si="90"/>
        <v>3753121.7400000077</v>
      </c>
      <c r="BF58" s="899">
        <f t="shared" si="91"/>
        <v>531346.97999999672</v>
      </c>
      <c r="BG58" s="915" t="s">
        <v>998</v>
      </c>
      <c r="BH58" s="909">
        <v>19007931.840000011</v>
      </c>
      <c r="BI58" s="909">
        <v>5120890.3900000034</v>
      </c>
      <c r="BJ58" s="909">
        <f t="shared" si="92"/>
        <v>13887041.450000007</v>
      </c>
      <c r="BK58" s="926"/>
      <c r="BO58" s="893" t="s">
        <v>301</v>
      </c>
      <c r="BP58" s="893" t="s">
        <v>308</v>
      </c>
      <c r="BT58" s="894"/>
      <c r="BU58" s="1541"/>
      <c r="BV58" s="1530"/>
      <c r="BW58" s="1535"/>
      <c r="BX58" s="1530"/>
    </row>
    <row r="59" spans="1:76" x14ac:dyDescent="0.25">
      <c r="B59" s="893" t="s">
        <v>1000</v>
      </c>
      <c r="C59" s="899">
        <v>8193828.6599999797</v>
      </c>
      <c r="D59" s="899">
        <v>6066595.7999999998</v>
      </c>
      <c r="E59" s="899">
        <v>2127232.8599999798</v>
      </c>
      <c r="G59" s="899">
        <f t="shared" si="44"/>
        <v>15449991.34000002</v>
      </c>
      <c r="H59" s="899">
        <f t="shared" si="44"/>
        <v>359099.20000000019</v>
      </c>
      <c r="I59" s="893" t="s">
        <v>1000</v>
      </c>
      <c r="J59" s="899">
        <v>23643820</v>
      </c>
      <c r="K59" s="899">
        <v>6425695</v>
      </c>
      <c r="L59" s="899">
        <v>17218125</v>
      </c>
      <c r="N59" s="899">
        <f t="shared" si="68"/>
        <v>2122802</v>
      </c>
      <c r="O59" s="899">
        <f t="shared" si="68"/>
        <v>947087</v>
      </c>
      <c r="P59" s="893" t="s">
        <v>1000</v>
      </c>
      <c r="Q59" s="899">
        <v>25766622</v>
      </c>
      <c r="R59" s="899">
        <v>7372782</v>
      </c>
      <c r="S59" s="899">
        <v>18393840</v>
      </c>
      <c r="U59" s="899">
        <f t="shared" si="95"/>
        <v>44852</v>
      </c>
      <c r="V59" s="899">
        <f t="shared" si="95"/>
        <v>911314</v>
      </c>
      <c r="W59" s="893" t="s">
        <v>1000</v>
      </c>
      <c r="X59" s="899">
        <v>25811474</v>
      </c>
      <c r="Y59" s="899">
        <v>8284096</v>
      </c>
      <c r="Z59" s="899">
        <v>17527378</v>
      </c>
      <c r="AB59" s="899">
        <f t="shared" si="70"/>
        <v>3390404</v>
      </c>
      <c r="AC59" s="899">
        <f t="shared" si="71"/>
        <v>1028852</v>
      </c>
      <c r="AD59" s="893" t="s">
        <v>1000</v>
      </c>
      <c r="AE59" s="899">
        <v>29201878</v>
      </c>
      <c r="AF59" s="899">
        <v>9312948</v>
      </c>
      <c r="AG59" s="899">
        <v>19888929</v>
      </c>
      <c r="AI59" s="899">
        <f t="shared" si="27"/>
        <v>8173733.6100000441</v>
      </c>
      <c r="AJ59" s="898">
        <f t="shared" si="93"/>
        <v>6580946.6100000069</v>
      </c>
      <c r="AK59" s="899">
        <f t="shared" si="94"/>
        <v>1246286.2499999907</v>
      </c>
      <c r="AL59" s="930" t="s">
        <v>1000</v>
      </c>
      <c r="AM59" s="906">
        <v>35782824.610000007</v>
      </c>
      <c r="AN59" s="906">
        <v>10559234.249999991</v>
      </c>
      <c r="AO59" s="907">
        <f t="shared" si="83"/>
        <v>25223590.360000014</v>
      </c>
      <c r="AP59" s="926"/>
      <c r="AQ59" s="899">
        <f t="shared" si="84"/>
        <v>1230370.3100000471</v>
      </c>
      <c r="AR59" s="899">
        <f t="shared" si="85"/>
        <v>1280617.1899999976</v>
      </c>
      <c r="AS59" s="930" t="s">
        <v>1000</v>
      </c>
      <c r="AT59" s="906">
        <v>37013194.920000054</v>
      </c>
      <c r="AU59" s="909">
        <v>11839851.439999988</v>
      </c>
      <c r="AV59" s="906">
        <f t="shared" si="86"/>
        <v>25173343.480000064</v>
      </c>
      <c r="AW59" s="926"/>
      <c r="AX59" s="899">
        <f t="shared" si="87"/>
        <v>207879.38000000268</v>
      </c>
      <c r="AY59" s="899">
        <f t="shared" si="88"/>
        <v>1271650.0300000031</v>
      </c>
      <c r="AZ59" s="930" t="s">
        <v>1000</v>
      </c>
      <c r="BA59" s="906">
        <v>37221074.300000057</v>
      </c>
      <c r="BB59" s="909">
        <v>13111501.469999991</v>
      </c>
      <c r="BC59" s="906">
        <f t="shared" si="89"/>
        <v>24109572.830000065</v>
      </c>
      <c r="BD59" s="926"/>
      <c r="BE59" s="1546">
        <f t="shared" si="90"/>
        <v>154537.30999998748</v>
      </c>
      <c r="BF59" s="899">
        <f t="shared" si="91"/>
        <v>1217367.7899999544</v>
      </c>
      <c r="BG59" s="930" t="s">
        <v>1000</v>
      </c>
      <c r="BH59" s="909">
        <v>37375611.610000044</v>
      </c>
      <c r="BI59" s="909">
        <v>14328869.259999946</v>
      </c>
      <c r="BJ59" s="909">
        <f t="shared" si="92"/>
        <v>23046742.350000098</v>
      </c>
      <c r="BK59" s="926"/>
      <c r="BO59" s="893" t="s">
        <v>301</v>
      </c>
      <c r="BP59" s="893" t="s">
        <v>308</v>
      </c>
      <c r="BT59" s="894"/>
      <c r="BU59" s="1533"/>
      <c r="BV59" s="1530"/>
      <c r="BW59" s="1535"/>
      <c r="BX59" s="1530"/>
    </row>
    <row r="60" spans="1:76" x14ac:dyDescent="0.25">
      <c r="B60" s="893" t="s">
        <v>1002</v>
      </c>
      <c r="C60" s="899">
        <v>8329526.1399999931</v>
      </c>
      <c r="D60" s="899">
        <v>3135388.16</v>
      </c>
      <c r="E60" s="899">
        <v>5194137.979999993</v>
      </c>
      <c r="G60" s="899">
        <f t="shared" si="44"/>
        <v>-23052.139999993145</v>
      </c>
      <c r="H60" s="899">
        <f t="shared" si="44"/>
        <v>288777.83999999985</v>
      </c>
      <c r="I60" s="893" t="s">
        <v>1002</v>
      </c>
      <c r="J60" s="899">
        <v>8306474</v>
      </c>
      <c r="K60" s="899">
        <v>3424166</v>
      </c>
      <c r="L60" s="899">
        <v>4882308</v>
      </c>
      <c r="N60" s="899">
        <f t="shared" si="68"/>
        <v>0</v>
      </c>
      <c r="O60" s="899">
        <f t="shared" si="68"/>
        <v>288778</v>
      </c>
      <c r="P60" s="893" t="s">
        <v>1002</v>
      </c>
      <c r="Q60" s="899">
        <v>8306474</v>
      </c>
      <c r="R60" s="899">
        <v>3712944</v>
      </c>
      <c r="S60" s="899">
        <v>4593530</v>
      </c>
      <c r="U60" s="899">
        <f t="shared" si="95"/>
        <v>0</v>
      </c>
      <c r="V60" s="899">
        <f t="shared" si="95"/>
        <v>288779</v>
      </c>
      <c r="W60" s="893" t="s">
        <v>1002</v>
      </c>
      <c r="X60" s="899">
        <v>8306474</v>
      </c>
      <c r="Y60" s="899">
        <v>4001723</v>
      </c>
      <c r="Z60" s="899">
        <v>4304752</v>
      </c>
      <c r="AB60" s="899">
        <f t="shared" si="70"/>
        <v>0</v>
      </c>
      <c r="AC60" s="899">
        <f t="shared" si="71"/>
        <v>288778</v>
      </c>
      <c r="AD60" s="893" t="s">
        <v>1002</v>
      </c>
      <c r="AE60" s="899">
        <v>8306474</v>
      </c>
      <c r="AF60" s="899">
        <v>4290501</v>
      </c>
      <c r="AG60" s="899">
        <v>4015974</v>
      </c>
      <c r="AI60" s="899">
        <f t="shared" si="27"/>
        <v>60017.509999996983</v>
      </c>
      <c r="AJ60" s="898">
        <f t="shared" si="93"/>
        <v>0.46999999694526196</v>
      </c>
      <c r="AK60" s="899">
        <f t="shared" si="94"/>
        <v>288777.96000000183</v>
      </c>
      <c r="AL60" s="930" t="s">
        <v>1002</v>
      </c>
      <c r="AM60" s="906">
        <v>8306474.4699999969</v>
      </c>
      <c r="AN60" s="906">
        <v>4579278.9600000018</v>
      </c>
      <c r="AO60" s="907">
        <f t="shared" si="83"/>
        <v>3727195.5099999951</v>
      </c>
      <c r="AP60" s="926"/>
      <c r="AQ60" s="899">
        <f t="shared" si="84"/>
        <v>60017.040000000037</v>
      </c>
      <c r="AR60" s="899">
        <f t="shared" si="85"/>
        <v>226170.74999999814</v>
      </c>
      <c r="AS60" s="930" t="s">
        <v>1002</v>
      </c>
      <c r="AT60" s="906">
        <v>8366491.509999997</v>
      </c>
      <c r="AU60" s="909">
        <v>4805449.71</v>
      </c>
      <c r="AV60" s="906">
        <f t="shared" si="86"/>
        <v>3561041.799999997</v>
      </c>
      <c r="AW60" s="926"/>
      <c r="AX60" s="899">
        <f t="shared" si="87"/>
        <v>0</v>
      </c>
      <c r="AY60" s="899">
        <f t="shared" si="88"/>
        <v>191427.67999999784</v>
      </c>
      <c r="AZ60" s="930" t="s">
        <v>1002</v>
      </c>
      <c r="BA60" s="906">
        <v>8366491.509999997</v>
      </c>
      <c r="BB60" s="909">
        <v>4996877.3899999978</v>
      </c>
      <c r="BC60" s="906">
        <f t="shared" si="89"/>
        <v>3369614.1199999992</v>
      </c>
      <c r="BD60" s="926"/>
      <c r="BE60" s="1546">
        <f t="shared" si="90"/>
        <v>0</v>
      </c>
      <c r="BF60" s="899">
        <f t="shared" si="91"/>
        <v>191427.68000000529</v>
      </c>
      <c r="BG60" s="930" t="s">
        <v>1002</v>
      </c>
      <c r="BH60" s="909">
        <v>8366491.509999997</v>
      </c>
      <c r="BI60" s="909">
        <v>5188305.0700000031</v>
      </c>
      <c r="BJ60" s="909">
        <f t="shared" si="92"/>
        <v>3178186.4399999939</v>
      </c>
      <c r="BK60" s="926"/>
      <c r="BO60" s="893" t="s">
        <v>301</v>
      </c>
      <c r="BP60" s="893" t="s">
        <v>308</v>
      </c>
      <c r="BT60" s="894"/>
      <c r="BU60" s="1533"/>
      <c r="BV60" s="1530"/>
      <c r="BW60" s="1535"/>
      <c r="BX60" s="1530"/>
    </row>
    <row r="61" spans="1:76" x14ac:dyDescent="0.25">
      <c r="B61" s="893" t="s">
        <v>1003</v>
      </c>
      <c r="C61" s="899">
        <v>21841324.699999999</v>
      </c>
      <c r="D61" s="899">
        <v>9897345.1099999994</v>
      </c>
      <c r="E61" s="899">
        <v>11943979.59</v>
      </c>
      <c r="G61" s="899">
        <f t="shared" si="44"/>
        <v>17730449.300000001</v>
      </c>
      <c r="H61" s="899">
        <f t="shared" si="44"/>
        <v>1536167.8900000006</v>
      </c>
      <c r="I61" s="893" t="s">
        <v>1003</v>
      </c>
      <c r="J61" s="899">
        <v>39571774</v>
      </c>
      <c r="K61" s="899">
        <v>11433513</v>
      </c>
      <c r="L61" s="899">
        <v>28138261</v>
      </c>
      <c r="N61" s="899">
        <f t="shared" si="68"/>
        <v>861656</v>
      </c>
      <c r="O61" s="899">
        <f t="shared" si="68"/>
        <v>1392417</v>
      </c>
      <c r="P61" s="893" t="s">
        <v>1003</v>
      </c>
      <c r="Q61" s="899">
        <v>40433430</v>
      </c>
      <c r="R61" s="899">
        <v>12825930</v>
      </c>
      <c r="S61" s="899">
        <v>27607500</v>
      </c>
      <c r="U61" s="899">
        <f t="shared" si="95"/>
        <v>40947</v>
      </c>
      <c r="V61" s="899">
        <f t="shared" si="95"/>
        <v>1308491</v>
      </c>
      <c r="W61" s="893" t="s">
        <v>1003</v>
      </c>
      <c r="X61" s="899">
        <v>40474377</v>
      </c>
      <c r="Y61" s="899">
        <v>14134421</v>
      </c>
      <c r="Z61" s="899">
        <v>26339956</v>
      </c>
      <c r="AB61" s="899">
        <f t="shared" si="70"/>
        <v>5540176</v>
      </c>
      <c r="AC61" s="899">
        <f t="shared" si="71"/>
        <v>1624235</v>
      </c>
      <c r="AD61" s="893" t="s">
        <v>1003</v>
      </c>
      <c r="AE61" s="899">
        <v>46014553</v>
      </c>
      <c r="AF61" s="899">
        <v>15758656</v>
      </c>
      <c r="AG61" s="899">
        <v>30255897</v>
      </c>
      <c r="AI61" s="899">
        <f t="shared" si="27"/>
        <v>31167299.869999498</v>
      </c>
      <c r="AJ61" s="898">
        <f t="shared" si="93"/>
        <v>26462227.049999923</v>
      </c>
      <c r="AK61" s="899">
        <f t="shared" si="94"/>
        <v>1641590.0099999681</v>
      </c>
      <c r="AL61" s="930" t="s">
        <v>1003</v>
      </c>
      <c r="AM61" s="906">
        <v>72476780.049999923</v>
      </c>
      <c r="AN61" s="906">
        <v>17400246.009999968</v>
      </c>
      <c r="AO61" s="907">
        <f t="shared" si="83"/>
        <v>55076534.039999954</v>
      </c>
      <c r="AP61" s="926"/>
      <c r="AQ61" s="899">
        <f t="shared" si="84"/>
        <v>4233227.8799996078</v>
      </c>
      <c r="AR61" s="899">
        <f t="shared" si="85"/>
        <v>3191257.9600001425</v>
      </c>
      <c r="AS61" s="930" t="s">
        <v>1003</v>
      </c>
      <c r="AT61" s="906">
        <v>76710007.92999953</v>
      </c>
      <c r="AU61" s="909">
        <v>20591503.970000111</v>
      </c>
      <c r="AV61" s="906">
        <f t="shared" si="86"/>
        <v>56118503.95999942</v>
      </c>
      <c r="AW61" s="926"/>
      <c r="AX61" s="899">
        <f t="shared" si="87"/>
        <v>364434.45999999344</v>
      </c>
      <c r="AY61" s="899">
        <f t="shared" si="88"/>
        <v>3283652.2600001469</v>
      </c>
      <c r="AZ61" s="930" t="s">
        <v>1003</v>
      </c>
      <c r="BA61" s="906">
        <v>77074442.389999524</v>
      </c>
      <c r="BB61" s="909">
        <v>23875156.230000257</v>
      </c>
      <c r="BC61" s="906">
        <f t="shared" si="89"/>
        <v>53199286.159999266</v>
      </c>
      <c r="BD61" s="926"/>
      <c r="BE61" s="1546">
        <f t="shared" si="90"/>
        <v>107410.47999997437</v>
      </c>
      <c r="BF61" s="899">
        <f t="shared" si="91"/>
        <v>3296554.9999997579</v>
      </c>
      <c r="BG61" s="930" t="s">
        <v>1003</v>
      </c>
      <c r="BH61" s="909">
        <v>77181852.869999498</v>
      </c>
      <c r="BI61" s="909">
        <v>27171711.230000015</v>
      </c>
      <c r="BJ61" s="909">
        <f t="shared" si="92"/>
        <v>50010141.639999479</v>
      </c>
      <c r="BK61" s="926"/>
      <c r="BO61" s="893" t="s">
        <v>301</v>
      </c>
      <c r="BP61" s="893" t="s">
        <v>308</v>
      </c>
      <c r="BT61" s="894"/>
      <c r="BU61" s="1533"/>
      <c r="BV61" s="1530"/>
      <c r="BW61" s="1535"/>
      <c r="BX61" s="1530"/>
    </row>
    <row r="62" spans="1:76" x14ac:dyDescent="0.25">
      <c r="B62" s="893" t="s">
        <v>1004</v>
      </c>
      <c r="C62" s="899">
        <v>15607907.409999998</v>
      </c>
      <c r="D62" s="899">
        <v>11996526.370000001</v>
      </c>
      <c r="E62" s="899">
        <v>3611381.0399999972</v>
      </c>
      <c r="G62" s="899">
        <f t="shared" si="44"/>
        <v>3036339.5900000017</v>
      </c>
      <c r="H62" s="899">
        <f t="shared" si="44"/>
        <v>464457.62999999896</v>
      </c>
      <c r="I62" s="893" t="s">
        <v>1004</v>
      </c>
      <c r="J62" s="899">
        <v>18644247</v>
      </c>
      <c r="K62" s="899">
        <v>12460984</v>
      </c>
      <c r="L62" s="899">
        <v>6183263</v>
      </c>
      <c r="N62" s="899">
        <f t="shared" si="68"/>
        <v>-188878</v>
      </c>
      <c r="O62" s="899">
        <f t="shared" si="68"/>
        <v>375290</v>
      </c>
      <c r="P62" s="893" t="s">
        <v>1004</v>
      </c>
      <c r="Q62" s="899">
        <v>18455369</v>
      </c>
      <c r="R62" s="899">
        <v>12836274</v>
      </c>
      <c r="S62" s="899">
        <v>5619096</v>
      </c>
      <c r="U62" s="899">
        <f t="shared" si="95"/>
        <v>0</v>
      </c>
      <c r="V62" s="899">
        <f t="shared" si="95"/>
        <v>411514</v>
      </c>
      <c r="W62" s="893" t="s">
        <v>1004</v>
      </c>
      <c r="X62" s="899">
        <v>18455369</v>
      </c>
      <c r="Y62" s="899">
        <v>13247788</v>
      </c>
      <c r="Z62" s="899">
        <v>5207582</v>
      </c>
      <c r="AB62" s="899">
        <f t="shared" si="70"/>
        <v>0</v>
      </c>
      <c r="AC62" s="899">
        <f t="shared" si="71"/>
        <v>409119</v>
      </c>
      <c r="AD62" s="893" t="s">
        <v>1004</v>
      </c>
      <c r="AE62" s="899">
        <v>18455369</v>
      </c>
      <c r="AF62" s="899">
        <v>13656907</v>
      </c>
      <c r="AG62" s="899">
        <v>4798462</v>
      </c>
      <c r="AI62" s="899">
        <f t="shared" si="27"/>
        <v>3216449.6799999662</v>
      </c>
      <c r="AJ62" s="898">
        <f t="shared" si="93"/>
        <v>3022061.6899999715</v>
      </c>
      <c r="AK62" s="899">
        <f t="shared" si="94"/>
        <v>-280034.34999999404</v>
      </c>
      <c r="AL62" s="930" t="s">
        <v>1004</v>
      </c>
      <c r="AM62" s="906">
        <v>21477430.689999972</v>
      </c>
      <c r="AN62" s="906">
        <v>13376872.650000006</v>
      </c>
      <c r="AO62" s="907">
        <f t="shared" si="83"/>
        <v>8100558.0399999656</v>
      </c>
      <c r="AP62" s="926"/>
      <c r="AQ62" s="899">
        <f t="shared" si="84"/>
        <v>71271.069999996573</v>
      </c>
      <c r="AR62" s="899">
        <f t="shared" si="85"/>
        <v>403919.47999997996</v>
      </c>
      <c r="AS62" s="930" t="s">
        <v>1004</v>
      </c>
      <c r="AT62" s="906">
        <v>21548701.759999968</v>
      </c>
      <c r="AU62" s="909">
        <v>13780792.129999986</v>
      </c>
      <c r="AV62" s="906">
        <f t="shared" si="86"/>
        <v>7767909.6299999822</v>
      </c>
      <c r="AW62" s="926"/>
      <c r="AX62" s="899">
        <f t="shared" si="87"/>
        <v>92330.30000000447</v>
      </c>
      <c r="AY62" s="899">
        <f t="shared" si="88"/>
        <v>388686.40000003763</v>
      </c>
      <c r="AZ62" s="930" t="s">
        <v>1004</v>
      </c>
      <c r="BA62" s="906">
        <v>21641032.059999973</v>
      </c>
      <c r="BB62" s="909">
        <v>14169478.530000024</v>
      </c>
      <c r="BC62" s="906">
        <f t="shared" si="89"/>
        <v>7471553.529999949</v>
      </c>
      <c r="BD62" s="926"/>
      <c r="BE62" s="1546">
        <f t="shared" si="90"/>
        <v>30786.619999993593</v>
      </c>
      <c r="BF62" s="899">
        <f t="shared" si="91"/>
        <v>397436.2799999956</v>
      </c>
      <c r="BG62" s="930" t="s">
        <v>1004</v>
      </c>
      <c r="BH62" s="909">
        <v>21671818.679999966</v>
      </c>
      <c r="BI62" s="909">
        <v>14566914.810000019</v>
      </c>
      <c r="BJ62" s="909">
        <f t="shared" si="92"/>
        <v>7104903.869999947</v>
      </c>
      <c r="BK62" s="926"/>
      <c r="BO62" s="893" t="s">
        <v>301</v>
      </c>
      <c r="BP62" s="893" t="s">
        <v>308</v>
      </c>
      <c r="BT62" s="894"/>
      <c r="BU62" s="1533"/>
      <c r="BV62" s="1530"/>
      <c r="BW62" s="1535"/>
      <c r="BX62" s="1530"/>
    </row>
    <row r="63" spans="1:76" x14ac:dyDescent="0.25">
      <c r="C63" s="899"/>
      <c r="D63" s="899"/>
      <c r="E63" s="899"/>
      <c r="G63" s="899"/>
      <c r="H63" s="899"/>
      <c r="J63" s="899"/>
      <c r="K63" s="899"/>
      <c r="L63" s="899"/>
      <c r="N63" s="899"/>
      <c r="O63" s="899"/>
      <c r="Q63" s="899"/>
      <c r="R63" s="899"/>
      <c r="S63" s="899"/>
      <c r="U63" s="899"/>
      <c r="V63" s="899"/>
      <c r="X63" s="899"/>
      <c r="Y63" s="899"/>
      <c r="Z63" s="899"/>
      <c r="AB63" s="899"/>
      <c r="AC63" s="899"/>
      <c r="AE63" s="899"/>
      <c r="AF63" s="899"/>
      <c r="AG63" s="899"/>
      <c r="AI63" s="899">
        <f t="shared" si="27"/>
        <v>6935705.9099999927</v>
      </c>
      <c r="AJ63" s="898">
        <f t="shared" si="93"/>
        <v>0</v>
      </c>
      <c r="AK63" s="899"/>
      <c r="AL63" s="930"/>
      <c r="AM63" s="906"/>
      <c r="AN63" s="906"/>
      <c r="AO63" s="907"/>
      <c r="AP63" s="926"/>
      <c r="AQ63" s="899"/>
      <c r="AR63" s="899"/>
      <c r="AS63" s="930"/>
      <c r="AT63" s="906"/>
      <c r="AU63" s="909"/>
      <c r="AV63" s="906"/>
      <c r="AW63" s="926"/>
      <c r="AX63" s="899"/>
      <c r="AY63" s="899"/>
      <c r="AZ63" s="930"/>
      <c r="BA63" s="906"/>
      <c r="BB63" s="909"/>
      <c r="BC63" s="906"/>
      <c r="BD63" s="926"/>
      <c r="BE63" s="1546">
        <f t="shared" ref="BE63" si="96">BH63-BA63</f>
        <v>6935705.9099999927</v>
      </c>
      <c r="BF63" s="899">
        <f t="shared" ref="BF63" si="97">BI63-BB63</f>
        <v>414172.06999999925</v>
      </c>
      <c r="BG63" s="940" t="s">
        <v>1795</v>
      </c>
      <c r="BH63" s="945">
        <v>6935705.9099999927</v>
      </c>
      <c r="BI63" s="945">
        <v>414172.06999999925</v>
      </c>
      <c r="BJ63" s="945">
        <f t="shared" si="92"/>
        <v>6521533.8399999933</v>
      </c>
      <c r="BK63" s="935" t="s">
        <v>1309</v>
      </c>
      <c r="BO63" s="893" t="s">
        <v>31</v>
      </c>
      <c r="BP63" s="893" t="s">
        <v>308</v>
      </c>
      <c r="BT63" s="894"/>
      <c r="BU63" s="1533"/>
      <c r="BV63" s="1530"/>
      <c r="BW63" s="1535"/>
      <c r="BX63" s="1530"/>
    </row>
    <row r="64" spans="1:76" x14ac:dyDescent="0.25">
      <c r="B64" s="893" t="s">
        <v>1008</v>
      </c>
      <c r="C64" s="899">
        <v>5333569.1900000004</v>
      </c>
      <c r="D64" s="899">
        <v>126274.72811888714</v>
      </c>
      <c r="E64" s="899">
        <v>5207294.4618811132</v>
      </c>
      <c r="G64" s="899">
        <f t="shared" si="44"/>
        <v>-0.19000000040978193</v>
      </c>
      <c r="H64" s="899">
        <f t="shared" si="44"/>
        <v>160554.27188111286</v>
      </c>
      <c r="I64" s="893" t="s">
        <v>1008</v>
      </c>
      <c r="J64" s="899">
        <v>5333569</v>
      </c>
      <c r="K64" s="899">
        <v>286829</v>
      </c>
      <c r="L64" s="899">
        <v>5046740</v>
      </c>
      <c r="N64" s="899">
        <f t="shared" si="68"/>
        <v>0</v>
      </c>
      <c r="O64" s="899">
        <f t="shared" si="68"/>
        <v>156452</v>
      </c>
      <c r="P64" s="893" t="s">
        <v>1008</v>
      </c>
      <c r="Q64" s="899">
        <v>5333569</v>
      </c>
      <c r="R64" s="899">
        <v>443281</v>
      </c>
      <c r="S64" s="899">
        <v>4890288</v>
      </c>
      <c r="U64" s="899">
        <f t="shared" si="95"/>
        <v>0</v>
      </c>
      <c r="V64" s="899">
        <f t="shared" si="95"/>
        <v>156453</v>
      </c>
      <c r="W64" s="893" t="s">
        <v>1008</v>
      </c>
      <c r="X64" s="899">
        <v>5333569</v>
      </c>
      <c r="Y64" s="899">
        <v>599734</v>
      </c>
      <c r="Z64" s="899">
        <v>4733835</v>
      </c>
      <c r="AB64" s="899">
        <f t="shared" si="70"/>
        <v>4601</v>
      </c>
      <c r="AC64" s="899">
        <f t="shared" si="71"/>
        <v>156874</v>
      </c>
      <c r="AD64" s="893" t="s">
        <v>1008</v>
      </c>
      <c r="AE64" s="899">
        <v>5338170</v>
      </c>
      <c r="AF64" s="899">
        <v>756608</v>
      </c>
      <c r="AG64" s="899">
        <v>4581562</v>
      </c>
      <c r="AI64" s="899">
        <f t="shared" si="27"/>
        <v>0.19000000134110451</v>
      </c>
      <c r="AJ64" s="899">
        <f t="shared" si="93"/>
        <v>0.19000000134110451</v>
      </c>
      <c r="AK64" s="899">
        <f t="shared" si="94"/>
        <v>156912.15999999992</v>
      </c>
      <c r="AL64" s="893" t="s">
        <v>1008</v>
      </c>
      <c r="AM64" s="906">
        <v>5338170.1900000013</v>
      </c>
      <c r="AN64" s="906">
        <v>913520.15999999992</v>
      </c>
      <c r="AO64" s="907">
        <f t="shared" si="83"/>
        <v>4424650.0300000012</v>
      </c>
      <c r="AP64" s="926"/>
      <c r="AQ64" s="899">
        <f t="shared" si="84"/>
        <v>0</v>
      </c>
      <c r="AR64" s="899">
        <f t="shared" si="85"/>
        <v>156912.37999999989</v>
      </c>
      <c r="AS64" s="893" t="s">
        <v>1008</v>
      </c>
      <c r="AT64" s="906">
        <v>5338170.1900000013</v>
      </c>
      <c r="AU64" s="909">
        <v>1070432.5399999998</v>
      </c>
      <c r="AV64" s="906">
        <f t="shared" si="86"/>
        <v>4267737.6500000013</v>
      </c>
      <c r="AW64" s="926"/>
      <c r="AX64" s="899">
        <f t="shared" si="87"/>
        <v>0</v>
      </c>
      <c r="AY64" s="899">
        <f t="shared" si="88"/>
        <v>156912.38000000012</v>
      </c>
      <c r="AZ64" s="893" t="s">
        <v>1008</v>
      </c>
      <c r="BA64" s="906">
        <v>5338170.1900000013</v>
      </c>
      <c r="BB64" s="909">
        <v>1227344.92</v>
      </c>
      <c r="BC64" s="906">
        <f t="shared" si="89"/>
        <v>4110825.2700000014</v>
      </c>
      <c r="BD64" s="926"/>
      <c r="BE64" s="899">
        <f t="shared" si="90"/>
        <v>0</v>
      </c>
      <c r="BF64" s="899">
        <f t="shared" si="91"/>
        <v>156912.38000000035</v>
      </c>
      <c r="BG64" s="893" t="s">
        <v>1008</v>
      </c>
      <c r="BH64" s="909">
        <v>5338170.1900000013</v>
      </c>
      <c r="BI64" s="909">
        <v>1384257.3000000003</v>
      </c>
      <c r="BJ64" s="909">
        <f t="shared" si="92"/>
        <v>3953912.8900000011</v>
      </c>
      <c r="BK64" s="926"/>
      <c r="BO64" s="893" t="s">
        <v>301</v>
      </c>
      <c r="BP64" s="893" t="s">
        <v>308</v>
      </c>
      <c r="BT64" s="894"/>
      <c r="BU64" s="1540"/>
      <c r="BV64" s="1530"/>
      <c r="BW64" s="1535"/>
      <c r="BX64" s="1530"/>
    </row>
    <row r="65" spans="1:76" x14ac:dyDescent="0.25">
      <c r="B65" s="893" t="s">
        <v>1010</v>
      </c>
      <c r="C65" s="899">
        <v>2153121.8199999994</v>
      </c>
      <c r="D65" s="899">
        <v>1329530.6107730099</v>
      </c>
      <c r="E65" s="899">
        <v>823591.20922698942</v>
      </c>
      <c r="G65" s="899">
        <f t="shared" si="44"/>
        <v>0.18000000063329935</v>
      </c>
      <c r="H65" s="899">
        <f t="shared" si="44"/>
        <v>-416993.61077300995</v>
      </c>
      <c r="I65" s="893" t="s">
        <v>1010</v>
      </c>
      <c r="J65" s="899">
        <v>2153122</v>
      </c>
      <c r="K65" s="899">
        <v>912537</v>
      </c>
      <c r="L65" s="899">
        <v>1240585</v>
      </c>
      <c r="N65" s="899">
        <f t="shared" si="68"/>
        <v>0</v>
      </c>
      <c r="O65" s="899">
        <f t="shared" si="68"/>
        <v>55289</v>
      </c>
      <c r="P65" s="893" t="s">
        <v>1010</v>
      </c>
      <c r="Q65" s="899">
        <v>2153122</v>
      </c>
      <c r="R65" s="899">
        <v>967826</v>
      </c>
      <c r="S65" s="899">
        <v>1185296</v>
      </c>
      <c r="U65" s="899">
        <f t="shared" si="95"/>
        <v>0</v>
      </c>
      <c r="V65" s="899">
        <f t="shared" si="95"/>
        <v>55289</v>
      </c>
      <c r="W65" s="893" t="s">
        <v>1010</v>
      </c>
      <c r="X65" s="899">
        <v>2153122</v>
      </c>
      <c r="Y65" s="899">
        <v>1023115</v>
      </c>
      <c r="Z65" s="899">
        <v>1130007</v>
      </c>
      <c r="AB65" s="899">
        <f t="shared" si="70"/>
        <v>0</v>
      </c>
      <c r="AC65" s="899">
        <f t="shared" si="71"/>
        <v>55289</v>
      </c>
      <c r="AD65" s="893" t="s">
        <v>1010</v>
      </c>
      <c r="AE65" s="899">
        <v>2153122</v>
      </c>
      <c r="AF65" s="899">
        <v>1078404</v>
      </c>
      <c r="AG65" s="899">
        <v>1074718</v>
      </c>
      <c r="AI65" s="899">
        <f t="shared" si="27"/>
        <v>-0.17999999923631549</v>
      </c>
      <c r="AJ65" s="899">
        <f t="shared" si="93"/>
        <v>-0.17999999923631549</v>
      </c>
      <c r="AK65" s="899">
        <f t="shared" si="94"/>
        <v>55289.109999999637</v>
      </c>
      <c r="AL65" s="930" t="s">
        <v>1010</v>
      </c>
      <c r="AM65" s="906">
        <v>2153121.8200000008</v>
      </c>
      <c r="AN65" s="906">
        <v>1133693.1099999996</v>
      </c>
      <c r="AO65" s="907">
        <f t="shared" si="83"/>
        <v>1019428.7100000011</v>
      </c>
      <c r="AP65" s="926"/>
      <c r="AQ65" s="899">
        <f t="shared" si="84"/>
        <v>0</v>
      </c>
      <c r="AR65" s="899">
        <f t="shared" si="85"/>
        <v>55288.949999999488</v>
      </c>
      <c r="AS65" s="930" t="s">
        <v>1010</v>
      </c>
      <c r="AT65" s="906">
        <v>2153121.8200000008</v>
      </c>
      <c r="AU65" s="909">
        <v>1188982.0599999991</v>
      </c>
      <c r="AV65" s="906">
        <f t="shared" si="86"/>
        <v>964139.76000000164</v>
      </c>
      <c r="AW65" s="926"/>
      <c r="AX65" s="899">
        <f t="shared" si="87"/>
        <v>0</v>
      </c>
      <c r="AY65" s="899">
        <f t="shared" si="88"/>
        <v>55288.949999999488</v>
      </c>
      <c r="AZ65" s="930" t="s">
        <v>1010</v>
      </c>
      <c r="BA65" s="906">
        <v>2153121.8200000008</v>
      </c>
      <c r="BB65" s="909">
        <v>1244271.0099999986</v>
      </c>
      <c r="BC65" s="906">
        <f t="shared" si="89"/>
        <v>908850.81000000215</v>
      </c>
      <c r="BD65" s="926"/>
      <c r="BE65" s="899">
        <f t="shared" si="90"/>
        <v>0</v>
      </c>
      <c r="BF65" s="899">
        <f t="shared" si="91"/>
        <v>55288.949999999255</v>
      </c>
      <c r="BG65" s="930" t="s">
        <v>1010</v>
      </c>
      <c r="BH65" s="899">
        <v>2153121.8200000008</v>
      </c>
      <c r="BI65" s="899">
        <v>1299559.9599999979</v>
      </c>
      <c r="BJ65" s="909">
        <f t="shared" si="92"/>
        <v>853561.8600000029</v>
      </c>
      <c r="BK65" s="926"/>
      <c r="BO65" s="893" t="s">
        <v>301</v>
      </c>
      <c r="BP65" s="893" t="s">
        <v>308</v>
      </c>
      <c r="BT65" s="894"/>
      <c r="BU65" s="1533"/>
      <c r="BV65" s="1532"/>
      <c r="BW65" s="108"/>
      <c r="BX65" s="1530"/>
    </row>
    <row r="66" spans="1:76" x14ac:dyDescent="0.25">
      <c r="B66" s="893" t="s">
        <v>1005</v>
      </c>
      <c r="C66" s="899">
        <v>21007561.18</v>
      </c>
      <c r="D66" s="899">
        <v>16863434.870000001</v>
      </c>
      <c r="E66" s="899">
        <v>4144126.3099999987</v>
      </c>
      <c r="G66" s="899">
        <f t="shared" si="44"/>
        <v>7459425.8200000003</v>
      </c>
      <c r="H66" s="899">
        <f t="shared" si="44"/>
        <v>569107.12999999896</v>
      </c>
      <c r="I66" s="893" t="s">
        <v>1005</v>
      </c>
      <c r="J66" s="899">
        <v>28466987</v>
      </c>
      <c r="K66" s="899">
        <v>17432542</v>
      </c>
      <c r="L66" s="899">
        <v>11034445</v>
      </c>
      <c r="N66" s="899">
        <f t="shared" si="68"/>
        <v>1013522</v>
      </c>
      <c r="O66" s="899">
        <f t="shared" si="68"/>
        <v>956632</v>
      </c>
      <c r="P66" s="893" t="s">
        <v>1005</v>
      </c>
      <c r="Q66" s="899">
        <v>29480509</v>
      </c>
      <c r="R66" s="899">
        <v>18389174</v>
      </c>
      <c r="S66" s="899">
        <v>11091335</v>
      </c>
      <c r="U66" s="899">
        <f t="shared" si="95"/>
        <v>13685938</v>
      </c>
      <c r="V66" s="899">
        <f t="shared" si="95"/>
        <v>1170188</v>
      </c>
      <c r="W66" s="893" t="s">
        <v>1005</v>
      </c>
      <c r="X66" s="899">
        <v>43166447</v>
      </c>
      <c r="Y66" s="899">
        <v>19559362</v>
      </c>
      <c r="Z66" s="899">
        <v>23607085</v>
      </c>
      <c r="AB66" s="899">
        <f t="shared" si="70"/>
        <v>-2955979</v>
      </c>
      <c r="AC66" s="899">
        <f t="shared" si="71"/>
        <v>547998</v>
      </c>
      <c r="AD66" s="893" t="s">
        <v>1005</v>
      </c>
      <c r="AE66" s="899">
        <v>40210468</v>
      </c>
      <c r="AF66" s="899">
        <v>20107360</v>
      </c>
      <c r="AG66" s="899">
        <v>20103108</v>
      </c>
      <c r="AI66" s="899">
        <f t="shared" si="27"/>
        <v>15125601.549999848</v>
      </c>
      <c r="AJ66" s="898">
        <f t="shared" si="93"/>
        <v>5458751.6699998677</v>
      </c>
      <c r="AK66" s="899">
        <f t="shared" si="94"/>
        <v>1374237.5400000773</v>
      </c>
      <c r="AL66" s="930" t="s">
        <v>1005</v>
      </c>
      <c r="AM66" s="906">
        <v>45669219.669999868</v>
      </c>
      <c r="AN66" s="906">
        <v>21481597.540000077</v>
      </c>
      <c r="AO66" s="907">
        <f t="shared" si="83"/>
        <v>24187622.12999979</v>
      </c>
      <c r="AP66" s="926"/>
      <c r="AQ66" s="899">
        <f t="shared" si="84"/>
        <v>12807.150000013411</v>
      </c>
      <c r="AR66" s="899">
        <f t="shared" si="85"/>
        <v>1069247.4100000113</v>
      </c>
      <c r="AS66" s="930" t="s">
        <v>1005</v>
      </c>
      <c r="AT66" s="906">
        <v>45682026.819999881</v>
      </c>
      <c r="AU66" s="909">
        <v>22550844.950000089</v>
      </c>
      <c r="AV66" s="906">
        <f t="shared" si="86"/>
        <v>23131181.869999792</v>
      </c>
      <c r="AW66" s="926"/>
      <c r="AX66" s="899">
        <f t="shared" si="87"/>
        <v>8932775.0199999958</v>
      </c>
      <c r="AY66" s="899">
        <f t="shared" si="88"/>
        <v>1084985.4599999748</v>
      </c>
      <c r="AZ66" s="930" t="s">
        <v>1005</v>
      </c>
      <c r="BA66" s="906">
        <v>54614801.839999877</v>
      </c>
      <c r="BB66" s="909">
        <v>23635830.410000063</v>
      </c>
      <c r="BC66" s="906">
        <f t="shared" si="89"/>
        <v>30978971.429999813</v>
      </c>
      <c r="BD66" s="930"/>
      <c r="BE66" s="1546">
        <f t="shared" si="90"/>
        <v>721267.70999997109</v>
      </c>
      <c r="BF66" s="899">
        <f t="shared" si="91"/>
        <v>1449208.3500000052</v>
      </c>
      <c r="BG66" s="930" t="s">
        <v>1005</v>
      </c>
      <c r="BH66" s="909">
        <v>55336069.549999848</v>
      </c>
      <c r="BI66" s="909">
        <v>25085038.760000069</v>
      </c>
      <c r="BJ66" s="909">
        <f t="shared" si="92"/>
        <v>30251030.789999779</v>
      </c>
      <c r="BK66" s="930"/>
      <c r="BO66" s="893" t="s">
        <v>301</v>
      </c>
      <c r="BP66" s="893" t="s">
        <v>308</v>
      </c>
      <c r="BT66" s="894"/>
      <c r="BU66" s="1533"/>
      <c r="BV66" s="1530"/>
      <c r="BW66" s="1535"/>
      <c r="BX66" s="1530"/>
    </row>
    <row r="67" spans="1:76" s="895" customFormat="1" x14ac:dyDescent="0.25">
      <c r="A67" s="893"/>
      <c r="B67" s="893" t="s">
        <v>1006</v>
      </c>
      <c r="C67" s="899">
        <v>20346531.880000003</v>
      </c>
      <c r="D67" s="899">
        <v>6413947.1800000006</v>
      </c>
      <c r="E67" s="899">
        <v>13932584.700000003</v>
      </c>
      <c r="F67" s="893"/>
      <c r="G67" s="899">
        <f t="shared" si="44"/>
        <v>-1107921.8800000027</v>
      </c>
      <c r="H67" s="899">
        <f t="shared" si="44"/>
        <v>20821.819999999367</v>
      </c>
      <c r="I67" s="893" t="s">
        <v>1006</v>
      </c>
      <c r="J67" s="899">
        <v>19238610</v>
      </c>
      <c r="K67" s="899">
        <v>6434769</v>
      </c>
      <c r="L67" s="899">
        <v>12803841</v>
      </c>
      <c r="M67" s="893"/>
      <c r="N67" s="899">
        <f t="shared" si="68"/>
        <v>0</v>
      </c>
      <c r="O67" s="899">
        <f t="shared" si="68"/>
        <v>552248</v>
      </c>
      <c r="P67" s="893" t="s">
        <v>1006</v>
      </c>
      <c r="Q67" s="899">
        <v>19238610</v>
      </c>
      <c r="R67" s="899">
        <v>6987017</v>
      </c>
      <c r="S67" s="899">
        <v>12251593</v>
      </c>
      <c r="T67" s="893"/>
      <c r="U67" s="899">
        <f t="shared" si="95"/>
        <v>9462945</v>
      </c>
      <c r="V67" s="899">
        <f t="shared" si="95"/>
        <v>663473</v>
      </c>
      <c r="W67" s="893" t="s">
        <v>1006</v>
      </c>
      <c r="X67" s="899">
        <v>28701555</v>
      </c>
      <c r="Y67" s="899">
        <v>7650490</v>
      </c>
      <c r="Z67" s="899">
        <v>21051066</v>
      </c>
      <c r="AA67" s="893"/>
      <c r="AB67" s="899">
        <f t="shared" si="70"/>
        <v>4028007</v>
      </c>
      <c r="AC67" s="899">
        <f t="shared" si="71"/>
        <v>1113395</v>
      </c>
      <c r="AD67" s="893" t="s">
        <v>1006</v>
      </c>
      <c r="AE67" s="899">
        <v>32729562</v>
      </c>
      <c r="AF67" s="899">
        <v>8763885</v>
      </c>
      <c r="AG67" s="899">
        <v>23965677</v>
      </c>
      <c r="AH67" s="893" t="s">
        <v>1011</v>
      </c>
      <c r="AI67" s="899">
        <f t="shared" si="27"/>
        <v>28648187.959999911</v>
      </c>
      <c r="AJ67" s="898">
        <f t="shared" si="93"/>
        <v>3905268.8100000992</v>
      </c>
      <c r="AK67" s="899">
        <f t="shared" si="94"/>
        <v>938627.37000001967</v>
      </c>
      <c r="AL67" s="930" t="s">
        <v>1006</v>
      </c>
      <c r="AM67" s="906">
        <v>36634830.810000099</v>
      </c>
      <c r="AN67" s="906">
        <v>9702512.3700000197</v>
      </c>
      <c r="AO67" s="907">
        <f t="shared" si="83"/>
        <v>26932318.44000008</v>
      </c>
      <c r="AP67" s="926"/>
      <c r="AQ67" s="899">
        <f t="shared" si="84"/>
        <v>24833745.049999803</v>
      </c>
      <c r="AR67" s="899">
        <f t="shared" si="85"/>
        <v>1109104.4099999815</v>
      </c>
      <c r="AS67" s="930" t="s">
        <v>1006</v>
      </c>
      <c r="AT67" s="906">
        <v>61468575.859999903</v>
      </c>
      <c r="AU67" s="909">
        <v>10811616.780000001</v>
      </c>
      <c r="AV67" s="906">
        <f t="shared" si="86"/>
        <v>50656959.079999901</v>
      </c>
      <c r="AW67" s="926"/>
      <c r="AX67" s="899">
        <f t="shared" si="87"/>
        <v>-105983.49999999255</v>
      </c>
      <c r="AY67" s="899">
        <f t="shared" si="88"/>
        <v>2599629.7299998961</v>
      </c>
      <c r="AZ67" s="930" t="s">
        <v>1006</v>
      </c>
      <c r="BA67" s="906">
        <v>61362592.35999991</v>
      </c>
      <c r="BB67" s="909">
        <v>13411246.509999897</v>
      </c>
      <c r="BC67" s="906">
        <f t="shared" si="89"/>
        <v>47951345.850000009</v>
      </c>
      <c r="BD67" s="926" t="s">
        <v>1011</v>
      </c>
      <c r="BE67" s="1546">
        <f t="shared" si="90"/>
        <v>15157.60000000149</v>
      </c>
      <c r="BF67" s="899">
        <f t="shared" si="91"/>
        <v>2656574.0600000937</v>
      </c>
      <c r="BG67" s="930" t="s">
        <v>1006</v>
      </c>
      <c r="BH67" s="909">
        <v>61377749.959999911</v>
      </c>
      <c r="BI67" s="909">
        <v>16067820.569999991</v>
      </c>
      <c r="BJ67" s="909">
        <f t="shared" si="92"/>
        <v>45309929.389999919</v>
      </c>
      <c r="BK67" s="926" t="s">
        <v>1011</v>
      </c>
      <c r="BL67" s="893"/>
      <c r="BO67" s="893" t="s">
        <v>301</v>
      </c>
      <c r="BP67" s="893" t="s">
        <v>308</v>
      </c>
      <c r="BT67" s="894"/>
      <c r="BU67" s="1533"/>
      <c r="BV67" s="1530"/>
      <c r="BW67" s="1535"/>
      <c r="BX67" s="1530"/>
    </row>
    <row r="68" spans="1:76" x14ac:dyDescent="0.25">
      <c r="A68" s="895"/>
      <c r="B68" s="895"/>
      <c r="C68" s="903"/>
      <c r="D68" s="903"/>
      <c r="E68" s="903"/>
      <c r="F68" s="895"/>
      <c r="G68" s="895"/>
      <c r="H68" s="895"/>
      <c r="I68" s="895"/>
      <c r="J68" s="895"/>
      <c r="K68" s="895"/>
      <c r="L68" s="895"/>
      <c r="M68" s="895"/>
      <c r="N68" s="895"/>
      <c r="O68" s="895"/>
      <c r="P68" s="895"/>
      <c r="Q68" s="895"/>
      <c r="R68" s="895"/>
      <c r="S68" s="895"/>
      <c r="T68" s="895"/>
      <c r="U68" s="895"/>
      <c r="V68" s="895"/>
      <c r="W68" s="895"/>
      <c r="X68" s="895"/>
      <c r="Y68" s="895"/>
      <c r="Z68" s="895"/>
      <c r="AA68" s="895">
        <v>1</v>
      </c>
      <c r="AB68" s="903">
        <f t="shared" si="70"/>
        <v>6089787</v>
      </c>
      <c r="AC68" s="903">
        <f t="shared" si="71"/>
        <v>0</v>
      </c>
      <c r="AD68" s="895" t="s">
        <v>1013</v>
      </c>
      <c r="AE68" s="903">
        <v>6089787</v>
      </c>
      <c r="AF68" s="895">
        <v>0</v>
      </c>
      <c r="AG68" s="903">
        <v>6089787</v>
      </c>
      <c r="AH68" s="895" t="s">
        <v>943</v>
      </c>
      <c r="AI68" s="899">
        <f t="shared" si="27"/>
        <v>22184161.689999998</v>
      </c>
      <c r="AJ68" s="899">
        <f t="shared" si="93"/>
        <v>-0.29999999981373549</v>
      </c>
      <c r="AK68" s="899">
        <f t="shared" si="94"/>
        <v>0</v>
      </c>
      <c r="AL68" s="930" t="s">
        <v>1013</v>
      </c>
      <c r="AM68" s="906">
        <v>6089786.7000000002</v>
      </c>
      <c r="AN68" s="906">
        <v>0</v>
      </c>
      <c r="AO68" s="907">
        <f t="shared" si="83"/>
        <v>6089786.7000000002</v>
      </c>
      <c r="AP68" s="926"/>
      <c r="AQ68" s="899">
        <f t="shared" si="84"/>
        <v>0</v>
      </c>
      <c r="AR68" s="899">
        <f t="shared" si="85"/>
        <v>0</v>
      </c>
      <c r="AS68" s="930" t="s">
        <v>1013</v>
      </c>
      <c r="AT68" s="906">
        <v>6089786.7000000002</v>
      </c>
      <c r="AU68" s="909">
        <v>0</v>
      </c>
      <c r="AV68" s="906">
        <f t="shared" si="86"/>
        <v>6089786.7000000002</v>
      </c>
      <c r="AW68" s="926"/>
      <c r="AX68" s="899">
        <f t="shared" si="87"/>
        <v>0</v>
      </c>
      <c r="AY68" s="899">
        <f t="shared" si="88"/>
        <v>0</v>
      </c>
      <c r="AZ68" s="930" t="s">
        <v>1013</v>
      </c>
      <c r="BA68" s="906">
        <v>6089786.7000000002</v>
      </c>
      <c r="BB68" s="909">
        <v>0</v>
      </c>
      <c r="BC68" s="906">
        <f t="shared" si="89"/>
        <v>6089786.7000000002</v>
      </c>
      <c r="BD68" s="926"/>
      <c r="BE68" s="1546">
        <f t="shared" si="90"/>
        <v>22184161.989999998</v>
      </c>
      <c r="BF68" s="899">
        <f t="shared" si="91"/>
        <v>136958.22</v>
      </c>
      <c r="BG68" s="930" t="s">
        <v>1796</v>
      </c>
      <c r="BH68" s="909">
        <v>28273948.689999998</v>
      </c>
      <c r="BI68" s="909">
        <v>136958.22</v>
      </c>
      <c r="BJ68" s="909">
        <f t="shared" si="92"/>
        <v>28136990.469999999</v>
      </c>
      <c r="BK68" s="935" t="s">
        <v>1309</v>
      </c>
      <c r="BO68" s="893" t="s">
        <v>301</v>
      </c>
      <c r="BP68" s="893" t="s">
        <v>308</v>
      </c>
      <c r="BT68" s="894"/>
      <c r="BU68" s="1533"/>
      <c r="BV68" s="1530"/>
      <c r="BW68" s="1535"/>
      <c r="BX68" s="1530"/>
    </row>
    <row r="69" spans="1:76" x14ac:dyDescent="0.25">
      <c r="A69" s="895"/>
      <c r="B69" s="895"/>
      <c r="C69" s="903"/>
      <c r="D69" s="903"/>
      <c r="E69" s="903"/>
      <c r="F69" s="895"/>
      <c r="G69" s="895"/>
      <c r="H69" s="895"/>
      <c r="I69" s="895"/>
      <c r="J69" s="895"/>
      <c r="K69" s="895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5"/>
      <c r="X69" s="895"/>
      <c r="Y69" s="895"/>
      <c r="Z69" s="895"/>
      <c r="AA69" s="895"/>
      <c r="AB69" s="903"/>
      <c r="AC69" s="903"/>
      <c r="AD69" s="895"/>
      <c r="AE69" s="903"/>
      <c r="AF69" s="895"/>
      <c r="AG69" s="903"/>
      <c r="AH69" s="895"/>
      <c r="AI69" s="899">
        <f t="shared" si="27"/>
        <v>1945447.82</v>
      </c>
      <c r="AJ69" s="899">
        <f t="shared" si="93"/>
        <v>0</v>
      </c>
      <c r="AK69" s="899"/>
      <c r="AL69" s="930"/>
      <c r="AM69" s="906"/>
      <c r="AN69" s="906"/>
      <c r="AO69" s="907"/>
      <c r="AP69" s="926"/>
      <c r="AQ69" s="899"/>
      <c r="AR69" s="899"/>
      <c r="AS69" s="930"/>
      <c r="AT69" s="906"/>
      <c r="AU69" s="909"/>
      <c r="AV69" s="906"/>
      <c r="AW69" s="926"/>
      <c r="AX69" s="899"/>
      <c r="AY69" s="899"/>
      <c r="AZ69" s="930"/>
      <c r="BA69" s="906"/>
      <c r="BB69" s="909"/>
      <c r="BC69" s="906"/>
      <c r="BD69" s="926"/>
      <c r="BE69" s="1546">
        <f t="shared" ref="BE69" si="98">BH69-BA69</f>
        <v>1945447.82</v>
      </c>
      <c r="BF69" s="899">
        <f t="shared" ref="BF69" si="99">BI69-BB69</f>
        <v>0</v>
      </c>
      <c r="BG69" s="1542" t="s">
        <v>1805</v>
      </c>
      <c r="BH69" s="945">
        <v>1945447.82</v>
      </c>
      <c r="BI69" s="1544">
        <v>0</v>
      </c>
      <c r="BJ69" s="1543">
        <f t="shared" ref="BJ69" si="100">+BH69-BI69</f>
        <v>1945447.82</v>
      </c>
      <c r="BK69" s="935" t="s">
        <v>1309</v>
      </c>
      <c r="BT69" s="894"/>
      <c r="BU69" s="1533"/>
      <c r="BV69" s="1530"/>
      <c r="BW69" s="1535"/>
      <c r="BX69" s="1530"/>
    </row>
    <row r="70" spans="1:76" x14ac:dyDescent="0.25">
      <c r="B70" s="893" t="s">
        <v>1007</v>
      </c>
      <c r="C70" s="899">
        <v>5094809.9200000009</v>
      </c>
      <c r="D70" s="899">
        <v>3408194.13</v>
      </c>
      <c r="E70" s="899">
        <v>1686615.790000001</v>
      </c>
      <c r="G70" s="899">
        <f t="shared" si="44"/>
        <v>-47631.920000000857</v>
      </c>
      <c r="H70" s="899">
        <f t="shared" si="44"/>
        <v>135182.87000000011</v>
      </c>
      <c r="I70" s="893" t="s">
        <v>1007</v>
      </c>
      <c r="J70" s="899">
        <v>5047178</v>
      </c>
      <c r="K70" s="899">
        <v>3543377</v>
      </c>
      <c r="L70" s="899">
        <v>1503800</v>
      </c>
      <c r="N70" s="899">
        <f t="shared" si="68"/>
        <v>0</v>
      </c>
      <c r="O70" s="899">
        <f t="shared" si="68"/>
        <v>131110</v>
      </c>
      <c r="P70" s="893" t="s">
        <v>1007</v>
      </c>
      <c r="Q70" s="899">
        <v>5047178</v>
      </c>
      <c r="R70" s="899">
        <v>3674487</v>
      </c>
      <c r="S70" s="899">
        <v>1372690</v>
      </c>
      <c r="U70" s="899">
        <f t="shared" ref="U70:V70" si="101">+X70-Q70</f>
        <v>0</v>
      </c>
      <c r="V70" s="899">
        <f t="shared" si="101"/>
        <v>128998</v>
      </c>
      <c r="W70" s="893" t="s">
        <v>1007</v>
      </c>
      <c r="X70" s="899">
        <v>5047178</v>
      </c>
      <c r="Y70" s="899">
        <v>3803485</v>
      </c>
      <c r="Z70" s="899">
        <v>1243692</v>
      </c>
      <c r="AB70" s="899">
        <f t="shared" si="70"/>
        <v>784131</v>
      </c>
      <c r="AC70" s="899">
        <f t="shared" si="71"/>
        <v>121957</v>
      </c>
      <c r="AD70" s="893" t="s">
        <v>1007</v>
      </c>
      <c r="AE70" s="899">
        <v>5831309</v>
      </c>
      <c r="AF70" s="899">
        <v>3925442</v>
      </c>
      <c r="AG70" s="899">
        <v>1905867</v>
      </c>
      <c r="AI70" s="899">
        <f t="shared" si="27"/>
        <v>12304327.919999983</v>
      </c>
      <c r="AJ70" s="898">
        <f t="shared" si="93"/>
        <v>1888568.290000001</v>
      </c>
      <c r="AK70" s="899">
        <f t="shared" si="94"/>
        <v>129577.40999999689</v>
      </c>
      <c r="AL70" s="930" t="s">
        <v>1007</v>
      </c>
      <c r="AM70" s="906">
        <v>7719877.290000001</v>
      </c>
      <c r="AN70" s="906">
        <v>4055019.4099999969</v>
      </c>
      <c r="AO70" s="907">
        <f t="shared" si="83"/>
        <v>3664857.8800000041</v>
      </c>
      <c r="AP70" s="926"/>
      <c r="AQ70" s="899">
        <f t="shared" si="84"/>
        <v>10040683.009999992</v>
      </c>
      <c r="AR70" s="899">
        <f t="shared" si="85"/>
        <v>449356.86999999499</v>
      </c>
      <c r="AS70" s="930" t="s">
        <v>1007</v>
      </c>
      <c r="AT70" s="906">
        <v>17760560.299999993</v>
      </c>
      <c r="AU70" s="909">
        <v>4504376.2799999919</v>
      </c>
      <c r="AV70" s="906">
        <f t="shared" si="86"/>
        <v>13256184.020000001</v>
      </c>
      <c r="AW70" s="926"/>
      <c r="AX70" s="899">
        <f t="shared" si="87"/>
        <v>0</v>
      </c>
      <c r="AY70" s="899">
        <f t="shared" si="88"/>
        <v>522910.40000000224</v>
      </c>
      <c r="AZ70" s="930" t="s">
        <v>1007</v>
      </c>
      <c r="BA70" s="906">
        <v>17760560.299999993</v>
      </c>
      <c r="BB70" s="909">
        <v>5027286.6799999941</v>
      </c>
      <c r="BC70" s="906">
        <f t="shared" si="89"/>
        <v>12733273.619999999</v>
      </c>
      <c r="BD70" s="926"/>
      <c r="BE70" s="1546">
        <f t="shared" si="90"/>
        <v>375076.61999998987</v>
      </c>
      <c r="BF70" s="899">
        <f t="shared" si="91"/>
        <v>545781.73000000138</v>
      </c>
      <c r="BG70" s="930" t="s">
        <v>1007</v>
      </c>
      <c r="BH70" s="909">
        <v>18135636.919999983</v>
      </c>
      <c r="BI70" s="909">
        <v>5573068.4099999955</v>
      </c>
      <c r="BJ70" s="909">
        <f t="shared" si="92"/>
        <v>12562568.509999987</v>
      </c>
      <c r="BK70" s="926"/>
      <c r="BO70" s="893" t="s">
        <v>301</v>
      </c>
      <c r="BP70" s="893" t="s">
        <v>308</v>
      </c>
      <c r="BT70" s="894"/>
      <c r="BU70" s="1533"/>
      <c r="BV70" s="1530"/>
      <c r="BW70" s="1535"/>
      <c r="BX70" s="1530"/>
    </row>
    <row r="71" spans="1:76" x14ac:dyDescent="0.25">
      <c r="AI71" s="899">
        <f t="shared" si="27"/>
        <v>22347106.52</v>
      </c>
      <c r="AJ71" s="958">
        <f t="shared" si="93"/>
        <v>7275133.21</v>
      </c>
      <c r="AK71" s="903">
        <f t="shared" si="94"/>
        <v>0</v>
      </c>
      <c r="AL71" s="895" t="s">
        <v>1303</v>
      </c>
      <c r="AM71" s="904">
        <v>7275133.21</v>
      </c>
      <c r="AN71" s="904">
        <v>0</v>
      </c>
      <c r="AO71" s="905">
        <f t="shared" si="83"/>
        <v>7275133.21</v>
      </c>
      <c r="AP71" s="926"/>
      <c r="AQ71" s="899">
        <f t="shared" si="84"/>
        <v>0</v>
      </c>
      <c r="AR71" s="899">
        <f t="shared" si="85"/>
        <v>0</v>
      </c>
      <c r="AS71" s="893" t="s">
        <v>1303</v>
      </c>
      <c r="AT71" s="906">
        <v>7275133.21</v>
      </c>
      <c r="AU71" s="909">
        <v>0</v>
      </c>
      <c r="AV71" s="906">
        <f t="shared" si="86"/>
        <v>7275133.21</v>
      </c>
      <c r="AW71" s="926"/>
      <c r="AX71" s="899">
        <f t="shared" si="87"/>
        <v>0</v>
      </c>
      <c r="AY71" s="899">
        <f t="shared" si="88"/>
        <v>0</v>
      </c>
      <c r="AZ71" s="893" t="s">
        <v>1303</v>
      </c>
      <c r="BA71" s="906">
        <v>7275133.21</v>
      </c>
      <c r="BB71" s="909">
        <v>0</v>
      </c>
      <c r="BC71" s="906">
        <f t="shared" si="89"/>
        <v>7275133.21</v>
      </c>
      <c r="BD71" s="926"/>
      <c r="BE71" s="1546">
        <f t="shared" si="90"/>
        <v>15071973.309999999</v>
      </c>
      <c r="BF71" s="899">
        <f t="shared" si="91"/>
        <v>248061.53</v>
      </c>
      <c r="BG71" s="895" t="s">
        <v>1806</v>
      </c>
      <c r="BH71" s="945">
        <v>22347106.52</v>
      </c>
      <c r="BI71" s="945">
        <v>248061.53</v>
      </c>
      <c r="BJ71" s="945">
        <f t="shared" si="92"/>
        <v>22099044.989999998</v>
      </c>
      <c r="BK71" s="935" t="s">
        <v>1309</v>
      </c>
      <c r="BO71" s="893" t="s">
        <v>301</v>
      </c>
      <c r="BP71" s="893" t="s">
        <v>308</v>
      </c>
      <c r="BT71" s="894"/>
      <c r="BU71" s="1540"/>
      <c r="BV71" s="1530"/>
      <c r="BW71" s="1535"/>
      <c r="BX71" s="1530"/>
    </row>
    <row r="72" spans="1:76" x14ac:dyDescent="0.25">
      <c r="B72" s="893" t="s">
        <v>1009</v>
      </c>
      <c r="C72" s="899">
        <v>10892534.149999991</v>
      </c>
      <c r="D72" s="899">
        <v>4734224.12</v>
      </c>
      <c r="E72" s="899">
        <v>6158310.0299999909</v>
      </c>
      <c r="G72" s="899">
        <f t="shared" ref="G72:H75" si="102">+J72-C72</f>
        <v>13170494.850000009</v>
      </c>
      <c r="H72" s="899">
        <f t="shared" si="102"/>
        <v>840084.87999999989</v>
      </c>
      <c r="I72" s="893" t="s">
        <v>1009</v>
      </c>
      <c r="J72" s="899">
        <v>24063029</v>
      </c>
      <c r="K72" s="899">
        <v>5574309</v>
      </c>
      <c r="L72" s="899">
        <v>18488721</v>
      </c>
      <c r="N72" s="899">
        <f t="shared" ref="N72:O75" si="103">+Q72-J72</f>
        <v>385149</v>
      </c>
      <c r="O72" s="899">
        <f t="shared" si="103"/>
        <v>839613</v>
      </c>
      <c r="P72" s="893" t="s">
        <v>1009</v>
      </c>
      <c r="Q72" s="899">
        <v>24448178</v>
      </c>
      <c r="R72" s="899">
        <v>6413922</v>
      </c>
      <c r="S72" s="899">
        <v>18034256</v>
      </c>
      <c r="U72" s="899">
        <f t="shared" ref="U72:V75" si="104">+X72-Q72</f>
        <v>34226</v>
      </c>
      <c r="V72" s="899">
        <f t="shared" si="104"/>
        <v>868223</v>
      </c>
      <c r="W72" s="893" t="s">
        <v>1009</v>
      </c>
      <c r="X72" s="899">
        <v>24482404</v>
      </c>
      <c r="Y72" s="899">
        <v>7282145</v>
      </c>
      <c r="Z72" s="899">
        <v>17200259</v>
      </c>
      <c r="AB72" s="899">
        <f t="shared" ref="AB72:AC76" si="105">+AE72-X72</f>
        <v>0</v>
      </c>
      <c r="AC72" s="899">
        <f t="shared" si="105"/>
        <v>865664</v>
      </c>
      <c r="AD72" s="893" t="s">
        <v>1009</v>
      </c>
      <c r="AE72" s="899">
        <v>24482404</v>
      </c>
      <c r="AF72" s="899">
        <v>8147809</v>
      </c>
      <c r="AG72" s="899">
        <v>16334595</v>
      </c>
      <c r="AI72" s="899">
        <f t="shared" si="27"/>
        <v>6695205.4500000291</v>
      </c>
      <c r="AJ72" s="898">
        <f t="shared" si="93"/>
        <v>5712227.3900000341</v>
      </c>
      <c r="AK72" s="899">
        <f t="shared" si="94"/>
        <v>987659.43999996781</v>
      </c>
      <c r="AL72" s="930" t="s">
        <v>1009</v>
      </c>
      <c r="AM72" s="906">
        <v>30194631.390000034</v>
      </c>
      <c r="AN72" s="906">
        <v>9135468.4399999678</v>
      </c>
      <c r="AO72" s="907">
        <f t="shared" si="83"/>
        <v>21059162.950000066</v>
      </c>
      <c r="AP72" s="926"/>
      <c r="AQ72" s="899">
        <f t="shared" si="84"/>
        <v>52241.109999999404</v>
      </c>
      <c r="AR72" s="899">
        <f t="shared" si="85"/>
        <v>1079176.6100000199</v>
      </c>
      <c r="AS72" s="930" t="s">
        <v>1009</v>
      </c>
      <c r="AT72" s="906">
        <v>30246872.500000034</v>
      </c>
      <c r="AU72" s="909">
        <v>10214645.049999988</v>
      </c>
      <c r="AV72" s="906">
        <f t="shared" si="86"/>
        <v>20032227.450000048</v>
      </c>
      <c r="AW72" s="926"/>
      <c r="AX72" s="899">
        <f t="shared" si="87"/>
        <v>844746.29999999329</v>
      </c>
      <c r="AY72" s="899">
        <f t="shared" si="88"/>
        <v>1157433.1799999811</v>
      </c>
      <c r="AZ72" s="930" t="s">
        <v>1009</v>
      </c>
      <c r="BA72" s="906">
        <v>31091618.800000027</v>
      </c>
      <c r="BB72" s="909">
        <v>11372078.229999969</v>
      </c>
      <c r="BC72" s="906">
        <f t="shared" si="89"/>
        <v>19719540.57000006</v>
      </c>
      <c r="BD72" s="926"/>
      <c r="BE72" s="1546">
        <f t="shared" si="90"/>
        <v>85990.650000002235</v>
      </c>
      <c r="BF72" s="899">
        <f t="shared" si="91"/>
        <v>1118258.4700000305</v>
      </c>
      <c r="BG72" s="930" t="s">
        <v>1009</v>
      </c>
      <c r="BH72" s="909">
        <v>31177609.450000029</v>
      </c>
      <c r="BI72" s="909">
        <v>12490336.699999999</v>
      </c>
      <c r="BJ72" s="909">
        <f t="shared" si="92"/>
        <v>18687272.75000003</v>
      </c>
      <c r="BK72" s="926"/>
      <c r="BO72" s="893" t="s">
        <v>301</v>
      </c>
      <c r="BP72" s="893" t="s">
        <v>308</v>
      </c>
      <c r="BT72" s="894"/>
      <c r="BU72" s="1533"/>
      <c r="BV72" s="1530"/>
      <c r="BW72" s="1535"/>
      <c r="BX72" s="1530"/>
    </row>
    <row r="73" spans="1:76" s="894" customFormat="1" x14ac:dyDescent="0.25">
      <c r="A73" s="893"/>
      <c r="C73" s="914"/>
      <c r="D73" s="914"/>
      <c r="E73" s="914"/>
      <c r="F73" s="894">
        <v>1</v>
      </c>
      <c r="G73" s="914">
        <f t="shared" si="102"/>
        <v>11706840</v>
      </c>
      <c r="H73" s="914">
        <f t="shared" si="102"/>
        <v>1295516</v>
      </c>
      <c r="I73" s="894" t="s">
        <v>950</v>
      </c>
      <c r="J73" s="914">
        <v>11706840</v>
      </c>
      <c r="K73" s="914">
        <v>1295516</v>
      </c>
      <c r="L73" s="914">
        <v>10411324</v>
      </c>
      <c r="M73" s="894">
        <v>1</v>
      </c>
      <c r="N73" s="914">
        <f t="shared" si="103"/>
        <v>0</v>
      </c>
      <c r="O73" s="914">
        <f t="shared" si="103"/>
        <v>777308</v>
      </c>
      <c r="P73" s="894" t="s">
        <v>950</v>
      </c>
      <c r="Q73" s="914">
        <v>11706840</v>
      </c>
      <c r="R73" s="914">
        <v>2072824</v>
      </c>
      <c r="S73" s="914">
        <v>9634016</v>
      </c>
      <c r="T73" s="894">
        <v>1</v>
      </c>
      <c r="U73" s="914">
        <f t="shared" si="104"/>
        <v>0</v>
      </c>
      <c r="V73" s="914">
        <f t="shared" si="104"/>
        <v>777307</v>
      </c>
      <c r="W73" s="894" t="s">
        <v>950</v>
      </c>
      <c r="X73" s="914">
        <v>11706840</v>
      </c>
      <c r="Y73" s="914">
        <v>2850131</v>
      </c>
      <c r="Z73" s="914">
        <v>8856708</v>
      </c>
      <c r="AA73" s="894">
        <v>1</v>
      </c>
      <c r="AB73" s="914">
        <f t="shared" si="105"/>
        <v>0</v>
      </c>
      <c r="AC73" s="914">
        <f t="shared" si="105"/>
        <v>777308</v>
      </c>
      <c r="AD73" s="894" t="s">
        <v>950</v>
      </c>
      <c r="AE73" s="914">
        <v>11706840</v>
      </c>
      <c r="AF73" s="914">
        <v>3627439</v>
      </c>
      <c r="AG73" s="914">
        <v>8079401</v>
      </c>
      <c r="AH73" s="893"/>
      <c r="AI73" s="899">
        <f t="shared" si="27"/>
        <v>-0.41000000014901161</v>
      </c>
      <c r="AJ73" s="899">
        <f t="shared" si="93"/>
        <v>-0.41000000014901161</v>
      </c>
      <c r="AK73" s="899">
        <f t="shared" si="94"/>
        <v>456777.28000000538</v>
      </c>
      <c r="AL73" s="930" t="s">
        <v>950</v>
      </c>
      <c r="AM73" s="906">
        <v>11706839.59</v>
      </c>
      <c r="AN73" s="906">
        <v>4084216.2800000054</v>
      </c>
      <c r="AO73" s="907">
        <f t="shared" si="83"/>
        <v>7622623.3099999949</v>
      </c>
      <c r="AP73" s="926"/>
      <c r="AQ73" s="899">
        <f t="shared" si="84"/>
        <v>0</v>
      </c>
      <c r="AR73" s="899">
        <f t="shared" si="85"/>
        <v>296512.59999999544</v>
      </c>
      <c r="AS73" s="930" t="s">
        <v>950</v>
      </c>
      <c r="AT73" s="906">
        <v>11706839.59</v>
      </c>
      <c r="AU73" s="909">
        <v>4380728.8800000008</v>
      </c>
      <c r="AV73" s="906">
        <f t="shared" si="86"/>
        <v>7326110.709999999</v>
      </c>
      <c r="AW73" s="926"/>
      <c r="AX73" s="899">
        <f t="shared" si="87"/>
        <v>0</v>
      </c>
      <c r="AY73" s="899">
        <f t="shared" si="88"/>
        <v>296512.60000000428</v>
      </c>
      <c r="AZ73" s="930" t="s">
        <v>950</v>
      </c>
      <c r="BA73" s="906">
        <v>11706839.59</v>
      </c>
      <c r="BB73" s="909">
        <v>4677241.4800000051</v>
      </c>
      <c r="BC73" s="906">
        <f t="shared" si="89"/>
        <v>7029598.1099999947</v>
      </c>
      <c r="BD73" s="926"/>
      <c r="BE73" s="899">
        <f t="shared" si="90"/>
        <v>0</v>
      </c>
      <c r="BF73" s="899">
        <f t="shared" si="91"/>
        <v>296512.60000000242</v>
      </c>
      <c r="BG73" s="930" t="s">
        <v>950</v>
      </c>
      <c r="BH73" s="909">
        <v>11706839.59</v>
      </c>
      <c r="BI73" s="909">
        <v>4973754.0800000075</v>
      </c>
      <c r="BJ73" s="909">
        <f t="shared" si="92"/>
        <v>6733085.5099999923</v>
      </c>
      <c r="BK73" s="926"/>
      <c r="BL73" s="893"/>
      <c r="BO73" s="893" t="s">
        <v>301</v>
      </c>
      <c r="BP73" s="893" t="s">
        <v>308</v>
      </c>
      <c r="BU73" s="1533"/>
      <c r="BV73" s="1530"/>
      <c r="BW73" s="1535"/>
      <c r="BX73" s="1530"/>
    </row>
    <row r="74" spans="1:76" x14ac:dyDescent="0.25">
      <c r="B74" s="893" t="s">
        <v>1206</v>
      </c>
      <c r="C74" s="899">
        <v>9156874.0800000001</v>
      </c>
      <c r="D74" s="899">
        <v>643507.28</v>
      </c>
      <c r="E74" s="899">
        <v>8513366.8000000007</v>
      </c>
      <c r="G74" s="899">
        <f t="shared" si="102"/>
        <v>-8.0000000074505806E-2</v>
      </c>
      <c r="H74" s="899">
        <f t="shared" si="102"/>
        <v>349584.72</v>
      </c>
      <c r="I74" s="893" t="s">
        <v>1014</v>
      </c>
      <c r="J74" s="899">
        <v>9156874</v>
      </c>
      <c r="K74" s="899">
        <v>993092</v>
      </c>
      <c r="L74" s="899">
        <v>8163782</v>
      </c>
      <c r="N74" s="899">
        <f t="shared" si="103"/>
        <v>0</v>
      </c>
      <c r="O74" s="899">
        <f t="shared" si="103"/>
        <v>482359</v>
      </c>
      <c r="P74" s="893" t="s">
        <v>1014</v>
      </c>
      <c r="Q74" s="899">
        <v>9156874</v>
      </c>
      <c r="R74" s="899">
        <v>1475451</v>
      </c>
      <c r="S74" s="899">
        <v>7681423</v>
      </c>
      <c r="U74" s="899">
        <f t="shared" si="104"/>
        <v>1810378</v>
      </c>
      <c r="V74" s="899">
        <f t="shared" si="104"/>
        <v>452933</v>
      </c>
      <c r="W74" s="893" t="s">
        <v>1014</v>
      </c>
      <c r="X74" s="899">
        <v>10967252</v>
      </c>
      <c r="Y74" s="899">
        <v>1928384</v>
      </c>
      <c r="Z74" s="899">
        <v>9038868</v>
      </c>
      <c r="AB74" s="899">
        <f t="shared" si="105"/>
        <v>0</v>
      </c>
      <c r="AC74" s="899">
        <f t="shared" si="105"/>
        <v>392214</v>
      </c>
      <c r="AD74" s="893" t="s">
        <v>1014</v>
      </c>
      <c r="AE74" s="899">
        <v>10967252</v>
      </c>
      <c r="AF74" s="899">
        <v>2320598</v>
      </c>
      <c r="AG74" s="899">
        <v>8646654</v>
      </c>
      <c r="AH74" s="893" t="s">
        <v>943</v>
      </c>
      <c r="AI74" s="899">
        <f t="shared" si="27"/>
        <v>2811932.8500000071</v>
      </c>
      <c r="AJ74" s="898">
        <f t="shared" si="93"/>
        <v>0.23000000417232513</v>
      </c>
      <c r="AK74" s="899">
        <f t="shared" si="94"/>
        <v>392213.36999999871</v>
      </c>
      <c r="AL74" s="930" t="s">
        <v>1014</v>
      </c>
      <c r="AM74" s="916">
        <v>10967252.230000004</v>
      </c>
      <c r="AN74" s="916">
        <v>2712811.3699999987</v>
      </c>
      <c r="AO74" s="907">
        <f t="shared" si="83"/>
        <v>8254440.860000005</v>
      </c>
      <c r="AP74" s="926"/>
      <c r="AQ74" s="899">
        <f t="shared" si="84"/>
        <v>2754605.5200000014</v>
      </c>
      <c r="AR74" s="899">
        <f t="shared" si="85"/>
        <v>395803.63999999641</v>
      </c>
      <c r="AS74" s="930" t="s">
        <v>1014</v>
      </c>
      <c r="AT74" s="908">
        <v>13721857.750000006</v>
      </c>
      <c r="AU74" s="899">
        <v>3108615.0099999951</v>
      </c>
      <c r="AV74" s="906">
        <f t="shared" si="86"/>
        <v>10613242.74000001</v>
      </c>
      <c r="AW74" s="926"/>
      <c r="AX74" s="899">
        <f t="shared" si="87"/>
        <v>0</v>
      </c>
      <c r="AY74" s="899">
        <f t="shared" si="88"/>
        <v>521455.72000000766</v>
      </c>
      <c r="AZ74" s="930" t="s">
        <v>1014</v>
      </c>
      <c r="BA74" s="908">
        <v>13721857.750000006</v>
      </c>
      <c r="BB74" s="899">
        <v>3630070.7300000028</v>
      </c>
      <c r="BC74" s="906">
        <f t="shared" si="89"/>
        <v>10091787.020000003</v>
      </c>
      <c r="BD74" s="926"/>
      <c r="BE74" s="1546">
        <f t="shared" si="90"/>
        <v>57327.10000000149</v>
      </c>
      <c r="BF74" s="899">
        <f t="shared" si="91"/>
        <v>531726.73999999557</v>
      </c>
      <c r="BG74" s="930" t="s">
        <v>1014</v>
      </c>
      <c r="BH74" s="899">
        <v>13779184.850000007</v>
      </c>
      <c r="BI74" s="899">
        <v>4161797.4699999983</v>
      </c>
      <c r="BJ74" s="909">
        <f t="shared" si="92"/>
        <v>9617387.3800000083</v>
      </c>
      <c r="BK74" s="926"/>
      <c r="BO74" s="893" t="s">
        <v>301</v>
      </c>
      <c r="BP74" s="893" t="s">
        <v>308</v>
      </c>
      <c r="BT74" s="894"/>
      <c r="BU74" s="1542"/>
      <c r="BV74" s="1170"/>
      <c r="BW74" s="108"/>
      <c r="BX74" s="1530"/>
    </row>
    <row r="75" spans="1:76" x14ac:dyDescent="0.25">
      <c r="A75" s="894"/>
      <c r="B75" s="894"/>
      <c r="C75" s="914"/>
      <c r="D75" s="914"/>
      <c r="E75" s="914"/>
      <c r="F75" s="894">
        <v>1</v>
      </c>
      <c r="G75" s="914">
        <f t="shared" si="102"/>
        <v>12201837</v>
      </c>
      <c r="H75" s="914">
        <f t="shared" si="102"/>
        <v>744370</v>
      </c>
      <c r="I75" s="894" t="s">
        <v>1015</v>
      </c>
      <c r="J75" s="914">
        <v>12201837</v>
      </c>
      <c r="K75" s="914">
        <v>744370</v>
      </c>
      <c r="L75" s="914">
        <v>11457467</v>
      </c>
      <c r="M75" s="894">
        <v>1</v>
      </c>
      <c r="N75" s="914">
        <f t="shared" si="103"/>
        <v>0</v>
      </c>
      <c r="O75" s="914">
        <f t="shared" si="103"/>
        <v>372184</v>
      </c>
      <c r="P75" s="894" t="s">
        <v>1015</v>
      </c>
      <c r="Q75" s="914">
        <v>12201837</v>
      </c>
      <c r="R75" s="914">
        <v>1116554</v>
      </c>
      <c r="S75" s="914">
        <v>11085283</v>
      </c>
      <c r="T75" s="894">
        <v>1</v>
      </c>
      <c r="U75" s="914">
        <f t="shared" si="104"/>
        <v>0</v>
      </c>
      <c r="V75" s="914">
        <f t="shared" si="104"/>
        <v>372185</v>
      </c>
      <c r="W75" s="894" t="s">
        <v>1015</v>
      </c>
      <c r="X75" s="914">
        <v>12201837</v>
      </c>
      <c r="Y75" s="914">
        <v>1488739</v>
      </c>
      <c r="Z75" s="914">
        <v>10713098</v>
      </c>
      <c r="AA75" s="894">
        <v>1</v>
      </c>
      <c r="AB75" s="914">
        <f t="shared" si="105"/>
        <v>0</v>
      </c>
      <c r="AC75" s="914">
        <f t="shared" si="105"/>
        <v>372184</v>
      </c>
      <c r="AD75" s="894" t="s">
        <v>1015</v>
      </c>
      <c r="AE75" s="914">
        <v>12201837</v>
      </c>
      <c r="AF75" s="914">
        <v>1860923</v>
      </c>
      <c r="AG75" s="914">
        <v>10340914</v>
      </c>
      <c r="AH75" s="894" t="s">
        <v>943</v>
      </c>
      <c r="AI75" s="899">
        <f t="shared" si="27"/>
        <v>5083991.1699999943</v>
      </c>
      <c r="AJ75" s="898">
        <f t="shared" si="93"/>
        <v>4249533.5699999835</v>
      </c>
      <c r="AK75" s="899">
        <f t="shared" si="94"/>
        <v>476758.92000000319</v>
      </c>
      <c r="AL75" s="930" t="s">
        <v>1015</v>
      </c>
      <c r="AM75" s="906">
        <v>16451370.569999984</v>
      </c>
      <c r="AN75" s="906">
        <v>2337681.9200000032</v>
      </c>
      <c r="AO75" s="907">
        <f t="shared" si="83"/>
        <v>14113688.64999998</v>
      </c>
      <c r="AP75" s="926"/>
      <c r="AQ75" s="899">
        <f t="shared" si="84"/>
        <v>0</v>
      </c>
      <c r="AR75" s="899">
        <f t="shared" si="85"/>
        <v>529046.43999999529</v>
      </c>
      <c r="AS75" s="930" t="s">
        <v>1015</v>
      </c>
      <c r="AT75" s="906">
        <v>16451370.569999984</v>
      </c>
      <c r="AU75" s="909">
        <v>2866728.3599999985</v>
      </c>
      <c r="AV75" s="906">
        <f t="shared" si="86"/>
        <v>13584642.209999986</v>
      </c>
      <c r="AW75" s="926"/>
      <c r="AX75" s="899">
        <f t="shared" si="87"/>
        <v>680462.59000000544</v>
      </c>
      <c r="AY75" s="899">
        <f t="shared" si="88"/>
        <v>596042.79000001401</v>
      </c>
      <c r="AZ75" s="930" t="s">
        <v>1015</v>
      </c>
      <c r="BA75" s="906">
        <v>17131833.159999989</v>
      </c>
      <c r="BB75" s="909">
        <v>3462771.1500000125</v>
      </c>
      <c r="BC75" s="906">
        <f t="shared" si="89"/>
        <v>13669062.009999976</v>
      </c>
      <c r="BD75" s="926"/>
      <c r="BE75" s="1546">
        <f t="shared" si="90"/>
        <v>153995.01000000536</v>
      </c>
      <c r="BF75" s="899">
        <f t="shared" si="91"/>
        <v>587346.69999998296</v>
      </c>
      <c r="BG75" s="930" t="s">
        <v>1015</v>
      </c>
      <c r="BH75" s="909">
        <v>17285828.169999994</v>
      </c>
      <c r="BI75" s="909">
        <v>4050117.8499999954</v>
      </c>
      <c r="BJ75" s="909">
        <f t="shared" si="92"/>
        <v>13235710.319999998</v>
      </c>
      <c r="BK75" s="926"/>
      <c r="BO75" s="893" t="s">
        <v>301</v>
      </c>
      <c r="BP75" s="893" t="s">
        <v>308</v>
      </c>
      <c r="BT75" s="894"/>
      <c r="BU75" s="1533"/>
      <c r="BV75" s="1530"/>
      <c r="BW75" s="1535"/>
      <c r="BX75" s="1530"/>
    </row>
    <row r="76" spans="1:76" x14ac:dyDescent="0.25">
      <c r="C76" s="899"/>
      <c r="D76" s="899"/>
      <c r="E76" s="899"/>
      <c r="AB76" s="899">
        <f t="shared" si="105"/>
        <v>3050754</v>
      </c>
      <c r="AC76" s="899">
        <f t="shared" si="105"/>
        <v>30805</v>
      </c>
      <c r="AD76" s="893" t="s">
        <v>1016</v>
      </c>
      <c r="AE76" s="899">
        <v>3050754</v>
      </c>
      <c r="AF76" s="899">
        <v>30805</v>
      </c>
      <c r="AG76" s="899">
        <v>3019949</v>
      </c>
      <c r="AH76" s="893" t="s">
        <v>943</v>
      </c>
      <c r="AI76" s="899">
        <f t="shared" si="27"/>
        <v>98935.699999996927</v>
      </c>
      <c r="AJ76" s="898">
        <f t="shared" si="93"/>
        <v>0.23999999696388841</v>
      </c>
      <c r="AK76" s="899">
        <f t="shared" si="94"/>
        <v>123219.71999999991</v>
      </c>
      <c r="AL76" s="893" t="s">
        <v>1016</v>
      </c>
      <c r="AM76" s="916">
        <v>3050754.239999997</v>
      </c>
      <c r="AN76" s="916">
        <v>154024.71999999991</v>
      </c>
      <c r="AO76" s="907">
        <f t="shared" si="83"/>
        <v>2896729.5199999972</v>
      </c>
      <c r="AP76" s="926"/>
      <c r="AQ76" s="899">
        <f t="shared" si="84"/>
        <v>0</v>
      </c>
      <c r="AR76" s="899">
        <f t="shared" si="85"/>
        <v>123219.95000000001</v>
      </c>
      <c r="AS76" s="893" t="s">
        <v>1016</v>
      </c>
      <c r="AT76" s="917">
        <v>3050754.239999997</v>
      </c>
      <c r="AU76" s="916">
        <v>277244.66999999993</v>
      </c>
      <c r="AV76" s="906">
        <f t="shared" si="86"/>
        <v>2773509.569999997</v>
      </c>
      <c r="AW76" s="926"/>
      <c r="AX76" s="899">
        <f t="shared" si="87"/>
        <v>0</v>
      </c>
      <c r="AY76" s="899">
        <f t="shared" si="88"/>
        <v>123219.95000000001</v>
      </c>
      <c r="AZ76" s="893" t="s">
        <v>1016</v>
      </c>
      <c r="BA76" s="917">
        <v>3050754.239999997</v>
      </c>
      <c r="BB76" s="916">
        <v>400464.61999999994</v>
      </c>
      <c r="BC76" s="906">
        <f t="shared" si="89"/>
        <v>2650289.6199999969</v>
      </c>
      <c r="BD76" s="926"/>
      <c r="BE76" s="1546">
        <f t="shared" si="90"/>
        <v>98935.459999999963</v>
      </c>
      <c r="BF76" s="899">
        <f t="shared" si="91"/>
        <v>127224.45000000013</v>
      </c>
      <c r="BG76" s="893" t="s">
        <v>1016</v>
      </c>
      <c r="BH76" s="899">
        <v>3149689.6999999969</v>
      </c>
      <c r="BI76" s="899">
        <v>527689.07000000007</v>
      </c>
      <c r="BJ76" s="909">
        <f t="shared" si="92"/>
        <v>2622000.6299999971</v>
      </c>
      <c r="BK76" s="926"/>
      <c r="BO76" s="893" t="s">
        <v>301</v>
      </c>
      <c r="BP76" s="893" t="s">
        <v>308</v>
      </c>
      <c r="BT76" s="894"/>
      <c r="BU76" s="1540"/>
      <c r="BV76" s="1170"/>
      <c r="BW76" s="108"/>
      <c r="BX76" s="1530"/>
    </row>
    <row r="77" spans="1:76" x14ac:dyDescent="0.25">
      <c r="C77" s="899"/>
      <c r="D77" s="899"/>
      <c r="E77" s="899"/>
      <c r="AB77" s="899"/>
      <c r="AC77" s="899"/>
      <c r="AE77" s="899"/>
      <c r="AF77" s="899"/>
      <c r="AG77" s="899"/>
      <c r="AI77" s="899">
        <f t="shared" ref="AI77" si="106">AJ77+AQ77+AX77+BE77</f>
        <v>518816</v>
      </c>
      <c r="AJ77" s="898">
        <f t="shared" ref="AJ77" si="107">AM77-AE77</f>
        <v>0</v>
      </c>
      <c r="AK77" s="899"/>
      <c r="AM77" s="916"/>
      <c r="AN77" s="916"/>
      <c r="AO77" s="909"/>
      <c r="AP77" s="926"/>
      <c r="AQ77" s="899"/>
      <c r="AR77" s="899"/>
      <c r="AT77" s="916"/>
      <c r="AU77" s="916"/>
      <c r="AV77" s="909"/>
      <c r="AW77" s="926"/>
      <c r="AX77" s="899"/>
      <c r="AY77" s="899"/>
      <c r="BA77" s="916"/>
      <c r="BB77" s="916"/>
      <c r="BC77" s="909"/>
      <c r="BD77" s="926"/>
      <c r="BE77" s="1546">
        <f t="shared" ref="BE77" si="108">BH77-BA77</f>
        <v>518816</v>
      </c>
      <c r="BF77" s="899">
        <f t="shared" ref="BF77" si="109">BI77-BB77</f>
        <v>0</v>
      </c>
      <c r="BG77" s="895" t="s">
        <v>1807</v>
      </c>
      <c r="BH77" s="903">
        <v>518816</v>
      </c>
      <c r="BI77" s="903">
        <v>0</v>
      </c>
      <c r="BJ77" s="945">
        <f t="shared" si="92"/>
        <v>518816</v>
      </c>
      <c r="BK77" s="935" t="s">
        <v>1309</v>
      </c>
      <c r="BT77" s="894"/>
      <c r="BU77" s="1540"/>
      <c r="BV77" s="1170"/>
      <c r="BW77" s="108"/>
      <c r="BX77" s="1530"/>
    </row>
    <row r="78" spans="1:76" x14ac:dyDescent="0.25">
      <c r="C78" s="899"/>
      <c r="D78" s="899"/>
      <c r="E78" s="899"/>
      <c r="AE78" s="899"/>
      <c r="AF78" s="899"/>
      <c r="AG78" s="899"/>
      <c r="AI78" s="899"/>
      <c r="BT78" s="894"/>
    </row>
    <row r="79" spans="1:76" s="894" customFormat="1" x14ac:dyDescent="0.25">
      <c r="A79" s="893"/>
      <c r="B79" s="893" t="s">
        <v>1017</v>
      </c>
      <c r="C79" s="899">
        <v>36371067.5</v>
      </c>
      <c r="D79" s="899">
        <v>12540062.691599999</v>
      </c>
      <c r="E79" s="899">
        <v>23831004.808399998</v>
      </c>
      <c r="F79" s="893"/>
      <c r="G79" s="899">
        <f t="shared" ref="G79:H85" si="110">+J79-C79</f>
        <v>2798948.5</v>
      </c>
      <c r="H79" s="899">
        <f t="shared" si="110"/>
        <v>1605488.3084000014</v>
      </c>
      <c r="I79" s="893" t="s">
        <v>1017</v>
      </c>
      <c r="J79" s="899">
        <v>39170016</v>
      </c>
      <c r="K79" s="899">
        <v>14145551</v>
      </c>
      <c r="L79" s="899">
        <v>25024465</v>
      </c>
      <c r="M79" s="893"/>
      <c r="N79" s="899">
        <f t="shared" ref="N79:O85" si="111">+Q79-J79</f>
        <v>0</v>
      </c>
      <c r="O79" s="899">
        <f t="shared" si="111"/>
        <v>1436701</v>
      </c>
      <c r="P79" s="893" t="s">
        <v>1017</v>
      </c>
      <c r="Q79" s="899">
        <v>39170016</v>
      </c>
      <c r="R79" s="899">
        <v>15582252</v>
      </c>
      <c r="S79" s="899">
        <v>23587764</v>
      </c>
      <c r="T79" s="893"/>
      <c r="U79" s="899">
        <f t="shared" ref="U79:V85" si="112">+X79-Q79</f>
        <v>3937504</v>
      </c>
      <c r="V79" s="899">
        <f t="shared" si="112"/>
        <v>2115018</v>
      </c>
      <c r="W79" s="893" t="s">
        <v>1017</v>
      </c>
      <c r="X79" s="899">
        <v>43107520</v>
      </c>
      <c r="Y79" s="899">
        <v>17697270</v>
      </c>
      <c r="Z79" s="899">
        <v>25410250</v>
      </c>
      <c r="AA79" s="893" t="s">
        <v>766</v>
      </c>
      <c r="AB79" s="899">
        <f>+AE79-X79</f>
        <v>245000</v>
      </c>
      <c r="AC79" s="899">
        <f>+AF79-Y79</f>
        <v>1549274</v>
      </c>
      <c r="AD79" s="893" t="s">
        <v>1017</v>
      </c>
      <c r="AE79" s="899">
        <v>43352520</v>
      </c>
      <c r="AF79" s="899">
        <v>19246544</v>
      </c>
      <c r="AG79" s="899">
        <v>24105976</v>
      </c>
      <c r="AH79" s="893"/>
      <c r="AI79" s="899">
        <f t="shared" si="27"/>
        <v>5997714.7100001127</v>
      </c>
      <c r="AJ79" s="899">
        <f>AM79-AE79</f>
        <v>321142.63000011444</v>
      </c>
      <c r="AK79" s="899">
        <f t="shared" ref="AK79" si="113">AN79-AF79</f>
        <v>1699072.5400000438</v>
      </c>
      <c r="AL79" s="928" t="s">
        <v>1017</v>
      </c>
      <c r="AM79" s="902">
        <f>SUM(AM80:AM85)</f>
        <v>43673662.630000114</v>
      </c>
      <c r="AN79" s="902">
        <f>SUM(AN80:AN85)</f>
        <v>20945616.540000044</v>
      </c>
      <c r="AO79" s="918">
        <f>SUM(AO80:AO85)</f>
        <v>22728046.090000071</v>
      </c>
      <c r="AP79" s="926"/>
      <c r="AQ79" s="899">
        <f t="shared" ref="AQ79" si="114">AT79-AM79</f>
        <v>1586913.1200000048</v>
      </c>
      <c r="AR79" s="899">
        <f t="shared" ref="AR79" si="115">AU79-AN79</f>
        <v>1470349.5699998811</v>
      </c>
      <c r="AS79" s="928" t="s">
        <v>1017</v>
      </c>
      <c r="AT79" s="902">
        <f>SUM(AT80:AT85)</f>
        <v>45260575.750000119</v>
      </c>
      <c r="AU79" s="910">
        <f>SUM(AU80:AU85)</f>
        <v>22415966.109999925</v>
      </c>
      <c r="AV79" s="902">
        <f>SUM(AV80:AV85)</f>
        <v>22844609.640000187</v>
      </c>
      <c r="AW79" s="926"/>
      <c r="AX79" s="899">
        <f>BA79-AT79</f>
        <v>154871.46999999881</v>
      </c>
      <c r="AY79" s="899">
        <f t="shared" ref="AY79" si="116">BB79-AU79</f>
        <v>1402689.1400000416</v>
      </c>
      <c r="AZ79" s="928" t="s">
        <v>1017</v>
      </c>
      <c r="BA79" s="902">
        <f>SUM(BA80:BA85)</f>
        <v>45415447.220000118</v>
      </c>
      <c r="BB79" s="910">
        <f>SUM(BB80:BB85)</f>
        <v>23818655.249999966</v>
      </c>
      <c r="BC79" s="902">
        <f>SUM(BC80:BC85)</f>
        <v>21596791.970000144</v>
      </c>
      <c r="BD79" s="926"/>
      <c r="BE79" s="899">
        <f t="shared" ref="BE79" si="117">BH79-BA79</f>
        <v>3934787.4899999946</v>
      </c>
      <c r="BF79" s="899">
        <f t="shared" ref="BF79" si="118">BI79-BB79</f>
        <v>1524277.0299999788</v>
      </c>
      <c r="BG79" s="928" t="s">
        <v>1017</v>
      </c>
      <c r="BH79" s="910">
        <f>SUM(BH80:BH85)</f>
        <v>49350234.710000113</v>
      </c>
      <c r="BI79" s="910">
        <f>SUM(BI80:BI85)</f>
        <v>25342932.279999945</v>
      </c>
      <c r="BJ79" s="910">
        <f>SUM(BJ80:BJ85)</f>
        <v>24007302.430000167</v>
      </c>
      <c r="BK79" s="926"/>
      <c r="BU79" s="893"/>
      <c r="BV79" s="893"/>
      <c r="BW79" s="893"/>
      <c r="BX79" s="893"/>
    </row>
    <row r="80" spans="1:76" x14ac:dyDescent="0.25">
      <c r="B80" s="893" t="s">
        <v>1018</v>
      </c>
      <c r="C80" s="899">
        <v>6547037.1999999965</v>
      </c>
      <c r="D80" s="899">
        <v>4273185.22</v>
      </c>
      <c r="E80" s="899">
        <v>2273851.9799999967</v>
      </c>
      <c r="G80" s="899">
        <f t="shared" si="110"/>
        <v>156091.80000000354</v>
      </c>
      <c r="H80" s="899">
        <f t="shared" si="110"/>
        <v>213806.78000000026</v>
      </c>
      <c r="I80" s="893" t="s">
        <v>1018</v>
      </c>
      <c r="J80" s="899">
        <v>6703129</v>
      </c>
      <c r="K80" s="899">
        <v>4486992</v>
      </c>
      <c r="L80" s="899">
        <v>2216138</v>
      </c>
      <c r="N80" s="899">
        <f t="shared" si="111"/>
        <v>0</v>
      </c>
      <c r="O80" s="899">
        <f t="shared" si="111"/>
        <v>173172</v>
      </c>
      <c r="P80" s="893" t="s">
        <v>1018</v>
      </c>
      <c r="Q80" s="899">
        <v>6703129</v>
      </c>
      <c r="R80" s="899">
        <v>4660164</v>
      </c>
      <c r="S80" s="899">
        <v>2042965</v>
      </c>
      <c r="U80" s="899">
        <f t="shared" si="112"/>
        <v>229487</v>
      </c>
      <c r="V80" s="899">
        <f t="shared" si="112"/>
        <v>199824</v>
      </c>
      <c r="W80" s="893" t="s">
        <v>1018</v>
      </c>
      <c r="X80" s="899">
        <v>6932616</v>
      </c>
      <c r="Y80" s="899">
        <v>4859988</v>
      </c>
      <c r="Z80" s="899">
        <v>2072628</v>
      </c>
      <c r="AB80" s="899">
        <f t="shared" ref="AB80:AC85" si="119">+AE80-X80</f>
        <v>0</v>
      </c>
      <c r="AC80" s="899">
        <f t="shared" si="119"/>
        <v>180156</v>
      </c>
      <c r="AD80" s="893" t="s">
        <v>1018</v>
      </c>
      <c r="AE80" s="899">
        <v>6932616</v>
      </c>
      <c r="AF80" s="899">
        <v>5040144</v>
      </c>
      <c r="AG80" s="899">
        <v>1892472</v>
      </c>
      <c r="AI80" s="899">
        <f t="shared" si="27"/>
        <v>2113669.3700000308</v>
      </c>
      <c r="AJ80" s="898">
        <f t="shared" ref="AJ80:AK85" si="120">AM80-AE80</f>
        <v>4.000003170222044E-2</v>
      </c>
      <c r="AK80" s="899">
        <f t="shared" si="120"/>
        <v>180154.88000004366</v>
      </c>
      <c r="AL80" s="930" t="s">
        <v>1018</v>
      </c>
      <c r="AM80" s="906">
        <v>6932616.0400000317</v>
      </c>
      <c r="AN80" s="906">
        <v>5220298.8800000437</v>
      </c>
      <c r="AO80" s="907">
        <f t="shared" ref="AO80:AO85" si="121">+AM80-AN80</f>
        <v>1712317.159999988</v>
      </c>
      <c r="AP80" s="926"/>
      <c r="AQ80" s="899">
        <f t="shared" ref="AQ80:AQ85" si="122">AT80-AM80</f>
        <v>-45543.480000000447</v>
      </c>
      <c r="AR80" s="899">
        <f t="shared" ref="AR80:AR85" si="123">AU80-AN80</f>
        <v>79460.239999919198</v>
      </c>
      <c r="AS80" s="930" t="s">
        <v>1018</v>
      </c>
      <c r="AT80" s="906">
        <v>6887072.5600000313</v>
      </c>
      <c r="AU80" s="909">
        <v>5299759.1199999629</v>
      </c>
      <c r="AV80" s="906">
        <f t="shared" ref="AV80:AV85" si="124">+AT80-AU80</f>
        <v>1587313.4400000684</v>
      </c>
      <c r="AW80" s="926"/>
      <c r="AX80" s="899">
        <f t="shared" ref="AX80:AX85" si="125">BA80-AT80</f>
        <v>0</v>
      </c>
      <c r="AY80" s="899">
        <f t="shared" ref="AY80:AY85" si="126">BB80-AU80</f>
        <v>100422.45000001416</v>
      </c>
      <c r="AZ80" s="930" t="s">
        <v>1018</v>
      </c>
      <c r="BA80" s="906">
        <v>6887072.5600000313</v>
      </c>
      <c r="BB80" s="909">
        <v>5400181.569999977</v>
      </c>
      <c r="BC80" s="906">
        <f t="shared" ref="BC80:BC85" si="127">+BA80-BB80</f>
        <v>1486890.9900000542</v>
      </c>
      <c r="BD80" s="926"/>
      <c r="BE80" s="1546">
        <f t="shared" ref="BE80:BE85" si="128">BH80-BA80</f>
        <v>2159212.8099999996</v>
      </c>
      <c r="BF80" s="899">
        <f t="shared" ref="BF80:BF85" si="129">BI80-BB80</f>
        <v>146780.66999997757</v>
      </c>
      <c r="BG80" s="930" t="s">
        <v>1018</v>
      </c>
      <c r="BH80" s="909">
        <v>9046285.3700000308</v>
      </c>
      <c r="BI80" s="909">
        <v>5546962.2399999546</v>
      </c>
      <c r="BJ80" s="909">
        <f t="shared" ref="BJ80:BJ85" si="130">+BH80-BI80</f>
        <v>3499323.1300000763</v>
      </c>
      <c r="BK80" s="926"/>
      <c r="BO80" s="893" t="s">
        <v>301</v>
      </c>
      <c r="BP80" s="893" t="s">
        <v>308</v>
      </c>
      <c r="BT80" s="894"/>
    </row>
    <row r="81" spans="1:76" x14ac:dyDescent="0.25">
      <c r="A81" s="894"/>
      <c r="B81" s="894" t="s">
        <v>1019</v>
      </c>
      <c r="C81" s="914">
        <v>3532168.7600000007</v>
      </c>
      <c r="D81" s="914">
        <v>2832699.62</v>
      </c>
      <c r="E81" s="914">
        <v>699469.1400000006</v>
      </c>
      <c r="F81" s="894">
        <v>1</v>
      </c>
      <c r="G81" s="914">
        <f t="shared" si="110"/>
        <v>3871320.2399999993</v>
      </c>
      <c r="H81" s="914">
        <f t="shared" si="110"/>
        <v>446856.37999999989</v>
      </c>
      <c r="I81" s="894" t="s">
        <v>1019</v>
      </c>
      <c r="J81" s="914">
        <v>7403489</v>
      </c>
      <c r="K81" s="914">
        <v>3279556</v>
      </c>
      <c r="L81" s="914">
        <v>4123933</v>
      </c>
      <c r="M81" s="894">
        <v>1</v>
      </c>
      <c r="N81" s="914">
        <f t="shared" si="111"/>
        <v>0</v>
      </c>
      <c r="O81" s="914">
        <f t="shared" si="111"/>
        <v>395785</v>
      </c>
      <c r="P81" s="894" t="s">
        <v>1019</v>
      </c>
      <c r="Q81" s="914">
        <v>7403489</v>
      </c>
      <c r="R81" s="914">
        <v>3675341</v>
      </c>
      <c r="S81" s="914">
        <v>3728149</v>
      </c>
      <c r="T81" s="894">
        <v>1</v>
      </c>
      <c r="U81" s="914">
        <f t="shared" si="112"/>
        <v>0</v>
      </c>
      <c r="V81" s="914">
        <f t="shared" si="112"/>
        <v>364882</v>
      </c>
      <c r="W81" s="894" t="s">
        <v>1019</v>
      </c>
      <c r="X81" s="914">
        <v>7403489</v>
      </c>
      <c r="Y81" s="914">
        <v>4040223</v>
      </c>
      <c r="Z81" s="914">
        <v>3363267</v>
      </c>
      <c r="AA81" s="894">
        <v>1</v>
      </c>
      <c r="AB81" s="914">
        <f t="shared" si="119"/>
        <v>191908</v>
      </c>
      <c r="AC81" s="914">
        <f t="shared" si="119"/>
        <v>215696</v>
      </c>
      <c r="AD81" s="894" t="s">
        <v>1019</v>
      </c>
      <c r="AE81" s="914">
        <v>7595397</v>
      </c>
      <c r="AF81" s="914">
        <v>4255919</v>
      </c>
      <c r="AG81" s="914">
        <v>3339478</v>
      </c>
      <c r="AH81" s="894"/>
      <c r="AI81" s="899">
        <f t="shared" ref="AI81:AI125" si="131">AJ81+AQ81+AX81+BE81</f>
        <v>581302.36000000499</v>
      </c>
      <c r="AJ81" s="898">
        <f t="shared" si="120"/>
        <v>-41014.079999996349</v>
      </c>
      <c r="AK81" s="899">
        <f t="shared" si="120"/>
        <v>175304.26000000071</v>
      </c>
      <c r="AL81" s="930" t="s">
        <v>1019</v>
      </c>
      <c r="AM81" s="906">
        <v>7554382.9200000037</v>
      </c>
      <c r="AN81" s="906">
        <v>4431223.2600000007</v>
      </c>
      <c r="AO81" s="907">
        <f t="shared" si="121"/>
        <v>3123159.6600000029</v>
      </c>
      <c r="AP81" s="926"/>
      <c r="AQ81" s="899">
        <f t="shared" si="122"/>
        <v>0</v>
      </c>
      <c r="AR81" s="899">
        <f t="shared" si="123"/>
        <v>148167.49000000209</v>
      </c>
      <c r="AS81" s="930" t="s">
        <v>1019</v>
      </c>
      <c r="AT81" s="906">
        <v>7554382.9200000037</v>
      </c>
      <c r="AU81" s="909">
        <v>4579390.7500000028</v>
      </c>
      <c r="AV81" s="906">
        <f t="shared" si="124"/>
        <v>2974992.1700000009</v>
      </c>
      <c r="AW81" s="926"/>
      <c r="AX81" s="899">
        <f t="shared" si="125"/>
        <v>0</v>
      </c>
      <c r="AY81" s="899">
        <f t="shared" si="126"/>
        <v>134431.1500000013</v>
      </c>
      <c r="AZ81" s="930" t="s">
        <v>1019</v>
      </c>
      <c r="BA81" s="906">
        <v>7554382.9200000037</v>
      </c>
      <c r="BB81" s="909">
        <v>4713821.9000000041</v>
      </c>
      <c r="BC81" s="906">
        <f t="shared" si="127"/>
        <v>2840561.0199999996</v>
      </c>
      <c r="BD81" s="926"/>
      <c r="BE81" s="1546">
        <f t="shared" si="128"/>
        <v>622316.44000000134</v>
      </c>
      <c r="BF81" s="899">
        <f t="shared" si="129"/>
        <v>211404.97999999952</v>
      </c>
      <c r="BG81" s="930" t="s">
        <v>1019</v>
      </c>
      <c r="BH81" s="909">
        <v>8176699.360000005</v>
      </c>
      <c r="BI81" s="909">
        <v>4925226.8800000036</v>
      </c>
      <c r="BJ81" s="909">
        <f t="shared" si="130"/>
        <v>3251472.4800000014</v>
      </c>
      <c r="BK81" s="926"/>
      <c r="BO81" s="893" t="s">
        <v>301</v>
      </c>
      <c r="BP81" s="893" t="s">
        <v>308</v>
      </c>
      <c r="BT81" s="894"/>
    </row>
    <row r="82" spans="1:76" x14ac:dyDescent="0.25">
      <c r="B82" s="893" t="s">
        <v>1020</v>
      </c>
      <c r="C82" s="899">
        <v>1099317.24</v>
      </c>
      <c r="D82" s="899">
        <v>454775.17800000001</v>
      </c>
      <c r="E82" s="899">
        <v>644542.06199999992</v>
      </c>
      <c r="G82" s="899">
        <f t="shared" si="110"/>
        <v>-608526.24</v>
      </c>
      <c r="H82" s="899">
        <f t="shared" si="110"/>
        <v>-397516.17800000001</v>
      </c>
      <c r="I82" s="893" t="s">
        <v>1020</v>
      </c>
      <c r="J82" s="899">
        <v>490791</v>
      </c>
      <c r="K82" s="899">
        <v>57259</v>
      </c>
      <c r="L82" s="899">
        <v>433532</v>
      </c>
      <c r="N82" s="899">
        <f t="shared" si="111"/>
        <v>0</v>
      </c>
      <c r="O82" s="899">
        <f t="shared" si="111"/>
        <v>14023</v>
      </c>
      <c r="P82" s="893" t="s">
        <v>1020</v>
      </c>
      <c r="Q82" s="899">
        <v>490791</v>
      </c>
      <c r="R82" s="899">
        <v>71282</v>
      </c>
      <c r="S82" s="899">
        <v>419510</v>
      </c>
      <c r="U82" s="899">
        <f t="shared" si="112"/>
        <v>0</v>
      </c>
      <c r="V82" s="899">
        <f t="shared" si="112"/>
        <v>14022</v>
      </c>
      <c r="W82" s="893" t="s">
        <v>1020</v>
      </c>
      <c r="X82" s="899">
        <v>490791</v>
      </c>
      <c r="Y82" s="899">
        <v>85304</v>
      </c>
      <c r="Z82" s="899">
        <v>405487</v>
      </c>
      <c r="AB82" s="899">
        <f t="shared" si="119"/>
        <v>0</v>
      </c>
      <c r="AC82" s="899">
        <f t="shared" si="119"/>
        <v>14023</v>
      </c>
      <c r="AD82" s="893" t="s">
        <v>1020</v>
      </c>
      <c r="AE82" s="899">
        <v>490791</v>
      </c>
      <c r="AF82" s="899">
        <v>99327</v>
      </c>
      <c r="AG82" s="899">
        <v>391464</v>
      </c>
      <c r="AH82" s="893" t="s">
        <v>467</v>
      </c>
      <c r="AI82" s="899">
        <f t="shared" si="131"/>
        <v>8.0000000016298145E-2</v>
      </c>
      <c r="AJ82" s="899">
        <f t="shared" si="120"/>
        <v>8.0000000016298145E-2</v>
      </c>
      <c r="AK82" s="899">
        <f t="shared" si="120"/>
        <v>14022.349999999991</v>
      </c>
      <c r="AL82" s="930" t="s">
        <v>1020</v>
      </c>
      <c r="AM82" s="906">
        <v>490791.08</v>
      </c>
      <c r="AN82" s="906">
        <v>113349.34999999999</v>
      </c>
      <c r="AO82" s="907">
        <f t="shared" si="121"/>
        <v>377441.73000000004</v>
      </c>
      <c r="AP82" s="926"/>
      <c r="AQ82" s="899">
        <f t="shared" si="122"/>
        <v>0</v>
      </c>
      <c r="AR82" s="899">
        <f t="shared" si="123"/>
        <v>14022.600000000006</v>
      </c>
      <c r="AS82" s="930" t="s">
        <v>1020</v>
      </c>
      <c r="AT82" s="906">
        <v>490791.08</v>
      </c>
      <c r="AU82" s="909">
        <v>127371.95</v>
      </c>
      <c r="AV82" s="906">
        <f t="shared" si="124"/>
        <v>363419.13</v>
      </c>
      <c r="AW82" s="926"/>
      <c r="AX82" s="899">
        <f t="shared" si="125"/>
        <v>0</v>
      </c>
      <c r="AY82" s="899">
        <f t="shared" si="126"/>
        <v>14022.599999999991</v>
      </c>
      <c r="AZ82" s="930" t="s">
        <v>1020</v>
      </c>
      <c r="BA82" s="906">
        <v>490791.08</v>
      </c>
      <c r="BB82" s="909">
        <v>141394.54999999999</v>
      </c>
      <c r="BC82" s="906">
        <f t="shared" si="127"/>
        <v>349396.53</v>
      </c>
      <c r="BD82" s="926" t="s">
        <v>467</v>
      </c>
      <c r="BE82" s="899">
        <f t="shared" si="128"/>
        <v>0</v>
      </c>
      <c r="BF82" s="899">
        <f t="shared" si="129"/>
        <v>14022.600000000006</v>
      </c>
      <c r="BG82" s="930" t="s">
        <v>1020</v>
      </c>
      <c r="BH82" s="909">
        <v>490791.08</v>
      </c>
      <c r="BI82" s="909">
        <v>155417.15</v>
      </c>
      <c r="BJ82" s="909">
        <f t="shared" si="130"/>
        <v>335373.93000000005</v>
      </c>
      <c r="BK82" s="926" t="s">
        <v>467</v>
      </c>
      <c r="BO82" s="893" t="s">
        <v>301</v>
      </c>
      <c r="BP82" s="893" t="s">
        <v>308</v>
      </c>
      <c r="BT82" s="894"/>
    </row>
    <row r="83" spans="1:76" x14ac:dyDescent="0.25">
      <c r="B83" s="893" t="s">
        <v>1021</v>
      </c>
      <c r="C83" s="899">
        <v>5384869.3099999996</v>
      </c>
      <c r="D83" s="899">
        <v>568997.9436</v>
      </c>
      <c r="E83" s="899">
        <v>4815871.3663999997</v>
      </c>
      <c r="G83" s="899">
        <f t="shared" si="110"/>
        <v>-1214456.3099999996</v>
      </c>
      <c r="H83" s="899">
        <f t="shared" si="110"/>
        <v>-7322.9435999999987</v>
      </c>
      <c r="I83" s="893" t="s">
        <v>1021</v>
      </c>
      <c r="J83" s="899">
        <v>4170413</v>
      </c>
      <c r="K83" s="899">
        <v>561675</v>
      </c>
      <c r="L83" s="899">
        <v>3608738</v>
      </c>
      <c r="N83" s="899">
        <f t="shared" si="111"/>
        <v>0</v>
      </c>
      <c r="O83" s="899">
        <f t="shared" si="111"/>
        <v>133032</v>
      </c>
      <c r="P83" s="893" t="s">
        <v>1021</v>
      </c>
      <c r="Q83" s="899">
        <v>4170413</v>
      </c>
      <c r="R83" s="899">
        <v>694707</v>
      </c>
      <c r="S83" s="899">
        <v>3475706</v>
      </c>
      <c r="U83" s="899">
        <f t="shared" si="112"/>
        <v>2516663</v>
      </c>
      <c r="V83" s="899">
        <f t="shared" si="112"/>
        <v>809352</v>
      </c>
      <c r="W83" s="893" t="s">
        <v>1021</v>
      </c>
      <c r="X83" s="899">
        <v>6687076</v>
      </c>
      <c r="Y83" s="899">
        <v>1504059</v>
      </c>
      <c r="Z83" s="899">
        <v>5183018</v>
      </c>
      <c r="AB83" s="899">
        <f t="shared" si="119"/>
        <v>0</v>
      </c>
      <c r="AC83" s="899">
        <f t="shared" si="119"/>
        <v>375757</v>
      </c>
      <c r="AD83" s="893" t="s">
        <v>1021</v>
      </c>
      <c r="AE83" s="899">
        <v>6687076</v>
      </c>
      <c r="AF83" s="899">
        <v>1879816</v>
      </c>
      <c r="AG83" s="899">
        <v>4807260</v>
      </c>
      <c r="AI83" s="899">
        <f t="shared" si="131"/>
        <v>3210383.7600000501</v>
      </c>
      <c r="AJ83" s="898">
        <f t="shared" si="120"/>
        <v>362157.31000004895</v>
      </c>
      <c r="AK83" s="899">
        <f t="shared" si="120"/>
        <v>566096.91999998642</v>
      </c>
      <c r="AL83" s="930" t="s">
        <v>1021</v>
      </c>
      <c r="AM83" s="906">
        <v>7049233.310000049</v>
      </c>
      <c r="AN83" s="906">
        <v>2445912.9199999864</v>
      </c>
      <c r="AO83" s="907">
        <f t="shared" si="121"/>
        <v>4603320.3900000621</v>
      </c>
      <c r="AQ83" s="899">
        <f t="shared" si="122"/>
        <v>1632456.6000000015</v>
      </c>
      <c r="AR83" s="899">
        <f t="shared" si="123"/>
        <v>465205.0599999805</v>
      </c>
      <c r="AS83" s="930" t="s">
        <v>1021</v>
      </c>
      <c r="AT83" s="906">
        <v>8681689.9100000504</v>
      </c>
      <c r="AU83" s="909">
        <v>2911117.9799999669</v>
      </c>
      <c r="AV83" s="906">
        <f t="shared" si="124"/>
        <v>5770571.9300000835</v>
      </c>
      <c r="AW83" s="926"/>
      <c r="AX83" s="899">
        <f t="shared" si="125"/>
        <v>154871.46999999881</v>
      </c>
      <c r="AY83" s="899">
        <f t="shared" si="126"/>
        <v>405465.14000001224</v>
      </c>
      <c r="AZ83" s="930" t="s">
        <v>1021</v>
      </c>
      <c r="BA83" s="906">
        <v>8836561.3800000492</v>
      </c>
      <c r="BB83" s="909">
        <v>3316583.1199999792</v>
      </c>
      <c r="BC83" s="906">
        <f t="shared" si="127"/>
        <v>5519978.2600000706</v>
      </c>
      <c r="BD83" s="926"/>
      <c r="BE83" s="1546">
        <f t="shared" si="128"/>
        <v>1060898.3800000008</v>
      </c>
      <c r="BF83" s="899">
        <f t="shared" si="129"/>
        <v>394484.82000000356</v>
      </c>
      <c r="BG83" s="930" t="s">
        <v>1021</v>
      </c>
      <c r="BH83" s="909">
        <v>9897459.7600000501</v>
      </c>
      <c r="BI83" s="909">
        <v>3711067.9399999827</v>
      </c>
      <c r="BJ83" s="909">
        <f t="shared" si="130"/>
        <v>6186391.8200000674</v>
      </c>
      <c r="BK83" s="926"/>
      <c r="BO83" s="893" t="s">
        <v>301</v>
      </c>
      <c r="BP83" s="893" t="s">
        <v>308</v>
      </c>
      <c r="BT83" s="894"/>
    </row>
    <row r="84" spans="1:76" x14ac:dyDescent="0.25">
      <c r="B84" s="893" t="s">
        <v>1022</v>
      </c>
      <c r="C84" s="899">
        <v>12693046.850000001</v>
      </c>
      <c r="D84" s="899">
        <v>2802841.61</v>
      </c>
      <c r="E84" s="899">
        <v>9890205.2400000021</v>
      </c>
      <c r="G84" s="899">
        <f t="shared" si="110"/>
        <v>594518.14999999851</v>
      </c>
      <c r="H84" s="899">
        <f t="shared" si="110"/>
        <v>1060982.3900000001</v>
      </c>
      <c r="I84" s="893" t="s">
        <v>1022</v>
      </c>
      <c r="J84" s="899">
        <v>13287565</v>
      </c>
      <c r="K84" s="899">
        <v>3863824</v>
      </c>
      <c r="L84" s="899">
        <v>9423741</v>
      </c>
      <c r="N84" s="899">
        <f t="shared" si="111"/>
        <v>0</v>
      </c>
      <c r="O84" s="899">
        <f t="shared" si="111"/>
        <v>462481</v>
      </c>
      <c r="P84" s="893" t="s">
        <v>1022</v>
      </c>
      <c r="Q84" s="899">
        <v>13287565</v>
      </c>
      <c r="R84" s="899">
        <v>4326305</v>
      </c>
      <c r="S84" s="899">
        <v>8961260</v>
      </c>
      <c r="U84" s="899">
        <f t="shared" si="112"/>
        <v>1191355</v>
      </c>
      <c r="V84" s="899">
        <f t="shared" si="112"/>
        <v>468730</v>
      </c>
      <c r="W84" s="893" t="s">
        <v>1022</v>
      </c>
      <c r="X84" s="899">
        <v>14478920</v>
      </c>
      <c r="Y84" s="899">
        <v>4795035</v>
      </c>
      <c r="Z84" s="899">
        <v>9683885</v>
      </c>
      <c r="AB84" s="899">
        <f t="shared" si="119"/>
        <v>53091</v>
      </c>
      <c r="AC84" s="899">
        <f t="shared" si="119"/>
        <v>505433</v>
      </c>
      <c r="AD84" s="893" t="s">
        <v>1022</v>
      </c>
      <c r="AE84" s="899">
        <v>14532011</v>
      </c>
      <c r="AF84" s="899">
        <v>5300468</v>
      </c>
      <c r="AG84" s="899">
        <v>9231543</v>
      </c>
      <c r="AH84" s="893" t="s">
        <v>1023</v>
      </c>
      <c r="AI84" s="899">
        <f t="shared" si="131"/>
        <v>0.14000003226101398</v>
      </c>
      <c r="AJ84" s="899">
        <f t="shared" si="120"/>
        <v>0.14000003226101398</v>
      </c>
      <c r="AK84" s="899">
        <f t="shared" si="120"/>
        <v>505285.33000000846</v>
      </c>
      <c r="AL84" s="930" t="s">
        <v>1022</v>
      </c>
      <c r="AM84" s="906">
        <v>14532011.140000032</v>
      </c>
      <c r="AN84" s="906">
        <v>5805753.3300000085</v>
      </c>
      <c r="AO84" s="907">
        <f t="shared" si="121"/>
        <v>8726257.8100000247</v>
      </c>
      <c r="AQ84" s="899">
        <f t="shared" si="122"/>
        <v>0</v>
      </c>
      <c r="AR84" s="899">
        <f t="shared" si="123"/>
        <v>505285.75999998953</v>
      </c>
      <c r="AS84" s="930" t="s">
        <v>1022</v>
      </c>
      <c r="AT84" s="906">
        <v>14532011.140000032</v>
      </c>
      <c r="AU84" s="909">
        <v>6311039.089999998</v>
      </c>
      <c r="AV84" s="906">
        <f t="shared" si="124"/>
        <v>8220972.0500000343</v>
      </c>
      <c r="AW84" s="926"/>
      <c r="AX84" s="899">
        <f t="shared" si="125"/>
        <v>0</v>
      </c>
      <c r="AY84" s="899">
        <f t="shared" si="126"/>
        <v>490139.38000000641</v>
      </c>
      <c r="AZ84" s="930" t="s">
        <v>1022</v>
      </c>
      <c r="BA84" s="906">
        <v>14532011.140000032</v>
      </c>
      <c r="BB84" s="909">
        <v>6801178.4700000044</v>
      </c>
      <c r="BC84" s="906">
        <f t="shared" si="127"/>
        <v>7730832.6700000279</v>
      </c>
      <c r="BD84" s="926" t="s">
        <v>1023</v>
      </c>
      <c r="BE84" s="899">
        <f t="shared" si="128"/>
        <v>0</v>
      </c>
      <c r="BF84" s="899">
        <f t="shared" si="129"/>
        <v>490139.38000000175</v>
      </c>
      <c r="BG84" s="930" t="s">
        <v>1022</v>
      </c>
      <c r="BH84" s="909">
        <v>14532011.140000032</v>
      </c>
      <c r="BI84" s="909">
        <v>7291317.8500000061</v>
      </c>
      <c r="BJ84" s="909">
        <f t="shared" si="130"/>
        <v>7240693.2900000261</v>
      </c>
      <c r="BK84" s="926" t="s">
        <v>1023</v>
      </c>
      <c r="BO84" s="893" t="s">
        <v>301</v>
      </c>
      <c r="BP84" s="893" t="s">
        <v>308</v>
      </c>
      <c r="BT84" s="894"/>
    </row>
    <row r="85" spans="1:76" x14ac:dyDescent="0.25">
      <c r="B85" s="893" t="s">
        <v>1024</v>
      </c>
      <c r="C85" s="899">
        <v>7114628.1400000006</v>
      </c>
      <c r="D85" s="899">
        <v>1607563.12</v>
      </c>
      <c r="E85" s="899">
        <v>5507065.0200000005</v>
      </c>
      <c r="G85" s="899">
        <f t="shared" si="110"/>
        <v>-0.14000000059604645</v>
      </c>
      <c r="H85" s="899">
        <f t="shared" si="110"/>
        <v>288681.87999999989</v>
      </c>
      <c r="I85" s="893" t="s">
        <v>1024</v>
      </c>
      <c r="J85" s="899">
        <v>7114628</v>
      </c>
      <c r="K85" s="899">
        <v>1896245</v>
      </c>
      <c r="L85" s="899">
        <v>5218383</v>
      </c>
      <c r="N85" s="899">
        <f t="shared" si="111"/>
        <v>0</v>
      </c>
      <c r="O85" s="899">
        <f t="shared" si="111"/>
        <v>258209</v>
      </c>
      <c r="P85" s="893" t="s">
        <v>1024</v>
      </c>
      <c r="Q85" s="899">
        <v>7114628</v>
      </c>
      <c r="R85" s="899">
        <v>2154454</v>
      </c>
      <c r="S85" s="899">
        <v>4960175</v>
      </c>
      <c r="U85" s="899">
        <f t="shared" si="112"/>
        <v>0</v>
      </c>
      <c r="V85" s="899">
        <f t="shared" si="112"/>
        <v>258208</v>
      </c>
      <c r="W85" s="893" t="s">
        <v>1024</v>
      </c>
      <c r="X85" s="899">
        <v>7114628</v>
      </c>
      <c r="Y85" s="899">
        <v>2412662</v>
      </c>
      <c r="Z85" s="899">
        <v>4701966</v>
      </c>
      <c r="AB85" s="899">
        <f t="shared" si="119"/>
        <v>0</v>
      </c>
      <c r="AC85" s="899">
        <f t="shared" si="119"/>
        <v>258208</v>
      </c>
      <c r="AD85" s="893" t="s">
        <v>1024</v>
      </c>
      <c r="AE85" s="899">
        <v>7114628</v>
      </c>
      <c r="AF85" s="899">
        <v>2670870</v>
      </c>
      <c r="AG85" s="899">
        <v>4443758</v>
      </c>
      <c r="AI85" s="899">
        <f t="shared" si="131"/>
        <v>92359.999999997206</v>
      </c>
      <c r="AJ85" s="899">
        <f t="shared" si="120"/>
        <v>0.13999999687075615</v>
      </c>
      <c r="AK85" s="899">
        <f t="shared" si="120"/>
        <v>258208.800000004</v>
      </c>
      <c r="AL85" s="930" t="s">
        <v>1024</v>
      </c>
      <c r="AM85" s="906">
        <v>7114628.1399999969</v>
      </c>
      <c r="AN85" s="906">
        <v>2929078.800000004</v>
      </c>
      <c r="AO85" s="907">
        <f t="shared" si="121"/>
        <v>4185549.3399999929</v>
      </c>
      <c r="AQ85" s="899">
        <f t="shared" si="122"/>
        <v>0</v>
      </c>
      <c r="AR85" s="899">
        <f t="shared" si="123"/>
        <v>258208.41999998968</v>
      </c>
      <c r="AS85" s="930" t="s">
        <v>1024</v>
      </c>
      <c r="AT85" s="906">
        <v>7114628.1399999969</v>
      </c>
      <c r="AU85" s="909">
        <v>3187287.2199999937</v>
      </c>
      <c r="AV85" s="906">
        <f t="shared" si="124"/>
        <v>3927340.9200000032</v>
      </c>
      <c r="AX85" s="899">
        <f t="shared" si="125"/>
        <v>0</v>
      </c>
      <c r="AY85" s="899">
        <f t="shared" si="126"/>
        <v>258208.42000001157</v>
      </c>
      <c r="AZ85" s="930" t="s">
        <v>1024</v>
      </c>
      <c r="BA85" s="906">
        <v>7114628.1399999969</v>
      </c>
      <c r="BB85" s="909">
        <v>3445495.6400000053</v>
      </c>
      <c r="BC85" s="906">
        <f t="shared" si="127"/>
        <v>3669132.4999999916</v>
      </c>
      <c r="BD85" s="926"/>
      <c r="BE85" s="1546">
        <f t="shared" si="128"/>
        <v>92359.860000000335</v>
      </c>
      <c r="BF85" s="899">
        <f t="shared" si="129"/>
        <v>267444.57999999449</v>
      </c>
      <c r="BG85" s="930" t="s">
        <v>1024</v>
      </c>
      <c r="BH85" s="909">
        <v>7206987.9999999972</v>
      </c>
      <c r="BI85" s="909">
        <v>3712940.2199999997</v>
      </c>
      <c r="BJ85" s="909">
        <f t="shared" si="130"/>
        <v>3494047.7799999975</v>
      </c>
      <c r="BK85" s="926"/>
      <c r="BO85" s="893" t="s">
        <v>301</v>
      </c>
      <c r="BP85" s="893" t="s">
        <v>308</v>
      </c>
      <c r="BT85" s="894"/>
    </row>
    <row r="86" spans="1:76" s="897" customFormat="1" x14ac:dyDescent="0.25">
      <c r="A86" s="893"/>
      <c r="B86" s="893"/>
      <c r="C86" s="899"/>
      <c r="D86" s="899"/>
      <c r="E86" s="899"/>
      <c r="F86" s="893"/>
      <c r="G86" s="893"/>
      <c r="H86" s="893"/>
      <c r="I86" s="893"/>
      <c r="J86" s="893"/>
      <c r="K86" s="893"/>
      <c r="L86" s="893"/>
      <c r="M86" s="893"/>
      <c r="N86" s="893"/>
      <c r="O86" s="893"/>
      <c r="P86" s="893"/>
      <c r="Q86" s="899"/>
      <c r="R86" s="899"/>
      <c r="S86" s="899"/>
      <c r="T86" s="893"/>
      <c r="U86" s="893"/>
      <c r="V86" s="893"/>
      <c r="W86" s="893"/>
      <c r="X86" s="899"/>
      <c r="Y86" s="899"/>
      <c r="Z86" s="899"/>
      <c r="AA86" s="893"/>
      <c r="AB86" s="893"/>
      <c r="AC86" s="893"/>
      <c r="AD86" s="893"/>
      <c r="AE86" s="893"/>
      <c r="AF86" s="893"/>
      <c r="AG86" s="893"/>
      <c r="AH86" s="893"/>
      <c r="AI86" s="899"/>
      <c r="AJ86" s="893"/>
      <c r="AK86" s="893"/>
      <c r="AL86" s="893"/>
      <c r="AM86" s="893"/>
      <c r="AN86" s="893"/>
      <c r="AO86" s="893"/>
      <c r="AP86" s="893"/>
      <c r="AQ86" s="893"/>
      <c r="AR86" s="893"/>
      <c r="AS86" s="893"/>
      <c r="AT86" s="893"/>
      <c r="AU86" s="893"/>
      <c r="AV86" s="893"/>
      <c r="AW86" s="893"/>
      <c r="AX86" s="893"/>
      <c r="AY86" s="893"/>
      <c r="AZ86" s="893"/>
      <c r="BA86" s="893"/>
      <c r="BB86" s="893"/>
      <c r="BC86" s="893"/>
      <c r="BD86" s="893"/>
      <c r="BE86" s="893"/>
      <c r="BF86" s="893"/>
      <c r="BG86" s="893"/>
      <c r="BH86" s="893"/>
      <c r="BI86" s="893"/>
      <c r="BJ86" s="893"/>
      <c r="BK86" s="893"/>
      <c r="BL86" s="893"/>
    </row>
    <row r="87" spans="1:76" x14ac:dyDescent="0.25">
      <c r="C87" s="899"/>
      <c r="D87" s="899"/>
      <c r="E87" s="899"/>
      <c r="AI87" s="899"/>
    </row>
    <row r="88" spans="1:76" x14ac:dyDescent="0.25">
      <c r="A88" s="897"/>
      <c r="B88" s="897" t="s">
        <v>31</v>
      </c>
      <c r="C88" s="898">
        <v>30496959.919999987</v>
      </c>
      <c r="D88" s="898">
        <v>15730142.143200001</v>
      </c>
      <c r="E88" s="898">
        <v>14766817.776799988</v>
      </c>
      <c r="F88" s="897"/>
      <c r="G88" s="898">
        <f>+J88-C88</f>
        <v>266716.08000001311</v>
      </c>
      <c r="H88" s="898">
        <f>+K88-D88</f>
        <v>748662.85679999925</v>
      </c>
      <c r="I88" s="897" t="s">
        <v>31</v>
      </c>
      <c r="J88" s="898">
        <v>30763676</v>
      </c>
      <c r="K88" s="898">
        <v>16478805</v>
      </c>
      <c r="L88" s="898">
        <v>14284872</v>
      </c>
      <c r="M88" s="897"/>
      <c r="N88" s="898">
        <f t="shared" ref="N88" si="132">+Q88-J88</f>
        <v>2145998</v>
      </c>
      <c r="O88" s="898">
        <f>+R88-K88</f>
        <v>945495</v>
      </c>
      <c r="P88" s="897" t="s">
        <v>31</v>
      </c>
      <c r="Q88" s="898">
        <v>32909674</v>
      </c>
      <c r="R88" s="898">
        <v>17424300</v>
      </c>
      <c r="S88" s="898">
        <v>15485374</v>
      </c>
      <c r="T88" s="897"/>
      <c r="U88" s="898">
        <f t="shared" ref="U88:V88" si="133">+X88-Q88</f>
        <v>30377</v>
      </c>
      <c r="V88" s="898">
        <f t="shared" si="133"/>
        <v>830171</v>
      </c>
      <c r="W88" s="897" t="s">
        <v>31</v>
      </c>
      <c r="X88" s="898">
        <v>32940051</v>
      </c>
      <c r="Y88" s="898">
        <v>18254471</v>
      </c>
      <c r="Z88" s="898">
        <v>14685580</v>
      </c>
      <c r="AA88" s="897"/>
      <c r="AB88" s="898">
        <f t="shared" ref="AB88:AC88" si="134">+AE88-X88</f>
        <v>744129</v>
      </c>
      <c r="AC88" s="898">
        <f t="shared" si="134"/>
        <v>674265</v>
      </c>
      <c r="AD88" s="897" t="s">
        <v>31</v>
      </c>
      <c r="AE88" s="898">
        <v>33684180</v>
      </c>
      <c r="AF88" s="898">
        <v>18928736</v>
      </c>
      <c r="AG88" s="898">
        <v>14755444</v>
      </c>
      <c r="AH88" s="897"/>
      <c r="AI88" s="899">
        <f t="shared" si="131"/>
        <v>9242168.3599999994</v>
      </c>
      <c r="AJ88" s="898">
        <f>AM88-AE88</f>
        <v>4210177.9399999976</v>
      </c>
      <c r="AK88" s="898">
        <f t="shared" ref="AK88:AK90" si="135">AN88-AF88</f>
        <v>834109.6799999997</v>
      </c>
      <c r="AL88" s="936" t="s">
        <v>31</v>
      </c>
      <c r="AM88" s="925">
        <f>+AM95+AM99+AM108+AM90</f>
        <v>37894357.939999998</v>
      </c>
      <c r="AN88" s="925">
        <f>+AN95+AN99+AN108+AN90</f>
        <v>19762845.68</v>
      </c>
      <c r="AO88" s="925">
        <f>+AO95+AO99+AO108+AO90</f>
        <v>18131512.259999998</v>
      </c>
      <c r="AP88" s="897"/>
      <c r="AQ88" s="898">
        <f t="shared" ref="AQ88" si="136">AT88-AM88</f>
        <v>2442552.2400000021</v>
      </c>
      <c r="AR88" s="898">
        <f t="shared" ref="AR88" si="137">AU88-AN88</f>
        <v>981246.19999999553</v>
      </c>
      <c r="AS88" s="936" t="s">
        <v>31</v>
      </c>
      <c r="AT88" s="925">
        <f>+AT95+AT99+AT108+AT90</f>
        <v>40336910.18</v>
      </c>
      <c r="AU88" s="925">
        <f>+AU95+AU99+AU108+AU90</f>
        <v>20744091.879999995</v>
      </c>
      <c r="AV88" s="925">
        <f>+AV95+AV99+AV108+AV90</f>
        <v>19592818.300000001</v>
      </c>
      <c r="AW88" s="926"/>
      <c r="AX88" s="898">
        <f>BA88-AT88</f>
        <v>1997402.799999997</v>
      </c>
      <c r="AY88" s="898">
        <f t="shared" ref="AY88" si="138">BB88-AU88</f>
        <v>941335.61000000313</v>
      </c>
      <c r="AZ88" s="936" t="s">
        <v>31</v>
      </c>
      <c r="BA88" s="925">
        <f>+BA95+BA99+BA108+BA90</f>
        <v>42334312.979999997</v>
      </c>
      <c r="BB88" s="925">
        <f>+BB95+BB99+BB108+BB90</f>
        <v>21685427.489999998</v>
      </c>
      <c r="BC88" s="925">
        <f>+BC95+BC99+BC108+BC90</f>
        <v>20648885.489999998</v>
      </c>
      <c r="BD88" s="897"/>
      <c r="BE88" s="898">
        <f t="shared" ref="BE88" si="139">BH88-BA88</f>
        <v>592035.38000000268</v>
      </c>
      <c r="BF88" s="898">
        <f t="shared" ref="BF88" si="140">BI88-BB88</f>
        <v>1021507.0500000045</v>
      </c>
      <c r="BG88" s="936" t="s">
        <v>31</v>
      </c>
      <c r="BH88" s="944">
        <f>+BH95+BH99+BH108+BH90</f>
        <v>42926348.359999999</v>
      </c>
      <c r="BI88" s="944">
        <f>+BI95+BI99+BI108+BI90</f>
        <v>22706934.540000003</v>
      </c>
      <c r="BJ88" s="944">
        <f>+BJ95+BJ99+BJ108+BJ90</f>
        <v>20219413.819999997</v>
      </c>
      <c r="BK88" s="897"/>
      <c r="BL88" s="897"/>
    </row>
    <row r="89" spans="1:76" x14ac:dyDescent="0.25">
      <c r="B89" s="893" t="s">
        <v>934</v>
      </c>
      <c r="C89" s="899">
        <v>27288205.989999987</v>
      </c>
      <c r="D89" s="899">
        <v>13475313.553200001</v>
      </c>
      <c r="E89" s="899">
        <v>13812892.436799988</v>
      </c>
      <c r="G89" s="899">
        <f t="shared" ref="G89:H92" si="141">+J89-C89</f>
        <v>275308.01000001281</v>
      </c>
      <c r="H89" s="899">
        <f t="shared" si="141"/>
        <v>730611.4467999991</v>
      </c>
      <c r="I89" s="893" t="s">
        <v>934</v>
      </c>
      <c r="J89" s="899">
        <v>27563514</v>
      </c>
      <c r="K89" s="899">
        <v>14205925</v>
      </c>
      <c r="L89" s="899">
        <v>13357588</v>
      </c>
      <c r="N89" s="899">
        <f>+Q89-J89</f>
        <v>2145997</v>
      </c>
      <c r="O89" s="899">
        <f t="shared" ref="N89:O92" si="142">+R89-K89</f>
        <v>890303</v>
      </c>
      <c r="P89" s="893" t="s">
        <v>934</v>
      </c>
      <c r="Q89" s="899">
        <v>29709511</v>
      </c>
      <c r="R89" s="899">
        <v>15096228</v>
      </c>
      <c r="S89" s="899">
        <v>14613283</v>
      </c>
      <c r="U89" s="899">
        <f t="shared" ref="U89:V92" si="143">+X89-Q89</f>
        <v>30378</v>
      </c>
      <c r="V89" s="899">
        <f t="shared" si="143"/>
        <v>774979</v>
      </c>
      <c r="W89" s="893" t="s">
        <v>934</v>
      </c>
      <c r="X89" s="899">
        <v>29739889</v>
      </c>
      <c r="Y89" s="899">
        <v>15871207</v>
      </c>
      <c r="Z89" s="899">
        <v>13868681</v>
      </c>
      <c r="AB89" s="899">
        <f t="shared" ref="AB89:AC92" si="144">+AE89-X89</f>
        <v>744128</v>
      </c>
      <c r="AC89" s="899">
        <f t="shared" si="144"/>
        <v>635668</v>
      </c>
      <c r="AD89" s="893" t="s">
        <v>934</v>
      </c>
      <c r="AE89" s="899">
        <v>30484017</v>
      </c>
      <c r="AF89" s="899">
        <v>16506875</v>
      </c>
      <c r="AG89" s="899">
        <v>13977143</v>
      </c>
      <c r="AI89" s="899">
        <f t="shared" si="131"/>
        <v>9058716.8999999985</v>
      </c>
      <c r="AJ89" s="899">
        <f t="shared" ref="AJ89:AJ90" si="145">AM89-AE89</f>
        <v>4026726.4799999967</v>
      </c>
      <c r="AK89" s="899">
        <f t="shared" si="135"/>
        <v>663215.00999999791</v>
      </c>
      <c r="AL89" s="937" t="s">
        <v>934</v>
      </c>
      <c r="AM89" s="938">
        <f>+AM95+AM99+AM90</f>
        <v>34510743.479999997</v>
      </c>
      <c r="AN89" s="938">
        <f>+AN95+AN99+AN90</f>
        <v>17170090.009999998</v>
      </c>
      <c r="AO89" s="938">
        <f>+AO95+AO99+AO90</f>
        <v>17340653.469999999</v>
      </c>
      <c r="AQ89" s="899">
        <f t="shared" ref="AQ89:AQ90" si="146">AT89-AM89</f>
        <v>2442552.2400000021</v>
      </c>
      <c r="AS89" s="937" t="s">
        <v>934</v>
      </c>
      <c r="AT89" s="938">
        <f>+AT95+AT99+AT90</f>
        <v>36953295.719999999</v>
      </c>
      <c r="AU89" s="938">
        <f>+AU95+AU99+AU90</f>
        <v>18147971.939999994</v>
      </c>
      <c r="AV89" s="938">
        <f>+AV95+AV99+AV90</f>
        <v>18805323.780000001</v>
      </c>
      <c r="AW89" s="926"/>
      <c r="AX89" s="899">
        <f t="shared" ref="AX89:AX90" si="147">BA89-AT89</f>
        <v>1997402.799999997</v>
      </c>
      <c r="AY89" s="899">
        <f t="shared" ref="AY89:AY90" si="148">BB89-AU89</f>
        <v>940523.14000000432</v>
      </c>
      <c r="AZ89" s="937" t="s">
        <v>934</v>
      </c>
      <c r="BA89" s="938">
        <f>+BA95+BA99+BA90</f>
        <v>38950698.519999996</v>
      </c>
      <c r="BB89" s="938">
        <f>+BB95+BB99+BB90</f>
        <v>19088495.079999998</v>
      </c>
      <c r="BC89" s="938">
        <f>+BC95+BC99+BC90</f>
        <v>19862203.439999998</v>
      </c>
      <c r="BE89" s="899">
        <f t="shared" ref="BE89:BE90" si="149">BH89-BA89</f>
        <v>592035.38000000268</v>
      </c>
      <c r="BF89" s="899">
        <f t="shared" ref="BF89:BF90" si="150">BI89-BB89</f>
        <v>1020694.5800000019</v>
      </c>
      <c r="BG89" s="937" t="s">
        <v>934</v>
      </c>
      <c r="BH89" s="946">
        <f>+BH95+BH99+BH90</f>
        <v>39542733.899999999</v>
      </c>
      <c r="BI89" s="946">
        <f>+BI95+BI99+BI90</f>
        <v>20109189.66</v>
      </c>
      <c r="BJ89" s="946">
        <f>+BJ95+BJ99+BJ90</f>
        <v>19433544.239999998</v>
      </c>
    </row>
    <row r="90" spans="1:76" x14ac:dyDescent="0.25">
      <c r="B90" s="893" t="s">
        <v>941</v>
      </c>
      <c r="C90" s="899">
        <v>12261841.189999999</v>
      </c>
      <c r="D90" s="899">
        <v>1465418.4400000002</v>
      </c>
      <c r="E90" s="899">
        <v>10796422.75</v>
      </c>
      <c r="G90" s="899">
        <f t="shared" si="141"/>
        <v>-1311113.1899999995</v>
      </c>
      <c r="H90" s="899">
        <f t="shared" si="141"/>
        <v>157951.55999999982</v>
      </c>
      <c r="I90" s="893" t="s">
        <v>941</v>
      </c>
      <c r="J90" s="899">
        <v>10950728</v>
      </c>
      <c r="K90" s="899">
        <v>1623370</v>
      </c>
      <c r="L90" s="899">
        <v>9327358</v>
      </c>
      <c r="N90" s="899">
        <f t="shared" si="142"/>
        <v>1311113</v>
      </c>
      <c r="O90" s="899">
        <f t="shared" si="142"/>
        <v>629467</v>
      </c>
      <c r="P90" s="893" t="s">
        <v>941</v>
      </c>
      <c r="Q90" s="899">
        <v>12261841</v>
      </c>
      <c r="R90" s="899">
        <v>2252837</v>
      </c>
      <c r="S90" s="899">
        <v>10009005</v>
      </c>
      <c r="U90" s="899">
        <f t="shared" si="143"/>
        <v>0</v>
      </c>
      <c r="V90" s="899">
        <f t="shared" si="143"/>
        <v>393709</v>
      </c>
      <c r="W90" s="893" t="s">
        <v>941</v>
      </c>
      <c r="X90" s="899">
        <v>12261841</v>
      </c>
      <c r="Y90" s="899">
        <v>2646546</v>
      </c>
      <c r="Z90" s="899">
        <v>9615296</v>
      </c>
      <c r="AB90" s="899">
        <f t="shared" si="144"/>
        <v>0</v>
      </c>
      <c r="AC90" s="899">
        <f t="shared" si="144"/>
        <v>393709</v>
      </c>
      <c r="AD90" s="893" t="s">
        <v>941</v>
      </c>
      <c r="AE90" s="899">
        <v>12261841</v>
      </c>
      <c r="AF90" s="899">
        <v>3040255</v>
      </c>
      <c r="AG90" s="899">
        <v>9221586</v>
      </c>
      <c r="AI90" s="899">
        <f t="shared" si="131"/>
        <v>5648174</v>
      </c>
      <c r="AJ90" s="899">
        <f t="shared" si="145"/>
        <v>4328315.8000000026</v>
      </c>
      <c r="AK90" s="899">
        <f t="shared" si="135"/>
        <v>419876.18999999948</v>
      </c>
      <c r="AL90" s="939" t="s">
        <v>941</v>
      </c>
      <c r="AM90" s="919">
        <f>SUM(AM91:AM94)</f>
        <v>16590156.800000003</v>
      </c>
      <c r="AN90" s="919">
        <f t="shared" ref="AN90:AO90" si="151">SUM(AN91:AN94)</f>
        <v>3460131.1899999995</v>
      </c>
      <c r="AO90" s="919">
        <f t="shared" si="151"/>
        <v>13130025.610000001</v>
      </c>
      <c r="AQ90" s="899">
        <f t="shared" si="146"/>
        <v>0</v>
      </c>
      <c r="AR90" s="899">
        <f t="shared" ref="AR90" si="152">AU90-AN90</f>
        <v>550714.38000000035</v>
      </c>
      <c r="AS90" s="939" t="s">
        <v>941</v>
      </c>
      <c r="AT90" s="919">
        <f>SUM(AT91:AT94)</f>
        <v>16590156.800000003</v>
      </c>
      <c r="AU90" s="919">
        <f t="shared" ref="AU90:AV90" si="153">SUM(AU91:AU94)</f>
        <v>4010845.57</v>
      </c>
      <c r="AV90" s="919">
        <f t="shared" si="153"/>
        <v>12579311.23</v>
      </c>
      <c r="AW90" s="926"/>
      <c r="AX90" s="899">
        <f t="shared" si="147"/>
        <v>1319858.1999999974</v>
      </c>
      <c r="AY90" s="899">
        <f t="shared" si="148"/>
        <v>654447.69999999972</v>
      </c>
      <c r="AZ90" s="939" t="s">
        <v>941</v>
      </c>
      <c r="BA90" s="919">
        <f>SUM(BA91:BA94)</f>
        <v>17910015</v>
      </c>
      <c r="BB90" s="919">
        <f t="shared" ref="BB90:BC90" si="154">SUM(BB91:BB94)</f>
        <v>4665293.2699999996</v>
      </c>
      <c r="BC90" s="919">
        <f t="shared" si="154"/>
        <v>13244721.73</v>
      </c>
      <c r="BE90" s="899">
        <f t="shared" si="149"/>
        <v>0</v>
      </c>
      <c r="BF90" s="899">
        <f t="shared" si="150"/>
        <v>598590.93000000063</v>
      </c>
      <c r="BG90" s="939" t="s">
        <v>941</v>
      </c>
      <c r="BH90" s="947">
        <f>SUM(BH91:BH94)</f>
        <v>17910015</v>
      </c>
      <c r="BI90" s="947">
        <f t="shared" ref="BI90:BJ90" si="155">SUM(BI91:BI94)</f>
        <v>5263884.2</v>
      </c>
      <c r="BJ90" s="947">
        <f t="shared" si="155"/>
        <v>12646130.799999999</v>
      </c>
    </row>
    <row r="91" spans="1:76" x14ac:dyDescent="0.25">
      <c r="B91" s="893" t="s">
        <v>942</v>
      </c>
      <c r="C91" s="899">
        <v>5375314.25</v>
      </c>
      <c r="D91" s="899">
        <v>656225.59000000008</v>
      </c>
      <c r="E91" s="899">
        <v>4719088.66</v>
      </c>
      <c r="G91" s="899">
        <f t="shared" si="141"/>
        <v>-0.25</v>
      </c>
      <c r="H91" s="899">
        <f t="shared" si="141"/>
        <v>153580.40999999992</v>
      </c>
      <c r="I91" s="893" t="s">
        <v>942</v>
      </c>
      <c r="J91" s="899">
        <v>5375314</v>
      </c>
      <c r="K91" s="899">
        <v>809806</v>
      </c>
      <c r="L91" s="899">
        <v>4565508</v>
      </c>
      <c r="N91" s="899">
        <f t="shared" si="142"/>
        <v>0</v>
      </c>
      <c r="O91" s="899">
        <f t="shared" si="142"/>
        <v>153580</v>
      </c>
      <c r="P91" s="893" t="s">
        <v>942</v>
      </c>
      <c r="Q91" s="899">
        <v>5375314</v>
      </c>
      <c r="R91" s="899">
        <v>963386</v>
      </c>
      <c r="S91" s="899">
        <v>4411928</v>
      </c>
      <c r="U91" s="899">
        <f t="shared" si="143"/>
        <v>0</v>
      </c>
      <c r="V91" s="899">
        <f t="shared" si="143"/>
        <v>153581</v>
      </c>
      <c r="W91" s="893" t="s">
        <v>942</v>
      </c>
      <c r="X91" s="899">
        <v>5375314</v>
      </c>
      <c r="Y91" s="899">
        <v>1116967</v>
      </c>
      <c r="Z91" s="899">
        <v>4258347</v>
      </c>
      <c r="AA91" s="893" t="s">
        <v>943</v>
      </c>
      <c r="AB91" s="899">
        <f t="shared" si="144"/>
        <v>0</v>
      </c>
      <c r="AC91" s="899">
        <f t="shared" si="144"/>
        <v>153580</v>
      </c>
      <c r="AD91" s="893" t="s">
        <v>942</v>
      </c>
      <c r="AE91" s="899">
        <v>5375314</v>
      </c>
      <c r="AF91" s="899">
        <v>1270547</v>
      </c>
      <c r="AG91" s="899">
        <v>4104767</v>
      </c>
      <c r="AH91" s="893" t="s">
        <v>943</v>
      </c>
      <c r="AI91" s="899">
        <f t="shared" si="131"/>
        <v>0.25</v>
      </c>
      <c r="AJ91" s="899">
        <f t="shared" ref="AJ91:AJ94" si="156">AM91-AE91</f>
        <v>0.25</v>
      </c>
      <c r="AK91" s="899">
        <f t="shared" ref="AK91:AK94" si="157">AN91-AF91</f>
        <v>153580.5399999998</v>
      </c>
      <c r="AL91" s="915" t="s">
        <v>942</v>
      </c>
      <c r="AM91" s="906">
        <v>5375314.25</v>
      </c>
      <c r="AN91" s="906">
        <v>1424127.5399999998</v>
      </c>
      <c r="AO91" s="906">
        <f>+AM91-AN91</f>
        <v>3951186.71</v>
      </c>
      <c r="AQ91" s="899">
        <f t="shared" ref="AQ91:AQ95" si="158">AT91-AM91</f>
        <v>0</v>
      </c>
      <c r="AR91" s="899">
        <f t="shared" ref="AR91:AR95" si="159">AU91-AN91</f>
        <v>153580.39000000013</v>
      </c>
      <c r="AS91" s="915" t="s">
        <v>942</v>
      </c>
      <c r="AT91" s="906">
        <v>5375314.25</v>
      </c>
      <c r="AU91" s="906">
        <v>1577707.93</v>
      </c>
      <c r="AV91" s="906">
        <f>+AT91-AU91</f>
        <v>3797606.3200000003</v>
      </c>
      <c r="AW91" s="926"/>
      <c r="AX91" s="899">
        <f t="shared" ref="AX91:AX112" si="160">BA91-AT91</f>
        <v>0</v>
      </c>
      <c r="AY91" s="899">
        <f t="shared" ref="AY91:AY112" si="161">BB91-AU91</f>
        <v>153580.39000000013</v>
      </c>
      <c r="AZ91" s="915" t="s">
        <v>942</v>
      </c>
      <c r="BA91" s="906">
        <v>5375314.25</v>
      </c>
      <c r="BB91" s="906">
        <v>1731288.32</v>
      </c>
      <c r="BC91" s="906">
        <f>+BA91-BB91</f>
        <v>3644025.9299999997</v>
      </c>
      <c r="BE91" s="899">
        <f t="shared" ref="BE91:BE95" si="162">BH91-BA91</f>
        <v>0</v>
      </c>
      <c r="BF91" s="899">
        <f t="shared" ref="BF91:BF95" si="163">BI91-BB91</f>
        <v>153580.39000000013</v>
      </c>
      <c r="BG91" s="915" t="s">
        <v>942</v>
      </c>
      <c r="BH91" s="909">
        <v>5375314.25</v>
      </c>
      <c r="BI91" s="909">
        <v>1884868.7100000002</v>
      </c>
      <c r="BJ91" s="909">
        <f>+BH91-BI91</f>
        <v>3490445.54</v>
      </c>
      <c r="BO91" s="893" t="s">
        <v>31</v>
      </c>
      <c r="BP91" s="893" t="s">
        <v>308</v>
      </c>
      <c r="BV91" s="1530"/>
      <c r="BW91" s="1530"/>
      <c r="BX91" s="1530"/>
    </row>
    <row r="92" spans="1:76" x14ac:dyDescent="0.25">
      <c r="B92" s="893" t="s">
        <v>944</v>
      </c>
      <c r="C92" s="899">
        <v>5575413.6899999995</v>
      </c>
      <c r="D92" s="899">
        <v>654266.58000000007</v>
      </c>
      <c r="E92" s="899">
        <v>4921147.1099999994</v>
      </c>
      <c r="G92" s="899">
        <f t="shared" si="141"/>
        <v>0.31000000052154064</v>
      </c>
      <c r="H92" s="899">
        <f t="shared" si="141"/>
        <v>159297.41999999993</v>
      </c>
      <c r="I92" s="893" t="s">
        <v>944</v>
      </c>
      <c r="J92" s="899">
        <v>5575414</v>
      </c>
      <c r="K92" s="899">
        <v>813564</v>
      </c>
      <c r="L92" s="899">
        <v>4761850</v>
      </c>
      <c r="N92" s="899">
        <f t="shared" si="142"/>
        <v>0</v>
      </c>
      <c r="O92" s="899">
        <f t="shared" si="142"/>
        <v>159298</v>
      </c>
      <c r="P92" s="893" t="s">
        <v>944</v>
      </c>
      <c r="Q92" s="899">
        <v>5575414</v>
      </c>
      <c r="R92" s="899">
        <v>972862</v>
      </c>
      <c r="S92" s="899">
        <v>4602552</v>
      </c>
      <c r="U92" s="899">
        <f t="shared" si="143"/>
        <v>0</v>
      </c>
      <c r="V92" s="899">
        <f t="shared" si="143"/>
        <v>159297</v>
      </c>
      <c r="W92" s="893" t="s">
        <v>944</v>
      </c>
      <c r="X92" s="899">
        <v>5575414</v>
      </c>
      <c r="Y92" s="899">
        <v>1132159</v>
      </c>
      <c r="Z92" s="899">
        <v>4443255</v>
      </c>
      <c r="AA92" s="893" t="s">
        <v>943</v>
      </c>
      <c r="AB92" s="899">
        <f t="shared" si="144"/>
        <v>0</v>
      </c>
      <c r="AC92" s="899">
        <f t="shared" si="144"/>
        <v>159298</v>
      </c>
      <c r="AD92" s="893" t="s">
        <v>944</v>
      </c>
      <c r="AE92" s="899">
        <v>5575414</v>
      </c>
      <c r="AF92" s="899">
        <v>1291457</v>
      </c>
      <c r="AG92" s="899">
        <v>4283957</v>
      </c>
      <c r="AH92" s="893" t="s">
        <v>943</v>
      </c>
      <c r="AI92" s="899">
        <f t="shared" si="131"/>
        <v>-0.30999999959021807</v>
      </c>
      <c r="AJ92" s="899">
        <f t="shared" si="156"/>
        <v>-0.30999999959021807</v>
      </c>
      <c r="AK92" s="899">
        <f t="shared" si="157"/>
        <v>159297.17999999993</v>
      </c>
      <c r="AL92" s="915" t="s">
        <v>944</v>
      </c>
      <c r="AM92" s="906">
        <v>5575413.6900000004</v>
      </c>
      <c r="AN92" s="906">
        <v>1450754.18</v>
      </c>
      <c r="AO92" s="906">
        <f>+AM92-AN92</f>
        <v>4124659.5100000007</v>
      </c>
      <c r="AQ92" s="899">
        <f t="shared" si="158"/>
        <v>0</v>
      </c>
      <c r="AR92" s="899">
        <f t="shared" si="159"/>
        <v>159297.52000000002</v>
      </c>
      <c r="AS92" s="915" t="s">
        <v>944</v>
      </c>
      <c r="AT92" s="906">
        <v>5575413.6900000004</v>
      </c>
      <c r="AU92" s="906">
        <v>1610051.7</v>
      </c>
      <c r="AV92" s="906">
        <f>+AT92-AU92</f>
        <v>3965361.99</v>
      </c>
      <c r="AW92" s="926"/>
      <c r="AX92" s="899">
        <f t="shared" si="160"/>
        <v>0</v>
      </c>
      <c r="AY92" s="899">
        <f t="shared" si="161"/>
        <v>159297.52000000002</v>
      </c>
      <c r="AZ92" s="915" t="s">
        <v>944</v>
      </c>
      <c r="BA92" s="906">
        <v>5575413.6900000004</v>
      </c>
      <c r="BB92" s="906">
        <v>1769349.22</v>
      </c>
      <c r="BC92" s="906">
        <f>+BA92-BB92</f>
        <v>3806064.4700000007</v>
      </c>
      <c r="BE92" s="899">
        <f t="shared" si="162"/>
        <v>0</v>
      </c>
      <c r="BF92" s="899">
        <f t="shared" si="163"/>
        <v>159297.52000000002</v>
      </c>
      <c r="BG92" s="915" t="s">
        <v>944</v>
      </c>
      <c r="BH92" s="909">
        <v>5575413.6900000004</v>
      </c>
      <c r="BI92" s="909">
        <v>1928646.74</v>
      </c>
      <c r="BJ92" s="909">
        <f>+BH92-BI92</f>
        <v>3646766.95</v>
      </c>
      <c r="BO92" s="893" t="s">
        <v>31</v>
      </c>
      <c r="BP92" s="893" t="s">
        <v>308</v>
      </c>
      <c r="BV92" s="1530"/>
      <c r="BW92" s="1530"/>
      <c r="BX92" s="1530"/>
    </row>
    <row r="93" spans="1:76" x14ac:dyDescent="0.25">
      <c r="AI93" s="899">
        <f t="shared" si="131"/>
        <v>5648173.8099999996</v>
      </c>
      <c r="AJ93" s="958">
        <f t="shared" si="156"/>
        <v>4328315.6100000013</v>
      </c>
      <c r="AK93" s="903">
        <f t="shared" si="157"/>
        <v>26167.399999999998</v>
      </c>
      <c r="AL93" s="940" t="s">
        <v>1000</v>
      </c>
      <c r="AM93" s="904">
        <v>4328315.6100000013</v>
      </c>
      <c r="AN93" s="904">
        <v>26167.399999999998</v>
      </c>
      <c r="AO93" s="904">
        <f>+AM93-AN93</f>
        <v>4302148.2100000009</v>
      </c>
      <c r="AQ93" s="899">
        <f t="shared" si="158"/>
        <v>0</v>
      </c>
      <c r="AR93" s="899">
        <f t="shared" si="159"/>
        <v>157005.31000000006</v>
      </c>
      <c r="AS93" s="930" t="s">
        <v>1000</v>
      </c>
      <c r="AT93" s="906">
        <v>4328315.6100000013</v>
      </c>
      <c r="AU93" s="906">
        <v>183172.71000000005</v>
      </c>
      <c r="AV93" s="906">
        <f>+AT93-AU93</f>
        <v>4145142.9000000013</v>
      </c>
      <c r="AW93" s="926"/>
      <c r="AX93" s="899">
        <f t="shared" si="160"/>
        <v>1319858.1999999983</v>
      </c>
      <c r="AY93" s="899">
        <f t="shared" si="161"/>
        <v>260738.63000000003</v>
      </c>
      <c r="AZ93" s="930" t="s">
        <v>1000</v>
      </c>
      <c r="BA93" s="906">
        <v>5648173.8099999996</v>
      </c>
      <c r="BB93" s="906">
        <v>443911.34000000008</v>
      </c>
      <c r="BC93" s="906">
        <f>+BA93-BB93</f>
        <v>5204262.47</v>
      </c>
      <c r="BE93" s="1546">
        <f t="shared" si="162"/>
        <v>0</v>
      </c>
      <c r="BF93" s="899">
        <f t="shared" si="163"/>
        <v>204881.85999999975</v>
      </c>
      <c r="BG93" s="930" t="s">
        <v>1000</v>
      </c>
      <c r="BH93" s="909">
        <v>5648173.8099999996</v>
      </c>
      <c r="BI93" s="909">
        <v>648793.19999999984</v>
      </c>
      <c r="BJ93" s="909">
        <f>+BH93-BI93</f>
        <v>4999380.6099999994</v>
      </c>
      <c r="BO93" s="893" t="s">
        <v>31</v>
      </c>
      <c r="BP93" s="893" t="s">
        <v>308</v>
      </c>
      <c r="BU93" s="1533"/>
      <c r="BV93" s="1530"/>
      <c r="BW93" s="1530"/>
      <c r="BX93" s="1530"/>
    </row>
    <row r="94" spans="1:76" x14ac:dyDescent="0.25">
      <c r="B94" s="893" t="s">
        <v>945</v>
      </c>
      <c r="C94" s="899">
        <v>1311113.25</v>
      </c>
      <c r="D94" s="899">
        <v>154926.26999999999</v>
      </c>
      <c r="E94" s="899">
        <v>1156186.98</v>
      </c>
      <c r="G94" s="899">
        <f t="shared" ref="G94:H99" si="164">+J94-C94</f>
        <v>-1311113.25</v>
      </c>
      <c r="H94" s="899">
        <f t="shared" si="164"/>
        <v>-154926.26999999999</v>
      </c>
      <c r="N94" s="899">
        <f t="shared" ref="N94:N105" si="165">+Q94-J94</f>
        <v>1311113</v>
      </c>
      <c r="O94" s="899">
        <f t="shared" ref="O94:O105" si="166">+R94-K94</f>
        <v>316589</v>
      </c>
      <c r="P94" s="893" t="s">
        <v>1207</v>
      </c>
      <c r="Q94" s="899">
        <v>1311113</v>
      </c>
      <c r="R94" s="899">
        <v>316589</v>
      </c>
      <c r="S94" s="899">
        <v>994525</v>
      </c>
      <c r="U94" s="899">
        <f t="shared" ref="U94:U105" si="167">+X94-Q94</f>
        <v>0</v>
      </c>
      <c r="V94" s="899">
        <f t="shared" ref="V94:V105" si="168">+Y94-R94</f>
        <v>80831</v>
      </c>
      <c r="W94" s="893" t="s">
        <v>1207</v>
      </c>
      <c r="X94" s="899">
        <v>1311113</v>
      </c>
      <c r="Y94" s="899">
        <v>397420</v>
      </c>
      <c r="Z94" s="899">
        <v>913694</v>
      </c>
      <c r="AA94" s="893" t="s">
        <v>943</v>
      </c>
      <c r="AB94" s="899">
        <f t="shared" ref="AB94:AB105" si="169">+AE94-X94</f>
        <v>0</v>
      </c>
      <c r="AC94" s="899">
        <f t="shared" ref="AC94:AC105" si="170">+AF94-Y94</f>
        <v>80831</v>
      </c>
      <c r="AD94" s="893" t="s">
        <v>1207</v>
      </c>
      <c r="AE94" s="899">
        <v>1311113</v>
      </c>
      <c r="AF94" s="899">
        <v>478251</v>
      </c>
      <c r="AG94" s="899">
        <v>832862</v>
      </c>
      <c r="AH94" s="893" t="s">
        <v>943</v>
      </c>
      <c r="AI94" s="899">
        <f t="shared" si="131"/>
        <v>0.25</v>
      </c>
      <c r="AJ94" s="898">
        <f t="shared" si="156"/>
        <v>0.25</v>
      </c>
      <c r="AK94" s="899">
        <f t="shared" si="157"/>
        <v>80831.069999999949</v>
      </c>
      <c r="AL94" s="941" t="s">
        <v>1207</v>
      </c>
      <c r="AM94" s="906">
        <v>1311113.25</v>
      </c>
      <c r="AN94" s="906">
        <v>559082.06999999995</v>
      </c>
      <c r="AO94" s="907">
        <f>+AM94-AN94</f>
        <v>752031.18</v>
      </c>
      <c r="AQ94" s="899">
        <f t="shared" si="158"/>
        <v>0</v>
      </c>
      <c r="AR94" s="899">
        <f t="shared" si="159"/>
        <v>80831.160000000033</v>
      </c>
      <c r="AS94" s="941" t="s">
        <v>1207</v>
      </c>
      <c r="AT94" s="906">
        <v>1311113.25</v>
      </c>
      <c r="AU94" s="906">
        <v>639913.23</v>
      </c>
      <c r="AV94" s="907">
        <f>+AT94-AU94</f>
        <v>671200.02</v>
      </c>
      <c r="AW94" s="926"/>
      <c r="AX94" s="899">
        <f t="shared" si="160"/>
        <v>0</v>
      </c>
      <c r="AY94" s="899">
        <f t="shared" si="161"/>
        <v>80831.160000000033</v>
      </c>
      <c r="AZ94" s="941" t="s">
        <v>1207</v>
      </c>
      <c r="BA94" s="906">
        <v>1311113.25</v>
      </c>
      <c r="BB94" s="906">
        <v>720744.39</v>
      </c>
      <c r="BC94" s="907">
        <f>+BA94-BB94</f>
        <v>590368.86</v>
      </c>
      <c r="BE94" s="899">
        <f t="shared" si="162"/>
        <v>0</v>
      </c>
      <c r="BF94" s="899">
        <f t="shared" si="163"/>
        <v>80831.160000000033</v>
      </c>
      <c r="BG94" s="941" t="s">
        <v>1207</v>
      </c>
      <c r="BH94" s="909">
        <v>1311113.25</v>
      </c>
      <c r="BI94" s="909">
        <v>801575.55</v>
      </c>
      <c r="BJ94" s="909">
        <f>+BH94-BI94</f>
        <v>509537.69999999995</v>
      </c>
      <c r="BO94" s="893" t="s">
        <v>31</v>
      </c>
      <c r="BP94" s="893" t="s">
        <v>308</v>
      </c>
      <c r="BU94" s="1"/>
      <c r="BV94" s="1530"/>
      <c r="BW94" s="1530"/>
      <c r="BX94" s="1531"/>
    </row>
    <row r="95" spans="1:76" x14ac:dyDescent="0.25">
      <c r="B95" s="893" t="s">
        <v>196</v>
      </c>
      <c r="C95" s="899">
        <v>6980151.5499999998</v>
      </c>
      <c r="D95" s="899">
        <v>6013750.7600000007</v>
      </c>
      <c r="E95" s="899">
        <v>966400.78999999969</v>
      </c>
      <c r="G95" s="899">
        <f t="shared" si="164"/>
        <v>-21786.549999999814</v>
      </c>
      <c r="H95" s="899">
        <f t="shared" si="164"/>
        <v>140052.23999999929</v>
      </c>
      <c r="I95" s="893" t="s">
        <v>196</v>
      </c>
      <c r="J95" s="899">
        <v>6958365</v>
      </c>
      <c r="K95" s="899">
        <v>6153803</v>
      </c>
      <c r="L95" s="899">
        <v>804562</v>
      </c>
      <c r="N95" s="899">
        <f t="shared" si="165"/>
        <v>0</v>
      </c>
      <c r="O95" s="899">
        <f t="shared" si="166"/>
        <v>115052</v>
      </c>
      <c r="P95" s="893" t="s">
        <v>196</v>
      </c>
      <c r="Q95" s="899">
        <v>6958365</v>
      </c>
      <c r="R95" s="899">
        <v>6268855</v>
      </c>
      <c r="S95" s="899">
        <v>689510</v>
      </c>
      <c r="U95" s="899">
        <f t="shared" si="167"/>
        <v>0</v>
      </c>
      <c r="V95" s="899">
        <f t="shared" si="168"/>
        <v>115052</v>
      </c>
      <c r="W95" s="893" t="s">
        <v>196</v>
      </c>
      <c r="X95" s="899">
        <v>6958365</v>
      </c>
      <c r="Y95" s="899">
        <v>6383907</v>
      </c>
      <c r="Z95" s="899">
        <v>574458</v>
      </c>
      <c r="AB95" s="899">
        <f t="shared" si="169"/>
        <v>0</v>
      </c>
      <c r="AC95" s="899">
        <f t="shared" si="170"/>
        <v>115053</v>
      </c>
      <c r="AD95" s="893" t="s">
        <v>196</v>
      </c>
      <c r="AE95" s="899">
        <v>6958365</v>
      </c>
      <c r="AF95" s="899">
        <v>6498960</v>
      </c>
      <c r="AG95" s="899">
        <v>459406</v>
      </c>
      <c r="AI95" s="899">
        <f t="shared" si="131"/>
        <v>-273526.0100000035</v>
      </c>
      <c r="AJ95" s="899">
        <f t="shared" ref="AJ95" si="171">AM95-AE95</f>
        <v>-273526.0100000035</v>
      </c>
      <c r="AK95" s="899">
        <f t="shared" ref="AK95" si="172">AN95-AF95</f>
        <v>-159381.27000000048</v>
      </c>
      <c r="AL95" s="939" t="s">
        <v>196</v>
      </c>
      <c r="AM95" s="919">
        <f>SUM(AM96:AM98)</f>
        <v>6684838.9899999965</v>
      </c>
      <c r="AN95" s="919">
        <f>SUM(AN96:AN98)</f>
        <v>6339578.7299999995</v>
      </c>
      <c r="AO95" s="919">
        <f>SUM(AO96:AO98)</f>
        <v>345260.25999999698</v>
      </c>
      <c r="AQ95" s="899">
        <f t="shared" si="158"/>
        <v>0</v>
      </c>
      <c r="AR95" s="899">
        <f t="shared" si="159"/>
        <v>31789.379999997094</v>
      </c>
      <c r="AS95" s="939" t="s">
        <v>196</v>
      </c>
      <c r="AT95" s="919">
        <f>SUM(AT96:AT98)</f>
        <v>6684838.9899999965</v>
      </c>
      <c r="AU95" s="919">
        <f>SUM(AU96:AU98)</f>
        <v>6371368.1099999966</v>
      </c>
      <c r="AV95" s="919">
        <f>SUM(AV96:AV98)</f>
        <v>313470.88000000035</v>
      </c>
      <c r="AW95" s="926"/>
      <c r="AX95" s="899">
        <f>BA95-AT95</f>
        <v>0</v>
      </c>
      <c r="AY95" s="899">
        <f t="shared" si="161"/>
        <v>16107.880000001751</v>
      </c>
      <c r="AZ95" s="939" t="s">
        <v>196</v>
      </c>
      <c r="BA95" s="919">
        <f>SUM(BA96:BA98)</f>
        <v>6684838.9899999965</v>
      </c>
      <c r="BB95" s="919">
        <f>SUM(BB96:BB98)</f>
        <v>6387475.9899999984</v>
      </c>
      <c r="BC95" s="919">
        <f>SUM(BC96:BC98)</f>
        <v>297362.9999999979</v>
      </c>
      <c r="BE95" s="899">
        <f t="shared" si="162"/>
        <v>0</v>
      </c>
      <c r="BF95" s="899">
        <f t="shared" si="163"/>
        <v>16107.879999999888</v>
      </c>
      <c r="BG95" s="939" t="s">
        <v>196</v>
      </c>
      <c r="BH95" s="947">
        <f>SUM(BH96:BH98)</f>
        <v>6684838.9899999965</v>
      </c>
      <c r="BI95" s="947">
        <f>SUM(BI96:BI98)</f>
        <v>6403583.8699999982</v>
      </c>
      <c r="BJ95" s="947">
        <f>SUM(BJ96:BJ98)</f>
        <v>281255.11999999825</v>
      </c>
    </row>
    <row r="96" spans="1:76" x14ac:dyDescent="0.25">
      <c r="B96" s="893" t="s">
        <v>946</v>
      </c>
      <c r="C96" s="899">
        <v>1366156.63</v>
      </c>
      <c r="D96" s="899">
        <v>1258172.4000000004</v>
      </c>
      <c r="E96" s="899">
        <v>107984.22999999952</v>
      </c>
      <c r="G96" s="899">
        <f t="shared" si="164"/>
        <v>0.37000000011175871</v>
      </c>
      <c r="H96" s="899">
        <f t="shared" si="164"/>
        <v>19815.599999999627</v>
      </c>
      <c r="I96" s="893" t="s">
        <v>946</v>
      </c>
      <c r="J96" s="899">
        <v>1366157</v>
      </c>
      <c r="K96" s="899">
        <v>1277988</v>
      </c>
      <c r="L96" s="899">
        <v>88168</v>
      </c>
      <c r="N96" s="899">
        <f t="shared" si="165"/>
        <v>0</v>
      </c>
      <c r="O96" s="899">
        <f t="shared" si="166"/>
        <v>19816</v>
      </c>
      <c r="P96" s="893" t="s">
        <v>946</v>
      </c>
      <c r="Q96" s="899">
        <v>1366157</v>
      </c>
      <c r="R96" s="899">
        <v>1297804</v>
      </c>
      <c r="S96" s="899">
        <v>68353</v>
      </c>
      <c r="U96" s="899">
        <f t="shared" si="167"/>
        <v>0</v>
      </c>
      <c r="V96" s="899">
        <f t="shared" si="168"/>
        <v>19816</v>
      </c>
      <c r="W96" s="893" t="s">
        <v>946</v>
      </c>
      <c r="X96" s="899">
        <v>1366157</v>
      </c>
      <c r="Y96" s="899">
        <v>1317620</v>
      </c>
      <c r="Z96" s="899">
        <v>48537</v>
      </c>
      <c r="AB96" s="899">
        <f t="shared" si="169"/>
        <v>0</v>
      </c>
      <c r="AC96" s="899">
        <f t="shared" si="170"/>
        <v>19816</v>
      </c>
      <c r="AD96" s="893" t="s">
        <v>946</v>
      </c>
      <c r="AE96" s="899">
        <v>1366157</v>
      </c>
      <c r="AF96" s="899">
        <v>1337436</v>
      </c>
      <c r="AG96" s="899">
        <v>28721</v>
      </c>
      <c r="AI96" s="899">
        <f t="shared" si="131"/>
        <v>-27462.80999999959</v>
      </c>
      <c r="AJ96" s="898">
        <f t="shared" ref="AJ96:AJ99" si="173">AM96-AE96</f>
        <v>-27462.80999999959</v>
      </c>
      <c r="AK96" s="899">
        <f t="shared" ref="AK96:AK99" si="174">AN96-AF96</f>
        <v>-10078.629999999423</v>
      </c>
      <c r="AL96" s="930" t="s">
        <v>946</v>
      </c>
      <c r="AM96" s="906">
        <v>1338694.1900000004</v>
      </c>
      <c r="AN96" s="906">
        <v>1327357.3700000006</v>
      </c>
      <c r="AO96" s="906">
        <f>+AM96-AN96</f>
        <v>11336.819999999832</v>
      </c>
      <c r="AQ96" s="899">
        <f t="shared" ref="AQ96:AQ105" si="175">AT96-AM96</f>
        <v>0</v>
      </c>
      <c r="AR96" s="899">
        <f t="shared" ref="AR96:AR105" si="176">AU96-AN96</f>
        <v>4302.0499999998137</v>
      </c>
      <c r="AS96" s="930" t="s">
        <v>946</v>
      </c>
      <c r="AT96" s="906">
        <v>1338694.1900000004</v>
      </c>
      <c r="AU96" s="906">
        <v>1331659.4200000004</v>
      </c>
      <c r="AV96" s="906">
        <f>+AT96-AU96</f>
        <v>7034.7700000000186</v>
      </c>
      <c r="AW96" s="926"/>
      <c r="AX96" s="899">
        <f t="shared" si="160"/>
        <v>0</v>
      </c>
      <c r="AY96" s="899">
        <f t="shared" si="161"/>
        <v>3014.8600000001024</v>
      </c>
      <c r="AZ96" s="930" t="s">
        <v>946</v>
      </c>
      <c r="BA96" s="906">
        <v>1338694.1900000004</v>
      </c>
      <c r="BB96" s="906">
        <v>1334674.2800000005</v>
      </c>
      <c r="BC96" s="906">
        <f>+BA96-BB96</f>
        <v>4019.9099999999162</v>
      </c>
      <c r="BE96" s="1546">
        <f t="shared" ref="BE96:BE99" si="177">BH96-BA96</f>
        <v>0</v>
      </c>
      <c r="BF96" s="899">
        <f t="shared" ref="BF96:BF99" si="178">BI96-BB96</f>
        <v>3014.8600000001024</v>
      </c>
      <c r="BG96" s="930" t="s">
        <v>946</v>
      </c>
      <c r="BH96" s="909">
        <v>1338694.1900000004</v>
      </c>
      <c r="BI96" s="909">
        <v>1337689.1400000006</v>
      </c>
      <c r="BJ96" s="909">
        <f>+BH96-BI96</f>
        <v>1005.0499999998137</v>
      </c>
      <c r="BO96" s="893" t="s">
        <v>31</v>
      </c>
      <c r="BP96" s="893" t="s">
        <v>308</v>
      </c>
      <c r="BU96" s="1533"/>
      <c r="BV96" s="1530"/>
      <c r="BW96" s="1530"/>
      <c r="BX96" s="1530"/>
    </row>
    <row r="97" spans="1:76" x14ac:dyDescent="0.25">
      <c r="B97" s="893" t="s">
        <v>947</v>
      </c>
      <c r="C97" s="899">
        <v>4644473.55</v>
      </c>
      <c r="D97" s="899">
        <v>3829116.4</v>
      </c>
      <c r="E97" s="899">
        <v>815357.14999999991</v>
      </c>
      <c r="G97" s="899">
        <f t="shared" si="164"/>
        <v>-21786.549999999814</v>
      </c>
      <c r="H97" s="899">
        <f t="shared" si="164"/>
        <v>111737.60000000009</v>
      </c>
      <c r="I97" s="893" t="s">
        <v>947</v>
      </c>
      <c r="J97" s="899">
        <v>4622687</v>
      </c>
      <c r="K97" s="899">
        <v>3940854</v>
      </c>
      <c r="L97" s="899">
        <v>681833</v>
      </c>
      <c r="N97" s="899">
        <f t="shared" si="165"/>
        <v>0</v>
      </c>
      <c r="O97" s="899">
        <f t="shared" si="166"/>
        <v>86738</v>
      </c>
      <c r="P97" s="893" t="s">
        <v>947</v>
      </c>
      <c r="Q97" s="899">
        <v>4622687</v>
      </c>
      <c r="R97" s="899">
        <v>4027592</v>
      </c>
      <c r="S97" s="899">
        <v>595096</v>
      </c>
      <c r="U97" s="899">
        <f t="shared" si="167"/>
        <v>0</v>
      </c>
      <c r="V97" s="899">
        <f t="shared" si="168"/>
        <v>86737</v>
      </c>
      <c r="W97" s="893" t="s">
        <v>947</v>
      </c>
      <c r="X97" s="899">
        <v>4622687</v>
      </c>
      <c r="Y97" s="899">
        <v>4114329</v>
      </c>
      <c r="Z97" s="899">
        <v>508358</v>
      </c>
      <c r="AB97" s="899">
        <f t="shared" si="169"/>
        <v>0</v>
      </c>
      <c r="AC97" s="899">
        <f t="shared" si="170"/>
        <v>86738</v>
      </c>
      <c r="AD97" s="893" t="s">
        <v>947</v>
      </c>
      <c r="AE97" s="899">
        <v>4622687</v>
      </c>
      <c r="AF97" s="899">
        <v>4201067</v>
      </c>
      <c r="AG97" s="899">
        <v>421620</v>
      </c>
      <c r="AI97" s="899">
        <f t="shared" si="131"/>
        <v>-246063.57000000402</v>
      </c>
      <c r="AJ97" s="898">
        <f t="shared" si="173"/>
        <v>-246063.57000000402</v>
      </c>
      <c r="AK97" s="899">
        <f t="shared" si="174"/>
        <v>-157801.5000000014</v>
      </c>
      <c r="AL97" s="930" t="s">
        <v>947</v>
      </c>
      <c r="AM97" s="906">
        <v>4376623.429999996</v>
      </c>
      <c r="AN97" s="906">
        <v>4043265.4999999986</v>
      </c>
      <c r="AO97" s="906">
        <f>+AM97-AN97</f>
        <v>333357.92999999737</v>
      </c>
      <c r="AQ97" s="899">
        <f t="shared" si="175"/>
        <v>0</v>
      </c>
      <c r="AR97" s="899">
        <f t="shared" si="176"/>
        <v>26921.819999997038</v>
      </c>
      <c r="AS97" s="930" t="s">
        <v>947</v>
      </c>
      <c r="AT97" s="906">
        <v>4376623.429999996</v>
      </c>
      <c r="AU97" s="906">
        <v>4070187.3199999956</v>
      </c>
      <c r="AV97" s="906">
        <f>+AT97-AU97</f>
        <v>306436.11000000034</v>
      </c>
      <c r="AW97" s="926"/>
      <c r="AX97" s="899">
        <f t="shared" si="160"/>
        <v>0</v>
      </c>
      <c r="AY97" s="899">
        <f t="shared" si="161"/>
        <v>13093.020000002347</v>
      </c>
      <c r="AZ97" s="930" t="s">
        <v>947</v>
      </c>
      <c r="BA97" s="906">
        <v>4376623.429999996</v>
      </c>
      <c r="BB97" s="906">
        <v>4083280.339999998</v>
      </c>
      <c r="BC97" s="906">
        <f>+BA97-BB97</f>
        <v>293343.08999999799</v>
      </c>
      <c r="BE97" s="1546">
        <f t="shared" si="177"/>
        <v>0</v>
      </c>
      <c r="BF97" s="899">
        <f t="shared" si="178"/>
        <v>13093.019999999553</v>
      </c>
      <c r="BG97" s="930" t="s">
        <v>947</v>
      </c>
      <c r="BH97" s="909">
        <v>4376623.429999996</v>
      </c>
      <c r="BI97" s="909">
        <v>4096373.3599999975</v>
      </c>
      <c r="BJ97" s="909">
        <f>+BH97-BI97</f>
        <v>280250.06999999844</v>
      </c>
      <c r="BO97" s="893" t="s">
        <v>31</v>
      </c>
      <c r="BP97" s="893" t="s">
        <v>308</v>
      </c>
      <c r="BU97" s="1533"/>
      <c r="BV97" s="1530"/>
      <c r="BW97" s="1530"/>
      <c r="BX97" s="1530"/>
    </row>
    <row r="98" spans="1:76" x14ac:dyDescent="0.25">
      <c r="B98" s="893" t="s">
        <v>948</v>
      </c>
      <c r="C98" s="899">
        <v>969521.37000000034</v>
      </c>
      <c r="D98" s="899">
        <v>926461.96000000008</v>
      </c>
      <c r="E98" s="899">
        <v>43059.410000000265</v>
      </c>
      <c r="G98" s="899">
        <f t="shared" si="164"/>
        <v>-0.37000000034458935</v>
      </c>
      <c r="H98" s="899">
        <f t="shared" si="164"/>
        <v>8499.0399999999208</v>
      </c>
      <c r="I98" s="893" t="s">
        <v>948</v>
      </c>
      <c r="J98" s="899">
        <v>969521</v>
      </c>
      <c r="K98" s="899">
        <v>934961</v>
      </c>
      <c r="L98" s="899">
        <v>34561</v>
      </c>
      <c r="N98" s="899">
        <f t="shared" si="165"/>
        <v>0</v>
      </c>
      <c r="O98" s="899">
        <f t="shared" si="166"/>
        <v>8499</v>
      </c>
      <c r="P98" s="893" t="s">
        <v>948</v>
      </c>
      <c r="Q98" s="899">
        <v>969521</v>
      </c>
      <c r="R98" s="899">
        <v>943460</v>
      </c>
      <c r="S98" s="899">
        <v>26062</v>
      </c>
      <c r="U98" s="899">
        <f t="shared" si="167"/>
        <v>0</v>
      </c>
      <c r="V98" s="899">
        <f t="shared" si="168"/>
        <v>8498</v>
      </c>
      <c r="W98" s="893" t="s">
        <v>948</v>
      </c>
      <c r="X98" s="899">
        <v>969521</v>
      </c>
      <c r="Y98" s="899">
        <v>951958</v>
      </c>
      <c r="Z98" s="899">
        <v>17563</v>
      </c>
      <c r="AB98" s="899">
        <f t="shared" si="169"/>
        <v>0</v>
      </c>
      <c r="AC98" s="899">
        <f t="shared" si="170"/>
        <v>8499</v>
      </c>
      <c r="AD98" s="893" t="s">
        <v>948</v>
      </c>
      <c r="AE98" s="899">
        <v>969521</v>
      </c>
      <c r="AF98" s="899">
        <v>960457</v>
      </c>
      <c r="AG98" s="899">
        <v>9064</v>
      </c>
      <c r="AI98" s="899">
        <f t="shared" si="131"/>
        <v>0.36999999987892807</v>
      </c>
      <c r="AJ98" s="899">
        <f t="shared" si="173"/>
        <v>0.36999999987892807</v>
      </c>
      <c r="AK98" s="899">
        <f t="shared" si="174"/>
        <v>8498.8600000001024</v>
      </c>
      <c r="AL98" s="930" t="s">
        <v>948</v>
      </c>
      <c r="AM98" s="906">
        <v>969521.36999999988</v>
      </c>
      <c r="AN98" s="906">
        <v>968955.8600000001</v>
      </c>
      <c r="AO98" s="906">
        <f>+AM98-AN98</f>
        <v>565.50999999977648</v>
      </c>
      <c r="AQ98" s="899">
        <f t="shared" si="175"/>
        <v>0</v>
      </c>
      <c r="AR98" s="899">
        <f t="shared" si="176"/>
        <v>565.50999999977648</v>
      </c>
      <c r="AS98" s="930" t="s">
        <v>948</v>
      </c>
      <c r="AT98" s="906">
        <v>969521.36999999988</v>
      </c>
      <c r="AU98" s="906">
        <v>969521.36999999988</v>
      </c>
      <c r="AV98" s="906">
        <f>+AT98-AU98</f>
        <v>0</v>
      </c>
      <c r="AW98" s="926"/>
      <c r="AX98" s="899">
        <f t="shared" si="160"/>
        <v>0</v>
      </c>
      <c r="AY98" s="899">
        <f t="shared" si="161"/>
        <v>0</v>
      </c>
      <c r="AZ98" s="930" t="s">
        <v>948</v>
      </c>
      <c r="BA98" s="906">
        <v>969521.36999999988</v>
      </c>
      <c r="BB98" s="906">
        <v>969521.36999999988</v>
      </c>
      <c r="BC98" s="906">
        <f>+BA98-BB98</f>
        <v>0</v>
      </c>
      <c r="BE98" s="899">
        <f t="shared" si="177"/>
        <v>0</v>
      </c>
      <c r="BF98" s="899">
        <f t="shared" si="178"/>
        <v>0</v>
      </c>
      <c r="BG98" s="930" t="s">
        <v>948</v>
      </c>
      <c r="BH98" s="909">
        <v>969521.36999999988</v>
      </c>
      <c r="BI98" s="909">
        <v>969521.36999999988</v>
      </c>
      <c r="BJ98" s="909">
        <f>+BH98-BI98</f>
        <v>0</v>
      </c>
      <c r="BO98" s="893" t="s">
        <v>31</v>
      </c>
      <c r="BP98" s="893" t="s">
        <v>308</v>
      </c>
      <c r="BU98" s="1533"/>
      <c r="BV98" s="1530"/>
      <c r="BW98" s="1530"/>
      <c r="BX98" s="1530"/>
    </row>
    <row r="99" spans="1:76" x14ac:dyDescent="0.25">
      <c r="B99" s="893" t="s">
        <v>949</v>
      </c>
      <c r="C99" s="899">
        <v>8046213.2499999898</v>
      </c>
      <c r="D99" s="899">
        <v>5996144.3531999998</v>
      </c>
      <c r="E99" s="899">
        <v>2050068.8967999886</v>
      </c>
      <c r="G99" s="899">
        <f t="shared" si="164"/>
        <v>1608206.7500000102</v>
      </c>
      <c r="H99" s="899">
        <f t="shared" si="164"/>
        <v>432607.64680000022</v>
      </c>
      <c r="I99" s="893" t="s">
        <v>949</v>
      </c>
      <c r="J99" s="899">
        <v>9654420</v>
      </c>
      <c r="K99" s="899">
        <v>6428752</v>
      </c>
      <c r="L99" s="899">
        <v>3225668</v>
      </c>
      <c r="N99" s="899">
        <f t="shared" si="165"/>
        <v>834885</v>
      </c>
      <c r="O99" s="899">
        <f t="shared" si="166"/>
        <v>145784</v>
      </c>
      <c r="P99" s="893" t="s">
        <v>949</v>
      </c>
      <c r="Q99" s="899">
        <v>10489305</v>
      </c>
      <c r="R99" s="899">
        <v>6574536</v>
      </c>
      <c r="S99" s="899">
        <v>3914768</v>
      </c>
      <c r="U99" s="899">
        <f t="shared" si="167"/>
        <v>30378</v>
      </c>
      <c r="V99" s="899">
        <f t="shared" si="168"/>
        <v>266218</v>
      </c>
      <c r="W99" s="893" t="s">
        <v>949</v>
      </c>
      <c r="X99" s="899">
        <v>10519683</v>
      </c>
      <c r="Y99" s="899">
        <v>6840754</v>
      </c>
      <c r="Z99" s="899">
        <v>3678928</v>
      </c>
      <c r="AB99" s="899">
        <f t="shared" si="169"/>
        <v>744128</v>
      </c>
      <c r="AC99" s="899">
        <f t="shared" si="170"/>
        <v>126907</v>
      </c>
      <c r="AD99" s="893" t="s">
        <v>949</v>
      </c>
      <c r="AE99" s="899">
        <v>11263811</v>
      </c>
      <c r="AF99" s="899">
        <v>6967661</v>
      </c>
      <c r="AG99" s="899">
        <v>4296150</v>
      </c>
      <c r="AI99" s="899">
        <f t="shared" si="131"/>
        <v>3684068.91</v>
      </c>
      <c r="AJ99" s="899">
        <f t="shared" si="173"/>
        <v>-28063.310000000522</v>
      </c>
      <c r="AK99" s="899">
        <f t="shared" si="174"/>
        <v>402719.08999999799</v>
      </c>
      <c r="AL99" s="928" t="s">
        <v>949</v>
      </c>
      <c r="AM99" s="920">
        <f>SUM(AM100:AM105)</f>
        <v>11235747.689999999</v>
      </c>
      <c r="AN99" s="920">
        <f>SUM(AN100:AN105)</f>
        <v>7370380.089999998</v>
      </c>
      <c r="AO99" s="920">
        <f>SUM(AO100:AO105)</f>
        <v>3865367.6000000006</v>
      </c>
      <c r="AQ99" s="899">
        <f t="shared" si="175"/>
        <v>2442552.2400000002</v>
      </c>
      <c r="AR99" s="899">
        <f t="shared" si="176"/>
        <v>395378.16999999993</v>
      </c>
      <c r="AS99" s="928" t="s">
        <v>949</v>
      </c>
      <c r="AT99" s="920">
        <f>SUM(AT100:AT105)</f>
        <v>13678299.93</v>
      </c>
      <c r="AU99" s="920">
        <f>SUM(AU100:AU105)</f>
        <v>7765758.2599999979</v>
      </c>
      <c r="AV99" s="920">
        <f>SUM(AV100:AV105)</f>
        <v>5912541.6699999999</v>
      </c>
      <c r="AW99" s="926"/>
      <c r="AX99" s="899">
        <f>BA99-AT99</f>
        <v>677544.60000000149</v>
      </c>
      <c r="AY99" s="899">
        <f t="shared" si="161"/>
        <v>269967.56000000145</v>
      </c>
      <c r="AZ99" s="928" t="s">
        <v>949</v>
      </c>
      <c r="BA99" s="920">
        <f>SUM(BA100:BA105)</f>
        <v>14355844.530000001</v>
      </c>
      <c r="BB99" s="920">
        <f>SUM(BB100:BB105)</f>
        <v>8035725.8199999994</v>
      </c>
      <c r="BC99" s="920">
        <f>SUM(BC100:BC105)</f>
        <v>6320118.709999999</v>
      </c>
      <c r="BE99" s="899">
        <f t="shared" si="177"/>
        <v>592035.37999999896</v>
      </c>
      <c r="BF99" s="899">
        <f t="shared" si="178"/>
        <v>405995.77000000235</v>
      </c>
      <c r="BG99" s="928" t="s">
        <v>949</v>
      </c>
      <c r="BH99" s="948">
        <f>SUM(BH100:BH105)</f>
        <v>14947879.91</v>
      </c>
      <c r="BI99" s="948">
        <f>SUM(BI100:BI105)</f>
        <v>8441721.5900000017</v>
      </c>
      <c r="BJ99" s="948">
        <f>SUM(BJ100:BJ105)</f>
        <v>6506158.3200000003</v>
      </c>
    </row>
    <row r="100" spans="1:76" x14ac:dyDescent="0.25">
      <c r="C100" s="899"/>
      <c r="D100" s="899"/>
      <c r="E100" s="899"/>
      <c r="I100" s="893" t="s">
        <v>950</v>
      </c>
      <c r="J100" s="899">
        <v>1577829</v>
      </c>
      <c r="K100" s="899">
        <v>250575</v>
      </c>
      <c r="L100" s="899">
        <v>1327254</v>
      </c>
      <c r="N100" s="899">
        <f t="shared" si="165"/>
        <v>-1311113</v>
      </c>
      <c r="O100" s="899">
        <f t="shared" si="166"/>
        <v>-226867</v>
      </c>
      <c r="P100" s="893" t="s">
        <v>950</v>
      </c>
      <c r="Q100" s="899">
        <v>266716</v>
      </c>
      <c r="R100" s="899">
        <v>23708</v>
      </c>
      <c r="S100" s="899">
        <v>243008</v>
      </c>
      <c r="U100" s="899">
        <f t="shared" si="167"/>
        <v>0</v>
      </c>
      <c r="V100" s="899">
        <f t="shared" si="168"/>
        <v>8891</v>
      </c>
      <c r="W100" s="893" t="s">
        <v>950</v>
      </c>
      <c r="X100" s="899">
        <v>266716</v>
      </c>
      <c r="Y100" s="899">
        <v>32599</v>
      </c>
      <c r="Z100" s="899">
        <v>234118</v>
      </c>
      <c r="AB100" s="899">
        <f t="shared" si="169"/>
        <v>0</v>
      </c>
      <c r="AC100" s="899">
        <f t="shared" si="170"/>
        <v>8890</v>
      </c>
      <c r="AD100" s="893" t="s">
        <v>950</v>
      </c>
      <c r="AE100" s="899">
        <v>266716</v>
      </c>
      <c r="AF100" s="899">
        <v>41489</v>
      </c>
      <c r="AG100" s="899">
        <v>225227</v>
      </c>
      <c r="AI100" s="899">
        <f t="shared" si="131"/>
        <v>0.19000000000232831</v>
      </c>
      <c r="AJ100" s="899">
        <f t="shared" ref="AJ100:AJ105" si="179">AM100-AE100</f>
        <v>0.19000000000232831</v>
      </c>
      <c r="AK100" s="899">
        <f t="shared" ref="AK100:AK105" si="180">AN100-AF100</f>
        <v>8890.68</v>
      </c>
      <c r="AL100" s="930" t="s">
        <v>950</v>
      </c>
      <c r="AM100" s="908">
        <v>266716.19</v>
      </c>
      <c r="AN100" s="906">
        <v>50379.68</v>
      </c>
      <c r="AO100" s="906">
        <f t="shared" ref="AO100:AO105" si="181">+AM100-AN100</f>
        <v>216336.51</v>
      </c>
      <c r="AQ100" s="899">
        <f t="shared" si="175"/>
        <v>0</v>
      </c>
      <c r="AR100" s="899">
        <f t="shared" si="176"/>
        <v>8890.5199999999968</v>
      </c>
      <c r="AS100" s="930" t="s">
        <v>950</v>
      </c>
      <c r="AT100" s="908">
        <v>266716.19</v>
      </c>
      <c r="AU100" s="906">
        <v>59270.2</v>
      </c>
      <c r="AV100" s="906">
        <f t="shared" ref="AV100:AV105" si="182">+AT100-AU100</f>
        <v>207445.99</v>
      </c>
      <c r="AW100" s="926"/>
      <c r="AX100" s="899">
        <f t="shared" si="160"/>
        <v>0</v>
      </c>
      <c r="AY100" s="899">
        <f t="shared" si="161"/>
        <v>8890.5200000000041</v>
      </c>
      <c r="AZ100" s="930" t="s">
        <v>950</v>
      </c>
      <c r="BA100" s="908">
        <v>266716.19</v>
      </c>
      <c r="BB100" s="906">
        <v>68160.72</v>
      </c>
      <c r="BC100" s="906">
        <f t="shared" ref="BC100:BC105" si="183">+BA100-BB100</f>
        <v>198555.47</v>
      </c>
      <c r="BE100" s="899">
        <f t="shared" ref="BE100:BE105" si="184">BH100-BA100</f>
        <v>0</v>
      </c>
      <c r="BF100" s="899">
        <f t="shared" ref="BF100:BF105" si="185">BI100-BB100</f>
        <v>8890.5199999999895</v>
      </c>
      <c r="BG100" s="930" t="s">
        <v>950</v>
      </c>
      <c r="BH100" s="899">
        <v>266716.19</v>
      </c>
      <c r="BI100" s="909">
        <v>77051.239999999991</v>
      </c>
      <c r="BJ100" s="909">
        <f t="shared" ref="BJ100:BJ105" si="186">+BH100-BI100</f>
        <v>189664.95</v>
      </c>
      <c r="BO100" s="893" t="s">
        <v>31</v>
      </c>
      <c r="BP100" s="893" t="s">
        <v>308</v>
      </c>
      <c r="BU100" s="1533"/>
      <c r="BV100" s="1170"/>
      <c r="BW100" s="1530"/>
      <c r="BX100" s="1530"/>
    </row>
    <row r="101" spans="1:76" x14ac:dyDescent="0.25">
      <c r="B101" s="893" t="s">
        <v>952</v>
      </c>
      <c r="C101" s="899">
        <v>904919.12</v>
      </c>
      <c r="D101" s="899">
        <v>163746.1</v>
      </c>
      <c r="E101" s="899">
        <v>741173.02</v>
      </c>
      <c r="G101" s="899">
        <f t="shared" ref="G101:H105" si="187">+J101-C101</f>
        <v>-0.11999999999534339</v>
      </c>
      <c r="H101" s="899">
        <f t="shared" si="187"/>
        <v>25854.899999999994</v>
      </c>
      <c r="I101" s="893" t="s">
        <v>952</v>
      </c>
      <c r="J101" s="899">
        <v>904919</v>
      </c>
      <c r="K101" s="899">
        <v>189601</v>
      </c>
      <c r="L101" s="899">
        <v>715318</v>
      </c>
      <c r="N101" s="899">
        <f t="shared" si="165"/>
        <v>0</v>
      </c>
      <c r="O101" s="899">
        <f t="shared" si="166"/>
        <v>25854</v>
      </c>
      <c r="P101" s="893" t="s">
        <v>952</v>
      </c>
      <c r="Q101" s="899">
        <v>904919</v>
      </c>
      <c r="R101" s="899">
        <v>215455</v>
      </c>
      <c r="S101" s="899">
        <v>689464</v>
      </c>
      <c r="U101" s="899">
        <f t="shared" si="167"/>
        <v>0</v>
      </c>
      <c r="V101" s="899">
        <f t="shared" si="168"/>
        <v>25855</v>
      </c>
      <c r="W101" s="893" t="s">
        <v>952</v>
      </c>
      <c r="X101" s="899">
        <v>904919</v>
      </c>
      <c r="Y101" s="899">
        <v>241310</v>
      </c>
      <c r="Z101" s="899">
        <v>663609</v>
      </c>
      <c r="AB101" s="899">
        <f t="shared" si="169"/>
        <v>0</v>
      </c>
      <c r="AC101" s="899">
        <f t="shared" si="170"/>
        <v>25855</v>
      </c>
      <c r="AD101" s="893" t="s">
        <v>952</v>
      </c>
      <c r="AE101" s="899">
        <v>904919</v>
      </c>
      <c r="AF101" s="899">
        <v>267165</v>
      </c>
      <c r="AG101" s="899">
        <v>637754</v>
      </c>
      <c r="AI101" s="899">
        <f t="shared" si="131"/>
        <v>74133.359999999986</v>
      </c>
      <c r="AJ101" s="899">
        <f t="shared" si="179"/>
        <v>0.12000000011175871</v>
      </c>
      <c r="AK101" s="899">
        <f t="shared" si="180"/>
        <v>25854.54999999993</v>
      </c>
      <c r="AL101" s="930" t="s">
        <v>952</v>
      </c>
      <c r="AM101" s="906">
        <v>904919.12000000011</v>
      </c>
      <c r="AN101" s="906">
        <v>293019.54999999993</v>
      </c>
      <c r="AO101" s="906">
        <f t="shared" si="181"/>
        <v>611899.57000000018</v>
      </c>
      <c r="AQ101" s="899">
        <f t="shared" si="175"/>
        <v>0</v>
      </c>
      <c r="AR101" s="899">
        <f t="shared" si="176"/>
        <v>25854.690000000002</v>
      </c>
      <c r="AS101" s="930" t="s">
        <v>952</v>
      </c>
      <c r="AT101" s="906">
        <v>904919.12000000011</v>
      </c>
      <c r="AU101" s="906">
        <v>318874.23999999993</v>
      </c>
      <c r="AV101" s="906">
        <f t="shared" si="182"/>
        <v>586044.88000000012</v>
      </c>
      <c r="AW101" s="926"/>
      <c r="AX101" s="899">
        <f t="shared" si="160"/>
        <v>0</v>
      </c>
      <c r="AY101" s="899">
        <f t="shared" si="161"/>
        <v>25854.690000000177</v>
      </c>
      <c r="AZ101" s="930" t="s">
        <v>952</v>
      </c>
      <c r="BA101" s="906">
        <v>904919.12000000011</v>
      </c>
      <c r="BB101" s="906">
        <v>344728.93000000011</v>
      </c>
      <c r="BC101" s="906">
        <f t="shared" si="183"/>
        <v>560190.18999999994</v>
      </c>
      <c r="BE101" s="1546">
        <f t="shared" si="184"/>
        <v>74133.239999999874</v>
      </c>
      <c r="BF101" s="899">
        <f t="shared" si="185"/>
        <v>27227.609999999928</v>
      </c>
      <c r="BG101" s="930" t="s">
        <v>952</v>
      </c>
      <c r="BH101" s="909">
        <v>979052.36</v>
      </c>
      <c r="BI101" s="909">
        <v>371956.54000000004</v>
      </c>
      <c r="BJ101" s="909">
        <f t="shared" si="186"/>
        <v>607095.81999999995</v>
      </c>
      <c r="BO101" s="893" t="s">
        <v>31</v>
      </c>
      <c r="BP101" s="893" t="s">
        <v>308</v>
      </c>
      <c r="BU101" s="1533"/>
      <c r="BV101" s="1530"/>
      <c r="BW101" s="1530"/>
      <c r="BX101" s="1530"/>
    </row>
    <row r="102" spans="1:76" x14ac:dyDescent="0.25">
      <c r="B102" s="893" t="s">
        <v>951</v>
      </c>
      <c r="C102" s="899">
        <v>5198137.3499999894</v>
      </c>
      <c r="D102" s="899">
        <v>4632054.3500000006</v>
      </c>
      <c r="E102" s="899">
        <v>566082.99999998882</v>
      </c>
      <c r="G102" s="899">
        <f t="shared" si="187"/>
        <v>30377.650000010617</v>
      </c>
      <c r="H102" s="899">
        <f t="shared" si="187"/>
        <v>72153.649999999441</v>
      </c>
      <c r="I102" s="893" t="s">
        <v>951</v>
      </c>
      <c r="J102" s="899">
        <v>5228515</v>
      </c>
      <c r="K102" s="899">
        <v>4704208</v>
      </c>
      <c r="L102" s="899">
        <v>524307</v>
      </c>
      <c r="N102" s="899">
        <f t="shared" si="165"/>
        <v>-30378</v>
      </c>
      <c r="O102" s="899">
        <f t="shared" si="166"/>
        <v>203242</v>
      </c>
      <c r="P102" s="893" t="s">
        <v>951</v>
      </c>
      <c r="Q102" s="899">
        <v>5198137</v>
      </c>
      <c r="R102" s="899">
        <v>4907450</v>
      </c>
      <c r="S102" s="899">
        <v>290687</v>
      </c>
      <c r="U102" s="899">
        <f t="shared" si="167"/>
        <v>30378</v>
      </c>
      <c r="V102" s="899">
        <f t="shared" si="168"/>
        <v>113828</v>
      </c>
      <c r="W102" s="893" t="s">
        <v>951</v>
      </c>
      <c r="X102" s="899">
        <v>5228515</v>
      </c>
      <c r="Y102" s="899">
        <v>5021278</v>
      </c>
      <c r="Z102" s="899">
        <v>207237</v>
      </c>
      <c r="AB102" s="899">
        <f t="shared" si="169"/>
        <v>744129</v>
      </c>
      <c r="AC102" s="899">
        <f t="shared" si="170"/>
        <v>-25484</v>
      </c>
      <c r="AD102" s="893" t="s">
        <v>951</v>
      </c>
      <c r="AE102" s="899">
        <v>5972644</v>
      </c>
      <c r="AF102" s="899">
        <v>4995794</v>
      </c>
      <c r="AG102" s="899">
        <v>976850</v>
      </c>
      <c r="AI102" s="899">
        <f t="shared" si="131"/>
        <v>10136.239999999292</v>
      </c>
      <c r="AJ102" s="898">
        <f t="shared" si="179"/>
        <v>-28063.760000001639</v>
      </c>
      <c r="AK102" s="899">
        <f t="shared" si="180"/>
        <v>250328.88999999873</v>
      </c>
      <c r="AL102" s="930" t="s">
        <v>951</v>
      </c>
      <c r="AM102" s="906">
        <v>5944580.2399999984</v>
      </c>
      <c r="AN102" s="906">
        <v>5246122.8899999987</v>
      </c>
      <c r="AO102" s="906">
        <f t="shared" si="181"/>
        <v>698457.34999999963</v>
      </c>
      <c r="AQ102" s="899">
        <f t="shared" si="175"/>
        <v>0</v>
      </c>
      <c r="AR102" s="899">
        <f t="shared" si="176"/>
        <v>21326.929999999702</v>
      </c>
      <c r="AS102" s="930" t="s">
        <v>951</v>
      </c>
      <c r="AT102" s="906">
        <v>5944580.2399999984</v>
      </c>
      <c r="AU102" s="906">
        <v>5267449.8199999984</v>
      </c>
      <c r="AV102" s="906">
        <f t="shared" si="182"/>
        <v>677130.41999999993</v>
      </c>
      <c r="AW102" s="926"/>
      <c r="AX102" s="899">
        <f t="shared" si="160"/>
        <v>0</v>
      </c>
      <c r="AY102" s="899">
        <f t="shared" si="161"/>
        <v>21326.930000000633</v>
      </c>
      <c r="AZ102" s="930" t="s">
        <v>951</v>
      </c>
      <c r="BA102" s="906">
        <v>5944580.2399999984</v>
      </c>
      <c r="BB102" s="906">
        <v>5288776.7499999991</v>
      </c>
      <c r="BC102" s="906">
        <f t="shared" si="183"/>
        <v>655803.48999999929</v>
      </c>
      <c r="BE102" s="1546">
        <f t="shared" si="184"/>
        <v>38200.000000000931</v>
      </c>
      <c r="BF102" s="899">
        <f t="shared" si="185"/>
        <v>24191.820000002161</v>
      </c>
      <c r="BG102" s="930" t="s">
        <v>951</v>
      </c>
      <c r="BH102" s="909">
        <v>5982780.2399999993</v>
      </c>
      <c r="BI102" s="909">
        <v>5312968.5700000012</v>
      </c>
      <c r="BJ102" s="909">
        <f t="shared" si="186"/>
        <v>669811.66999999806</v>
      </c>
      <c r="BO102" s="893" t="s">
        <v>31</v>
      </c>
      <c r="BP102" s="893" t="s">
        <v>308</v>
      </c>
      <c r="BU102" s="1533"/>
      <c r="BV102" s="1530"/>
      <c r="BW102" s="1530"/>
      <c r="BX102" s="1530"/>
    </row>
    <row r="103" spans="1:76" x14ac:dyDescent="0.25">
      <c r="B103" s="893" t="s">
        <v>953</v>
      </c>
      <c r="C103" s="899">
        <v>899070.5</v>
      </c>
      <c r="D103" s="899">
        <v>624245.79000000027</v>
      </c>
      <c r="E103" s="899">
        <v>274824.70999999973</v>
      </c>
      <c r="G103" s="899">
        <f t="shared" si="187"/>
        <v>0.5</v>
      </c>
      <c r="H103" s="899">
        <f t="shared" si="187"/>
        <v>25632.20999999973</v>
      </c>
      <c r="I103" s="893" t="s">
        <v>953</v>
      </c>
      <c r="J103" s="899">
        <v>899071</v>
      </c>
      <c r="K103" s="899">
        <v>649878</v>
      </c>
      <c r="L103" s="899">
        <v>249192</v>
      </c>
      <c r="N103" s="899">
        <f t="shared" si="165"/>
        <v>0</v>
      </c>
      <c r="O103" s="899">
        <f t="shared" si="166"/>
        <v>25633</v>
      </c>
      <c r="P103" s="893" t="s">
        <v>953</v>
      </c>
      <c r="Q103" s="899">
        <v>899071</v>
      </c>
      <c r="R103" s="899">
        <v>675511</v>
      </c>
      <c r="S103" s="899">
        <v>223560</v>
      </c>
      <c r="U103" s="899">
        <f t="shared" si="167"/>
        <v>0</v>
      </c>
      <c r="V103" s="899">
        <f t="shared" si="168"/>
        <v>25632</v>
      </c>
      <c r="W103" s="893" t="s">
        <v>953</v>
      </c>
      <c r="X103" s="899">
        <v>899071</v>
      </c>
      <c r="Y103" s="899">
        <v>701143</v>
      </c>
      <c r="Z103" s="899">
        <v>197927</v>
      </c>
      <c r="AB103" s="899">
        <f t="shared" si="169"/>
        <v>0</v>
      </c>
      <c r="AC103" s="899">
        <f t="shared" si="170"/>
        <v>25633</v>
      </c>
      <c r="AD103" s="893" t="s">
        <v>953</v>
      </c>
      <c r="AE103" s="899">
        <v>899071</v>
      </c>
      <c r="AF103" s="899">
        <v>726776</v>
      </c>
      <c r="AG103" s="899">
        <v>172294</v>
      </c>
      <c r="AI103" s="899">
        <f t="shared" si="131"/>
        <v>3493282.120000001</v>
      </c>
      <c r="AJ103" s="898">
        <f t="shared" si="179"/>
        <v>-0.49999999965075403</v>
      </c>
      <c r="AK103" s="899">
        <f t="shared" si="180"/>
        <v>25632.589999999851</v>
      </c>
      <c r="AL103" s="930" t="s">
        <v>953</v>
      </c>
      <c r="AM103" s="906">
        <v>899070.50000000035</v>
      </c>
      <c r="AN103" s="906">
        <v>752408.58999999985</v>
      </c>
      <c r="AO103" s="906">
        <f t="shared" si="181"/>
        <v>146661.9100000005</v>
      </c>
      <c r="AQ103" s="899">
        <f t="shared" si="175"/>
        <v>2442552.2399999998</v>
      </c>
      <c r="AR103" s="899">
        <f t="shared" si="176"/>
        <v>261172.61000000057</v>
      </c>
      <c r="AS103" s="930" t="s">
        <v>953</v>
      </c>
      <c r="AT103" s="906">
        <v>3341622.74</v>
      </c>
      <c r="AU103" s="906">
        <v>1013581.2000000004</v>
      </c>
      <c r="AV103" s="906">
        <f t="shared" si="182"/>
        <v>2328041.54</v>
      </c>
      <c r="AW103" s="926"/>
      <c r="AX103" s="899">
        <f t="shared" si="160"/>
        <v>677544.60000000102</v>
      </c>
      <c r="AY103" s="899">
        <f t="shared" si="161"/>
        <v>137012.03000000026</v>
      </c>
      <c r="AZ103" s="930" t="s">
        <v>953</v>
      </c>
      <c r="BA103" s="906">
        <v>4019167.3400000012</v>
      </c>
      <c r="BB103" s="906">
        <v>1150593.2300000007</v>
      </c>
      <c r="BC103" s="906">
        <f t="shared" si="183"/>
        <v>2868574.1100000003</v>
      </c>
      <c r="BE103" s="1546">
        <f t="shared" si="184"/>
        <v>373185.7799999998</v>
      </c>
      <c r="BF103" s="899">
        <f t="shared" si="185"/>
        <v>246231.19999999856</v>
      </c>
      <c r="BG103" s="930" t="s">
        <v>953</v>
      </c>
      <c r="BH103" s="909">
        <v>4392353.120000001</v>
      </c>
      <c r="BI103" s="909">
        <v>1396824.4299999992</v>
      </c>
      <c r="BJ103" s="909">
        <f t="shared" si="186"/>
        <v>2995528.6900000018</v>
      </c>
      <c r="BO103" s="893" t="s">
        <v>31</v>
      </c>
      <c r="BP103" s="893" t="s">
        <v>308</v>
      </c>
      <c r="BU103" s="1533"/>
      <c r="BV103" s="1530"/>
      <c r="BW103" s="1530"/>
      <c r="BX103" s="1530"/>
    </row>
    <row r="104" spans="1:76" x14ac:dyDescent="0.25">
      <c r="B104" s="893" t="s">
        <v>954</v>
      </c>
      <c r="C104" s="899">
        <v>567109.08000000007</v>
      </c>
      <c r="D104" s="899">
        <v>183758.30000000016</v>
      </c>
      <c r="E104" s="899">
        <v>383350.77999999991</v>
      </c>
      <c r="G104" s="899">
        <f t="shared" si="187"/>
        <v>-8.0000000074505806E-2</v>
      </c>
      <c r="H104" s="899">
        <f t="shared" si="187"/>
        <v>42563.699999999837</v>
      </c>
      <c r="I104" s="893" t="s">
        <v>954</v>
      </c>
      <c r="J104" s="899">
        <v>567109</v>
      </c>
      <c r="K104" s="899">
        <v>226322</v>
      </c>
      <c r="L104" s="899">
        <v>340787</v>
      </c>
      <c r="N104" s="899">
        <f t="shared" si="165"/>
        <v>1598359</v>
      </c>
      <c r="O104" s="899">
        <f t="shared" si="166"/>
        <v>80898</v>
      </c>
      <c r="P104" s="893" t="s">
        <v>954</v>
      </c>
      <c r="Q104" s="899">
        <v>2165468</v>
      </c>
      <c r="R104" s="899">
        <v>307220</v>
      </c>
      <c r="S104" s="899">
        <v>1858248</v>
      </c>
      <c r="U104" s="899">
        <f t="shared" si="167"/>
        <v>0</v>
      </c>
      <c r="V104" s="899">
        <f t="shared" si="168"/>
        <v>61871</v>
      </c>
      <c r="W104" s="893" t="s">
        <v>954</v>
      </c>
      <c r="X104" s="899">
        <v>2165468</v>
      </c>
      <c r="Y104" s="899">
        <v>369091</v>
      </c>
      <c r="Z104" s="899">
        <v>1796378</v>
      </c>
      <c r="AB104" s="899">
        <f t="shared" si="169"/>
        <v>0</v>
      </c>
      <c r="AC104" s="899">
        <f t="shared" si="170"/>
        <v>61870</v>
      </c>
      <c r="AD104" s="893" t="s">
        <v>954</v>
      </c>
      <c r="AE104" s="899">
        <v>2165468</v>
      </c>
      <c r="AF104" s="899">
        <v>430961</v>
      </c>
      <c r="AG104" s="899">
        <v>1734508</v>
      </c>
      <c r="AI104" s="899">
        <f t="shared" si="131"/>
        <v>106516.66999999993</v>
      </c>
      <c r="AJ104" s="898">
        <f t="shared" si="179"/>
        <v>0.31000000005587935</v>
      </c>
      <c r="AK104" s="899">
        <f t="shared" si="180"/>
        <v>61869.869999999995</v>
      </c>
      <c r="AL104" s="930" t="s">
        <v>954</v>
      </c>
      <c r="AM104" s="906">
        <v>2165468.31</v>
      </c>
      <c r="AN104" s="906">
        <v>492830.87</v>
      </c>
      <c r="AO104" s="906">
        <f t="shared" si="181"/>
        <v>1672637.4399999999</v>
      </c>
      <c r="AQ104" s="899">
        <f t="shared" si="175"/>
        <v>0</v>
      </c>
      <c r="AR104" s="899">
        <f t="shared" si="176"/>
        <v>59924.95000000007</v>
      </c>
      <c r="AS104" s="930" t="s">
        <v>954</v>
      </c>
      <c r="AT104" s="906">
        <v>2165468.31</v>
      </c>
      <c r="AU104" s="906">
        <v>552755.82000000007</v>
      </c>
      <c r="AV104" s="906">
        <f t="shared" si="182"/>
        <v>1612712.49</v>
      </c>
      <c r="AW104" s="926"/>
      <c r="AX104" s="899">
        <f t="shared" si="160"/>
        <v>0</v>
      </c>
      <c r="AY104" s="899">
        <f t="shared" si="161"/>
        <v>59780.140000000014</v>
      </c>
      <c r="AZ104" s="930" t="s">
        <v>954</v>
      </c>
      <c r="BA104" s="906">
        <v>2165468.31</v>
      </c>
      <c r="BB104" s="906">
        <v>612535.96000000008</v>
      </c>
      <c r="BC104" s="906">
        <f t="shared" si="183"/>
        <v>1552932.35</v>
      </c>
      <c r="BE104" s="1546">
        <f t="shared" si="184"/>
        <v>106516.35999999987</v>
      </c>
      <c r="BF104" s="899">
        <f t="shared" si="185"/>
        <v>82351.37</v>
      </c>
      <c r="BG104" s="930" t="s">
        <v>954</v>
      </c>
      <c r="BH104" s="909">
        <v>2271984.67</v>
      </c>
      <c r="BI104" s="909">
        <v>694887.33000000007</v>
      </c>
      <c r="BJ104" s="909">
        <f t="shared" si="186"/>
        <v>1577097.3399999999</v>
      </c>
      <c r="BO104" s="893" t="s">
        <v>31</v>
      </c>
      <c r="BP104" s="893" t="s">
        <v>308</v>
      </c>
      <c r="BU104" s="1533"/>
      <c r="BV104" s="1530"/>
      <c r="BW104" s="1530"/>
      <c r="BX104" s="1530"/>
    </row>
    <row r="105" spans="1:76" x14ac:dyDescent="0.25">
      <c r="B105" s="893" t="s">
        <v>955</v>
      </c>
      <c r="C105" s="899">
        <v>476977.20000000007</v>
      </c>
      <c r="D105" s="899">
        <v>392339.81320000003</v>
      </c>
      <c r="E105" s="899">
        <v>84637.386800000037</v>
      </c>
      <c r="G105" s="899">
        <f t="shared" si="187"/>
        <v>-0.20000000006984919</v>
      </c>
      <c r="H105" s="899">
        <f t="shared" si="187"/>
        <v>15828.186799999967</v>
      </c>
      <c r="I105" s="893" t="s">
        <v>955</v>
      </c>
      <c r="J105" s="899">
        <v>476977</v>
      </c>
      <c r="K105" s="899">
        <v>408168</v>
      </c>
      <c r="L105" s="899">
        <v>68809</v>
      </c>
      <c r="N105" s="899">
        <f t="shared" si="165"/>
        <v>578016</v>
      </c>
      <c r="O105" s="899">
        <f t="shared" si="166"/>
        <v>37023</v>
      </c>
      <c r="P105" s="893" t="s">
        <v>955</v>
      </c>
      <c r="Q105" s="899">
        <v>1054993</v>
      </c>
      <c r="R105" s="899">
        <v>445191</v>
      </c>
      <c r="S105" s="899">
        <v>609802</v>
      </c>
      <c r="U105" s="899">
        <f t="shared" si="167"/>
        <v>0</v>
      </c>
      <c r="V105" s="899">
        <f t="shared" si="168"/>
        <v>30143</v>
      </c>
      <c r="W105" s="893" t="s">
        <v>955</v>
      </c>
      <c r="X105" s="899">
        <v>1054993</v>
      </c>
      <c r="Y105" s="899">
        <v>475334</v>
      </c>
      <c r="Z105" s="899">
        <v>579660</v>
      </c>
      <c r="AB105" s="899">
        <f t="shared" si="169"/>
        <v>0</v>
      </c>
      <c r="AC105" s="899">
        <f t="shared" si="170"/>
        <v>30142</v>
      </c>
      <c r="AD105" s="893" t="s">
        <v>955</v>
      </c>
      <c r="AE105" s="899">
        <v>1054993</v>
      </c>
      <c r="AF105" s="899">
        <v>505476</v>
      </c>
      <c r="AG105" s="899">
        <v>549517</v>
      </c>
      <c r="AI105" s="899">
        <f t="shared" si="131"/>
        <v>0.32999999984167516</v>
      </c>
      <c r="AJ105" s="899">
        <f t="shared" si="179"/>
        <v>0.32999999984167516</v>
      </c>
      <c r="AK105" s="899">
        <f t="shared" si="180"/>
        <v>30142.509999999544</v>
      </c>
      <c r="AL105" s="930" t="s">
        <v>955</v>
      </c>
      <c r="AM105" s="906">
        <v>1054993.3299999998</v>
      </c>
      <c r="AN105" s="906">
        <v>535618.50999999954</v>
      </c>
      <c r="AO105" s="906">
        <f t="shared" si="181"/>
        <v>519374.8200000003</v>
      </c>
      <c r="AQ105" s="899">
        <f t="shared" si="175"/>
        <v>0</v>
      </c>
      <c r="AR105" s="899">
        <f t="shared" si="176"/>
        <v>18208.470000000321</v>
      </c>
      <c r="AS105" s="930" t="s">
        <v>955</v>
      </c>
      <c r="AT105" s="906">
        <v>1054993.3299999998</v>
      </c>
      <c r="AU105" s="906">
        <v>553826.97999999986</v>
      </c>
      <c r="AV105" s="906">
        <f t="shared" si="182"/>
        <v>501166.35</v>
      </c>
      <c r="AW105" s="926"/>
      <c r="AX105" s="899">
        <f t="shared" si="160"/>
        <v>0</v>
      </c>
      <c r="AY105" s="899">
        <f t="shared" si="161"/>
        <v>17103.25</v>
      </c>
      <c r="AZ105" s="930" t="s">
        <v>955</v>
      </c>
      <c r="BA105" s="906">
        <v>1054993.3299999998</v>
      </c>
      <c r="BB105" s="906">
        <v>570930.22999999986</v>
      </c>
      <c r="BC105" s="906">
        <f t="shared" si="183"/>
        <v>484063.1</v>
      </c>
      <c r="BE105" s="899">
        <f t="shared" si="184"/>
        <v>0</v>
      </c>
      <c r="BF105" s="899">
        <f t="shared" si="185"/>
        <v>17103.249999999884</v>
      </c>
      <c r="BG105" s="930" t="s">
        <v>955</v>
      </c>
      <c r="BH105" s="909">
        <v>1054993.3299999998</v>
      </c>
      <c r="BI105" s="909">
        <v>588033.47999999975</v>
      </c>
      <c r="BJ105" s="909">
        <f t="shared" si="186"/>
        <v>466959.85000000009</v>
      </c>
      <c r="BO105" s="893" t="s">
        <v>31</v>
      </c>
      <c r="BP105" s="893" t="s">
        <v>308</v>
      </c>
      <c r="BU105" s="1533"/>
      <c r="BV105" s="1530"/>
      <c r="BW105" s="1530"/>
      <c r="BX105" s="1530"/>
    </row>
    <row r="106" spans="1:76" x14ac:dyDescent="0.25">
      <c r="C106" s="899"/>
      <c r="D106" s="899"/>
      <c r="E106" s="899"/>
      <c r="J106" s="899"/>
      <c r="K106" s="899"/>
      <c r="L106" s="899"/>
      <c r="Q106" s="899"/>
      <c r="R106" s="899"/>
      <c r="S106" s="899"/>
      <c r="X106" s="899"/>
      <c r="Y106" s="899"/>
      <c r="Z106" s="899"/>
      <c r="AE106" s="899"/>
      <c r="AF106" s="899"/>
      <c r="AG106" s="899"/>
      <c r="AI106" s="899"/>
      <c r="AW106" s="926"/>
      <c r="AX106" s="899"/>
      <c r="AY106" s="899"/>
    </row>
    <row r="107" spans="1:76" x14ac:dyDescent="0.25">
      <c r="B107" s="893" t="s">
        <v>935</v>
      </c>
      <c r="C107" s="899"/>
      <c r="D107" s="899"/>
      <c r="E107" s="899"/>
      <c r="I107" s="893" t="s">
        <v>935</v>
      </c>
      <c r="P107" s="893" t="s">
        <v>935</v>
      </c>
      <c r="W107" s="893" t="s">
        <v>935</v>
      </c>
      <c r="AB107" s="899">
        <f t="shared" ref="AB107:AC112" si="188">+AE107-X107</f>
        <v>0</v>
      </c>
      <c r="AC107" s="899">
        <f t="shared" si="188"/>
        <v>0</v>
      </c>
      <c r="AD107" s="893" t="s">
        <v>935</v>
      </c>
      <c r="AI107" s="899">
        <f t="shared" si="131"/>
        <v>0</v>
      </c>
      <c r="AJ107" s="899">
        <f t="shared" ref="AJ107:AJ108" si="189">AM107-AE107</f>
        <v>0</v>
      </c>
      <c r="AK107" s="899">
        <f t="shared" ref="AK107:AK108" si="190">AN107-AF107</f>
        <v>0</v>
      </c>
      <c r="AL107" s="927" t="s">
        <v>935</v>
      </c>
      <c r="AM107" s="921"/>
      <c r="AN107" s="922"/>
      <c r="AO107" s="906"/>
      <c r="AS107" s="927" t="s">
        <v>935</v>
      </c>
      <c r="AT107" s="921"/>
      <c r="AU107" s="922"/>
      <c r="AV107" s="906"/>
      <c r="AW107" s="926"/>
      <c r="AX107" s="899"/>
      <c r="AY107" s="899"/>
      <c r="AZ107" s="927" t="s">
        <v>935</v>
      </c>
      <c r="BA107" s="921"/>
      <c r="BB107" s="922"/>
      <c r="BC107" s="906"/>
      <c r="BG107" s="927" t="s">
        <v>935</v>
      </c>
      <c r="BH107" s="949"/>
      <c r="BI107" s="950"/>
      <c r="BJ107" s="909"/>
    </row>
    <row r="108" spans="1:76" x14ac:dyDescent="0.25">
      <c r="B108" s="893" t="s">
        <v>196</v>
      </c>
      <c r="C108" s="899">
        <v>3208753.9299999997</v>
      </c>
      <c r="D108" s="899">
        <v>2254828.5899999989</v>
      </c>
      <c r="E108" s="899">
        <v>953925.3400000009</v>
      </c>
      <c r="G108" s="899">
        <f t="shared" ref="G108:H112" si="191">+J108-C108</f>
        <v>-8590.929999999702</v>
      </c>
      <c r="H108" s="899">
        <f t="shared" si="191"/>
        <v>18050.41000000108</v>
      </c>
      <c r="I108" s="893" t="s">
        <v>196</v>
      </c>
      <c r="J108" s="899">
        <v>3200163</v>
      </c>
      <c r="K108" s="899">
        <v>2272879</v>
      </c>
      <c r="L108" s="899">
        <v>927283</v>
      </c>
      <c r="N108" s="899">
        <f t="shared" ref="N108:O112" si="192">+Q108-J108</f>
        <v>0</v>
      </c>
      <c r="O108" s="899">
        <f t="shared" si="192"/>
        <v>55193</v>
      </c>
      <c r="P108" s="893" t="s">
        <v>196</v>
      </c>
      <c r="Q108" s="899">
        <v>3200163</v>
      </c>
      <c r="R108" s="899">
        <v>2328072</v>
      </c>
      <c r="S108" s="899">
        <v>872091</v>
      </c>
      <c r="U108" s="899">
        <f t="shared" ref="U108:V112" si="193">+X108-Q108</f>
        <v>0</v>
      </c>
      <c r="V108" s="899">
        <f t="shared" si="193"/>
        <v>55192</v>
      </c>
      <c r="W108" s="893" t="s">
        <v>196</v>
      </c>
      <c r="X108" s="899">
        <v>3200163</v>
      </c>
      <c r="Y108" s="899">
        <v>2383264</v>
      </c>
      <c r="Z108" s="899">
        <v>816899</v>
      </c>
      <c r="AB108" s="899">
        <f t="shared" si="188"/>
        <v>0</v>
      </c>
      <c r="AC108" s="899">
        <f t="shared" si="188"/>
        <v>38597</v>
      </c>
      <c r="AD108" s="893" t="s">
        <v>196</v>
      </c>
      <c r="AE108" s="899">
        <v>3200163</v>
      </c>
      <c r="AF108" s="899">
        <v>2421861</v>
      </c>
      <c r="AG108" s="899">
        <v>778302</v>
      </c>
      <c r="AI108" s="899">
        <f t="shared" si="131"/>
        <v>183451.46000000183</v>
      </c>
      <c r="AJ108" s="899">
        <f t="shared" si="189"/>
        <v>183451.46000000183</v>
      </c>
      <c r="AK108" s="899">
        <f t="shared" si="190"/>
        <v>170894.67000000179</v>
      </c>
      <c r="AL108" s="928" t="s">
        <v>196</v>
      </c>
      <c r="AM108" s="902">
        <f>SUM(AM109:AM112)</f>
        <v>3383614.4600000018</v>
      </c>
      <c r="AN108" s="902">
        <f>SUM(AN109:AN112)</f>
        <v>2592755.6700000018</v>
      </c>
      <c r="AO108" s="902">
        <f>SUM(AO109:AO112)</f>
        <v>790858.7899999998</v>
      </c>
      <c r="AQ108" s="899">
        <f t="shared" ref="AQ108" si="194">AT108-AM108</f>
        <v>0</v>
      </c>
      <c r="AR108" s="899">
        <f t="shared" ref="AR108" si="195">AU108-AN108</f>
        <v>3364.2700000000186</v>
      </c>
      <c r="AS108" s="928" t="s">
        <v>196</v>
      </c>
      <c r="AT108" s="902">
        <f>SUM(AT109:AT112)</f>
        <v>3383614.4600000018</v>
      </c>
      <c r="AU108" s="902">
        <f>SUM(AU109:AU112)</f>
        <v>2596119.9400000018</v>
      </c>
      <c r="AV108" s="902">
        <f>SUM(AV109:AV112)</f>
        <v>787494.5199999999</v>
      </c>
      <c r="AW108" s="926"/>
      <c r="AX108" s="899">
        <f>BA108-AT108</f>
        <v>0</v>
      </c>
      <c r="AY108" s="899">
        <f t="shared" ref="AY108" si="196">BB108-AU108</f>
        <v>812.47000000020489</v>
      </c>
      <c r="AZ108" s="928" t="s">
        <v>196</v>
      </c>
      <c r="BA108" s="902">
        <f>SUM(BA109:BA112)</f>
        <v>3383614.4600000018</v>
      </c>
      <c r="BB108" s="902">
        <f>SUM(BB109:BB112)</f>
        <v>2596932.410000002</v>
      </c>
      <c r="BC108" s="902">
        <f>SUM(BC109:BC112)</f>
        <v>786682.04999999981</v>
      </c>
      <c r="BE108" s="899">
        <f t="shared" ref="BE108" si="197">BH108-BA108</f>
        <v>0</v>
      </c>
      <c r="BF108" s="899">
        <f t="shared" ref="BF108" si="198">BI108-BB108</f>
        <v>812.46999999973923</v>
      </c>
      <c r="BG108" s="928" t="s">
        <v>196</v>
      </c>
      <c r="BH108" s="910">
        <f>SUM(BH109:BH112)</f>
        <v>3383614.4600000018</v>
      </c>
      <c r="BI108" s="910">
        <f>SUM(BI109:BI112)</f>
        <v>2597744.8800000018</v>
      </c>
      <c r="BJ108" s="910">
        <f>SUM(BJ109:BJ112)</f>
        <v>785869.57999999984</v>
      </c>
    </row>
    <row r="109" spans="1:76" x14ac:dyDescent="0.25">
      <c r="B109" s="893" t="s">
        <v>956</v>
      </c>
      <c r="C109" s="899">
        <v>562710</v>
      </c>
      <c r="D109" s="899">
        <v>396090.6</v>
      </c>
      <c r="E109" s="899">
        <v>166619.40000000002</v>
      </c>
      <c r="G109" s="899">
        <f t="shared" si="191"/>
        <v>0</v>
      </c>
      <c r="H109" s="899">
        <f t="shared" si="191"/>
        <v>11883.400000000023</v>
      </c>
      <c r="I109" s="893" t="s">
        <v>956</v>
      </c>
      <c r="J109" s="899">
        <v>562710</v>
      </c>
      <c r="K109" s="899">
        <v>407974</v>
      </c>
      <c r="L109" s="899">
        <v>154736</v>
      </c>
      <c r="N109" s="899">
        <f t="shared" si="192"/>
        <v>0</v>
      </c>
      <c r="O109" s="899">
        <f t="shared" si="192"/>
        <v>11883</v>
      </c>
      <c r="P109" s="893" t="s">
        <v>956</v>
      </c>
      <c r="Q109" s="899">
        <v>562710</v>
      </c>
      <c r="R109" s="899">
        <v>419857</v>
      </c>
      <c r="S109" s="899">
        <v>142853</v>
      </c>
      <c r="U109" s="899">
        <f t="shared" si="193"/>
        <v>0</v>
      </c>
      <c r="V109" s="899">
        <f t="shared" si="193"/>
        <v>11884</v>
      </c>
      <c r="W109" s="893" t="s">
        <v>956</v>
      </c>
      <c r="X109" s="899">
        <v>562710</v>
      </c>
      <c r="Y109" s="899">
        <v>431741</v>
      </c>
      <c r="Z109" s="899">
        <v>130969</v>
      </c>
      <c r="AB109" s="899">
        <f t="shared" si="188"/>
        <v>0</v>
      </c>
      <c r="AC109" s="899">
        <f t="shared" si="188"/>
        <v>11570</v>
      </c>
      <c r="AD109" s="893" t="s">
        <v>956</v>
      </c>
      <c r="AE109" s="899">
        <v>562710</v>
      </c>
      <c r="AF109" s="899">
        <v>443311</v>
      </c>
      <c r="AG109" s="899">
        <v>119399</v>
      </c>
      <c r="AI109" s="899">
        <f t="shared" si="131"/>
        <v>153074.16000000003</v>
      </c>
      <c r="AJ109" s="898">
        <f t="shared" ref="AJ109:AJ112" si="199">AM109-AE109</f>
        <v>153074.16000000003</v>
      </c>
      <c r="AK109" s="899">
        <f t="shared" ref="AK109:AK112" si="200">AN109-AF109</f>
        <v>157986.55000000016</v>
      </c>
      <c r="AL109" s="930" t="s">
        <v>956</v>
      </c>
      <c r="AM109" s="906">
        <v>715784.16</v>
      </c>
      <c r="AN109" s="906">
        <v>601297.55000000016</v>
      </c>
      <c r="AO109" s="906">
        <f>+AM109-AN109</f>
        <v>114486.60999999987</v>
      </c>
      <c r="AQ109" s="899">
        <f t="shared" ref="AQ109:AQ112" si="201">AT109-AM109</f>
        <v>0</v>
      </c>
      <c r="AR109" s="899">
        <f t="shared" ref="AR109:AR112" si="202">AU109-AN109</f>
        <v>2551.7999999999302</v>
      </c>
      <c r="AS109" s="930" t="s">
        <v>956</v>
      </c>
      <c r="AT109" s="906">
        <v>715784.16</v>
      </c>
      <c r="AU109" s="906">
        <v>603849.35000000009</v>
      </c>
      <c r="AV109" s="906">
        <f>+AT109-AU109</f>
        <v>111934.80999999994</v>
      </c>
      <c r="AW109" s="926"/>
      <c r="AX109" s="899">
        <f t="shared" si="160"/>
        <v>0</v>
      </c>
      <c r="AY109" s="899">
        <f t="shared" si="161"/>
        <v>0</v>
      </c>
      <c r="AZ109" s="930" t="s">
        <v>956</v>
      </c>
      <c r="BA109" s="906">
        <v>715784.16</v>
      </c>
      <c r="BB109" s="906">
        <v>603849.35000000009</v>
      </c>
      <c r="BC109" s="906">
        <f>+BA109-BB109</f>
        <v>111934.80999999994</v>
      </c>
      <c r="BE109" s="1546">
        <f t="shared" ref="BE109:BE112" si="203">BH109-BA109</f>
        <v>0</v>
      </c>
      <c r="BF109" s="899">
        <f t="shared" ref="BF109:BF112" si="204">BI109-BB109</f>
        <v>0</v>
      </c>
      <c r="BG109" s="930" t="s">
        <v>956</v>
      </c>
      <c r="BH109" s="909">
        <v>715784.16</v>
      </c>
      <c r="BI109" s="909">
        <v>603849.35000000009</v>
      </c>
      <c r="BJ109" s="909">
        <f>+BH109-BI109</f>
        <v>111934.80999999994</v>
      </c>
      <c r="BO109" s="893" t="s">
        <v>31</v>
      </c>
      <c r="BP109" s="893" t="s">
        <v>310</v>
      </c>
      <c r="BU109" s="1533"/>
      <c r="BV109" s="1530"/>
      <c r="BW109" s="1530"/>
      <c r="BX109" s="1530"/>
    </row>
    <row r="110" spans="1:76" x14ac:dyDescent="0.25">
      <c r="B110" s="893" t="s">
        <v>957</v>
      </c>
      <c r="C110" s="899">
        <v>787489.69</v>
      </c>
      <c r="D110" s="899">
        <v>159569.57999999999</v>
      </c>
      <c r="E110" s="899">
        <v>627920.11</v>
      </c>
      <c r="G110" s="899">
        <f t="shared" si="191"/>
        <v>0.31000000005587935</v>
      </c>
      <c r="H110" s="899">
        <f t="shared" si="191"/>
        <v>-34919.579999999987</v>
      </c>
      <c r="I110" s="893" t="s">
        <v>957</v>
      </c>
      <c r="J110" s="899">
        <v>787490</v>
      </c>
      <c r="K110" s="899">
        <v>124650</v>
      </c>
      <c r="L110" s="899">
        <v>662839</v>
      </c>
      <c r="N110" s="899">
        <f t="shared" si="192"/>
        <v>0</v>
      </c>
      <c r="O110" s="899">
        <f t="shared" si="192"/>
        <v>2488</v>
      </c>
      <c r="P110" s="893" t="s">
        <v>957</v>
      </c>
      <c r="Q110" s="899">
        <v>787490</v>
      </c>
      <c r="R110" s="899">
        <v>127138</v>
      </c>
      <c r="S110" s="899">
        <v>660352</v>
      </c>
      <c r="U110" s="899">
        <f t="shared" si="193"/>
        <v>0</v>
      </c>
      <c r="V110" s="899">
        <f t="shared" si="193"/>
        <v>2487</v>
      </c>
      <c r="W110" s="893" t="s">
        <v>957</v>
      </c>
      <c r="X110" s="899">
        <v>787490</v>
      </c>
      <c r="Y110" s="899">
        <v>129625</v>
      </c>
      <c r="Z110" s="899">
        <v>657865</v>
      </c>
      <c r="AB110" s="899">
        <f t="shared" si="188"/>
        <v>0</v>
      </c>
      <c r="AC110" s="899">
        <f t="shared" si="188"/>
        <v>2475</v>
      </c>
      <c r="AD110" s="893" t="s">
        <v>957</v>
      </c>
      <c r="AE110" s="899">
        <v>787490</v>
      </c>
      <c r="AF110" s="899">
        <v>132100</v>
      </c>
      <c r="AG110" s="899">
        <v>655390</v>
      </c>
      <c r="AI110" s="899">
        <f t="shared" si="131"/>
        <v>30377.440000000061</v>
      </c>
      <c r="AJ110" s="898">
        <f t="shared" si="199"/>
        <v>30377.440000000061</v>
      </c>
      <c r="AK110" s="899">
        <f t="shared" si="200"/>
        <v>12907.850000000006</v>
      </c>
      <c r="AL110" s="930" t="s">
        <v>957</v>
      </c>
      <c r="AM110" s="906">
        <v>817867.44000000006</v>
      </c>
      <c r="AN110" s="906">
        <v>145007.85</v>
      </c>
      <c r="AO110" s="906">
        <f>+AM110-AN110</f>
        <v>672859.59000000008</v>
      </c>
      <c r="AQ110" s="899">
        <f t="shared" si="201"/>
        <v>0</v>
      </c>
      <c r="AR110" s="899">
        <f t="shared" si="202"/>
        <v>812.46999999997206</v>
      </c>
      <c r="AS110" s="930" t="s">
        <v>957</v>
      </c>
      <c r="AT110" s="906">
        <v>817867.44000000006</v>
      </c>
      <c r="AU110" s="906">
        <v>145820.31999999998</v>
      </c>
      <c r="AV110" s="906">
        <f>+AT110-AU110</f>
        <v>672047.12000000011</v>
      </c>
      <c r="AW110" s="926"/>
      <c r="AX110" s="899">
        <f t="shared" si="160"/>
        <v>0</v>
      </c>
      <c r="AY110" s="899">
        <f t="shared" si="161"/>
        <v>812.47000000003027</v>
      </c>
      <c r="AZ110" s="930" t="s">
        <v>957</v>
      </c>
      <c r="BA110" s="906">
        <v>817867.44000000006</v>
      </c>
      <c r="BB110" s="906">
        <v>146632.79</v>
      </c>
      <c r="BC110" s="906">
        <f>+BA110-BB110</f>
        <v>671234.65</v>
      </c>
      <c r="BE110" s="1546">
        <f t="shared" si="203"/>
        <v>0</v>
      </c>
      <c r="BF110" s="899">
        <f t="shared" si="204"/>
        <v>812.47000000003027</v>
      </c>
      <c r="BG110" s="930" t="s">
        <v>957</v>
      </c>
      <c r="BH110" s="909">
        <v>817867.44000000006</v>
      </c>
      <c r="BI110" s="909">
        <v>147445.26000000004</v>
      </c>
      <c r="BJ110" s="909">
        <f>+BH110-BI110</f>
        <v>670422.18000000005</v>
      </c>
      <c r="BO110" s="893" t="s">
        <v>31</v>
      </c>
      <c r="BP110" s="893" t="s">
        <v>310</v>
      </c>
      <c r="BU110" s="1533"/>
      <c r="BV110" s="1530"/>
      <c r="BW110" s="1530"/>
      <c r="BX110" s="1530"/>
    </row>
    <row r="111" spans="1:76" x14ac:dyDescent="0.25">
      <c r="B111" s="893" t="s">
        <v>958</v>
      </c>
      <c r="C111" s="899">
        <v>41700</v>
      </c>
      <c r="D111" s="899">
        <v>41435.07</v>
      </c>
      <c r="E111" s="899">
        <v>264.93000000000029</v>
      </c>
      <c r="G111" s="899">
        <f t="shared" si="191"/>
        <v>0</v>
      </c>
      <c r="H111" s="899">
        <f t="shared" si="191"/>
        <v>264.93000000000029</v>
      </c>
      <c r="I111" s="893" t="s">
        <v>958</v>
      </c>
      <c r="J111" s="899">
        <v>41700</v>
      </c>
      <c r="K111" s="899">
        <v>41700</v>
      </c>
      <c r="L111" s="893">
        <v>0</v>
      </c>
      <c r="N111" s="899">
        <f t="shared" si="192"/>
        <v>0</v>
      </c>
      <c r="O111" s="899">
        <f t="shared" si="192"/>
        <v>0</v>
      </c>
      <c r="P111" s="893" t="s">
        <v>958</v>
      </c>
      <c r="Q111" s="899">
        <v>41700</v>
      </c>
      <c r="R111" s="899">
        <v>41700</v>
      </c>
      <c r="S111" s="893">
        <v>0</v>
      </c>
      <c r="U111" s="899">
        <f t="shared" si="193"/>
        <v>0</v>
      </c>
      <c r="V111" s="899">
        <f t="shared" si="193"/>
        <v>0</v>
      </c>
      <c r="W111" s="893" t="s">
        <v>958</v>
      </c>
      <c r="X111" s="899">
        <v>41700</v>
      </c>
      <c r="Y111" s="899">
        <v>41700</v>
      </c>
      <c r="Z111" s="893">
        <v>0</v>
      </c>
      <c r="AB111" s="899">
        <f t="shared" si="188"/>
        <v>0</v>
      </c>
      <c r="AC111" s="899">
        <f t="shared" si="188"/>
        <v>0</v>
      </c>
      <c r="AD111" s="893" t="s">
        <v>958</v>
      </c>
      <c r="AE111" s="899">
        <v>41700</v>
      </c>
      <c r="AF111" s="899">
        <v>41700</v>
      </c>
      <c r="AG111" s="893">
        <v>0</v>
      </c>
      <c r="AI111" s="899">
        <f t="shared" si="131"/>
        <v>0</v>
      </c>
      <c r="AJ111" s="899">
        <f t="shared" si="199"/>
        <v>0</v>
      </c>
      <c r="AK111" s="899">
        <f t="shared" si="200"/>
        <v>0</v>
      </c>
      <c r="AL111" s="930" t="s">
        <v>958</v>
      </c>
      <c r="AM111" s="906">
        <v>41700</v>
      </c>
      <c r="AN111" s="906">
        <v>41700</v>
      </c>
      <c r="AO111" s="906">
        <f>+AM111-AN111</f>
        <v>0</v>
      </c>
      <c r="AQ111" s="899">
        <f t="shared" si="201"/>
        <v>0</v>
      </c>
      <c r="AR111" s="899">
        <f t="shared" si="202"/>
        <v>0</v>
      </c>
      <c r="AS111" s="930" t="s">
        <v>958</v>
      </c>
      <c r="AT111" s="906">
        <v>41700</v>
      </c>
      <c r="AU111" s="906">
        <v>41700</v>
      </c>
      <c r="AV111" s="906">
        <f>+AT111-AU111</f>
        <v>0</v>
      </c>
      <c r="AW111" s="926"/>
      <c r="AX111" s="899">
        <f t="shared" si="160"/>
        <v>0</v>
      </c>
      <c r="AY111" s="899">
        <f t="shared" si="161"/>
        <v>0</v>
      </c>
      <c r="AZ111" s="930" t="s">
        <v>958</v>
      </c>
      <c r="BA111" s="906">
        <v>41700</v>
      </c>
      <c r="BB111" s="906">
        <v>41700</v>
      </c>
      <c r="BC111" s="906">
        <f>+BA111-BB111</f>
        <v>0</v>
      </c>
      <c r="BE111" s="899">
        <f t="shared" si="203"/>
        <v>0</v>
      </c>
      <c r="BF111" s="899">
        <f t="shared" si="204"/>
        <v>0</v>
      </c>
      <c r="BG111" s="930" t="s">
        <v>958</v>
      </c>
      <c r="BH111" s="909">
        <v>41700</v>
      </c>
      <c r="BI111" s="909">
        <v>41700</v>
      </c>
      <c r="BJ111" s="909">
        <f>+BH111-BI111</f>
        <v>0</v>
      </c>
      <c r="BO111" s="893" t="s">
        <v>31</v>
      </c>
      <c r="BP111" s="893" t="s">
        <v>310</v>
      </c>
      <c r="BU111" s="1533"/>
      <c r="BV111" s="1530"/>
      <c r="BW111" s="1530"/>
      <c r="BX111" s="1530"/>
    </row>
    <row r="112" spans="1:76" s="897" customFormat="1" x14ac:dyDescent="0.25">
      <c r="A112" s="893"/>
      <c r="B112" s="893" t="s">
        <v>959</v>
      </c>
      <c r="C112" s="899">
        <v>1816854.24</v>
      </c>
      <c r="D112" s="899">
        <v>1657733.3399999992</v>
      </c>
      <c r="E112" s="899">
        <v>159120.90000000084</v>
      </c>
      <c r="F112" s="893"/>
      <c r="G112" s="899">
        <f t="shared" si="191"/>
        <v>-8591.2399999999907</v>
      </c>
      <c r="H112" s="899">
        <f t="shared" si="191"/>
        <v>40821.660000000848</v>
      </c>
      <c r="I112" s="893" t="s">
        <v>959</v>
      </c>
      <c r="J112" s="899">
        <v>1808263</v>
      </c>
      <c r="K112" s="899">
        <v>1698555</v>
      </c>
      <c r="L112" s="899">
        <v>109708</v>
      </c>
      <c r="M112" s="893"/>
      <c r="N112" s="899">
        <f t="shared" si="192"/>
        <v>0</v>
      </c>
      <c r="O112" s="899">
        <f t="shared" si="192"/>
        <v>40822</v>
      </c>
      <c r="P112" s="893" t="s">
        <v>959</v>
      </c>
      <c r="Q112" s="899">
        <v>1808263</v>
      </c>
      <c r="R112" s="899">
        <v>1739377</v>
      </c>
      <c r="S112" s="899">
        <v>68886</v>
      </c>
      <c r="T112" s="893"/>
      <c r="U112" s="899">
        <f t="shared" si="193"/>
        <v>0</v>
      </c>
      <c r="V112" s="899">
        <f t="shared" si="193"/>
        <v>40821</v>
      </c>
      <c r="W112" s="893" t="s">
        <v>959</v>
      </c>
      <c r="X112" s="899">
        <v>1808263</v>
      </c>
      <c r="Y112" s="899">
        <v>1780198</v>
      </c>
      <c r="Z112" s="899">
        <v>28065</v>
      </c>
      <c r="AA112" s="893"/>
      <c r="AB112" s="899">
        <f t="shared" si="188"/>
        <v>0</v>
      </c>
      <c r="AC112" s="899">
        <f t="shared" si="188"/>
        <v>24552</v>
      </c>
      <c r="AD112" s="893" t="s">
        <v>959</v>
      </c>
      <c r="AE112" s="899">
        <v>1808263</v>
      </c>
      <c r="AF112" s="899">
        <v>1804750</v>
      </c>
      <c r="AG112" s="899">
        <v>3513</v>
      </c>
      <c r="AH112" s="893"/>
      <c r="AI112" s="899">
        <f t="shared" si="131"/>
        <v>-0.13999999850057065</v>
      </c>
      <c r="AJ112" s="899">
        <f t="shared" si="199"/>
        <v>-0.13999999850057065</v>
      </c>
      <c r="AK112" s="899">
        <f t="shared" si="200"/>
        <v>0.27000000164844096</v>
      </c>
      <c r="AL112" s="930" t="s">
        <v>959</v>
      </c>
      <c r="AM112" s="906">
        <v>1808262.8600000015</v>
      </c>
      <c r="AN112" s="906">
        <v>1804750.2700000016</v>
      </c>
      <c r="AO112" s="906">
        <f>+AM112-AN112</f>
        <v>3512.589999999851</v>
      </c>
      <c r="AP112" s="893"/>
      <c r="AQ112" s="899">
        <f t="shared" si="201"/>
        <v>0</v>
      </c>
      <c r="AR112" s="899">
        <f t="shared" si="202"/>
        <v>0</v>
      </c>
      <c r="AS112" s="930" t="s">
        <v>959</v>
      </c>
      <c r="AT112" s="906">
        <v>1808262.8600000015</v>
      </c>
      <c r="AU112" s="906">
        <v>1804750.2700000016</v>
      </c>
      <c r="AV112" s="906">
        <f>+AT112-AU112</f>
        <v>3512.589999999851</v>
      </c>
      <c r="AW112" s="893"/>
      <c r="AX112" s="899">
        <f t="shared" si="160"/>
        <v>0</v>
      </c>
      <c r="AY112" s="899">
        <f t="shared" si="161"/>
        <v>0</v>
      </c>
      <c r="AZ112" s="930" t="s">
        <v>959</v>
      </c>
      <c r="BA112" s="906">
        <v>1808262.8600000015</v>
      </c>
      <c r="BB112" s="906">
        <v>1804750.2700000016</v>
      </c>
      <c r="BC112" s="906">
        <f>+BA112-BB112</f>
        <v>3512.589999999851</v>
      </c>
      <c r="BD112" s="893"/>
      <c r="BE112" s="899">
        <f t="shared" si="203"/>
        <v>0</v>
      </c>
      <c r="BF112" s="899">
        <f t="shared" si="204"/>
        <v>0</v>
      </c>
      <c r="BG112" s="930" t="s">
        <v>959</v>
      </c>
      <c r="BH112" s="909">
        <v>1808262.8600000015</v>
      </c>
      <c r="BI112" s="909">
        <v>1804750.2700000016</v>
      </c>
      <c r="BJ112" s="909">
        <f>+BH112-BI112</f>
        <v>3512.589999999851</v>
      </c>
      <c r="BK112" s="893"/>
      <c r="BL112" s="893"/>
      <c r="BO112" s="893" t="s">
        <v>31</v>
      </c>
      <c r="BP112" s="893" t="s">
        <v>310</v>
      </c>
      <c r="BT112" s="893"/>
      <c r="BU112" s="1533"/>
      <c r="BV112" s="1530"/>
      <c r="BW112" s="1530"/>
      <c r="BX112" s="1530"/>
    </row>
    <row r="113" spans="1:76" x14ac:dyDescent="0.25">
      <c r="C113" s="899"/>
      <c r="D113" s="899"/>
      <c r="E113" s="899"/>
      <c r="AI113" s="899"/>
    </row>
    <row r="114" spans="1:76" x14ac:dyDescent="0.25">
      <c r="C114" s="899"/>
      <c r="D114" s="899"/>
      <c r="E114" s="899"/>
      <c r="AI114" s="899"/>
    </row>
    <row r="115" spans="1:76" x14ac:dyDescent="0.25">
      <c r="A115" s="897"/>
      <c r="B115" s="897" t="s">
        <v>1025</v>
      </c>
      <c r="C115" s="898">
        <v>45644352.540000252</v>
      </c>
      <c r="D115" s="898">
        <v>36589010.240000241</v>
      </c>
      <c r="E115" s="898">
        <v>9055342.299999997</v>
      </c>
      <c r="F115" s="897"/>
      <c r="G115" s="898">
        <f t="shared" ref="G115:H125" si="205">+J115-C115</f>
        <v>2588167.4599997476</v>
      </c>
      <c r="H115" s="898">
        <f t="shared" si="205"/>
        <v>2694965.7599997595</v>
      </c>
      <c r="I115" s="897" t="s">
        <v>1025</v>
      </c>
      <c r="J115" s="898">
        <v>48232520</v>
      </c>
      <c r="K115" s="898">
        <v>39283976</v>
      </c>
      <c r="L115" s="898">
        <v>8948544</v>
      </c>
      <c r="M115" s="897"/>
      <c r="N115" s="898">
        <f>+Q115-J115</f>
        <v>-11338611</v>
      </c>
      <c r="O115" s="898">
        <f>+R115-K115</f>
        <v>-12422213</v>
      </c>
      <c r="P115" s="897" t="s">
        <v>1025</v>
      </c>
      <c r="Q115" s="898">
        <v>36893909</v>
      </c>
      <c r="R115" s="898">
        <v>26861763</v>
      </c>
      <c r="S115" s="898">
        <v>10032146</v>
      </c>
      <c r="T115" s="897"/>
      <c r="U115" s="898">
        <f t="shared" ref="U115:V125" si="206">+X115-Q115</f>
        <v>4086664</v>
      </c>
      <c r="V115" s="898">
        <f t="shared" si="206"/>
        <v>2708475</v>
      </c>
      <c r="W115" s="897" t="s">
        <v>1025</v>
      </c>
      <c r="X115" s="898">
        <v>40980573</v>
      </c>
      <c r="Y115" s="898">
        <v>29570238</v>
      </c>
      <c r="Z115" s="898">
        <v>11410335</v>
      </c>
      <c r="AA115" s="897"/>
      <c r="AB115" s="898">
        <f t="shared" ref="AB115:AC125" si="207">+AE115-X115</f>
        <v>2942939</v>
      </c>
      <c r="AC115" s="898">
        <f t="shared" si="207"/>
        <v>4409977</v>
      </c>
      <c r="AD115" s="897" t="s">
        <v>1025</v>
      </c>
      <c r="AE115" s="898">
        <v>43923512</v>
      </c>
      <c r="AF115" s="898">
        <v>33980215</v>
      </c>
      <c r="AG115" s="898">
        <v>9943296</v>
      </c>
      <c r="AH115" s="897"/>
      <c r="AI115" s="899">
        <f t="shared" si="131"/>
        <v>15230397.68999964</v>
      </c>
      <c r="AJ115" s="898">
        <f t="shared" ref="AJ115" si="208">AM115-AE115</f>
        <v>3542128.6199998483</v>
      </c>
      <c r="AK115" s="898">
        <f t="shared" ref="AK115" si="209">AN115-AF115</f>
        <v>4231243.6599998027</v>
      </c>
      <c r="AL115" s="942" t="s">
        <v>1025</v>
      </c>
      <c r="AM115" s="943">
        <f>SUM(AM116:AM125)</f>
        <v>47465640.619999848</v>
      </c>
      <c r="AN115" s="944">
        <f>SUM(AN116:AN125)</f>
        <v>38211458.659999803</v>
      </c>
      <c r="AO115" s="943">
        <f>SUM(AO116:AO125)</f>
        <v>9254181.9600000475</v>
      </c>
      <c r="AP115" s="926"/>
      <c r="AQ115" s="898">
        <f t="shared" ref="AQ115" si="210">AT115-AM115</f>
        <v>1407637.9999999404</v>
      </c>
      <c r="AR115" s="898">
        <f t="shared" ref="AR115" si="211">AU115-AN115</f>
        <v>2854763.4700001329</v>
      </c>
      <c r="AS115" s="942" t="s">
        <v>1025</v>
      </c>
      <c r="AT115" s="943">
        <f>SUM(AT116:AT125)</f>
        <v>48873278.619999789</v>
      </c>
      <c r="AU115" s="944">
        <f>SUM(AU116:AU125)</f>
        <v>41066222.129999936</v>
      </c>
      <c r="AV115" s="943">
        <f>SUM(AV116:AV125)</f>
        <v>7807056.4899998503</v>
      </c>
      <c r="AW115" s="897"/>
      <c r="AX115" s="898">
        <f>BA115-AT115</f>
        <v>2090407.8100000173</v>
      </c>
      <c r="AY115" s="898">
        <f t="shared" ref="AY115" si="212">BB115-AU115</f>
        <v>2991029.3199998885</v>
      </c>
      <c r="AZ115" s="942" t="s">
        <v>1025</v>
      </c>
      <c r="BA115" s="943">
        <f>SUM(BA116:BA125)</f>
        <v>50963686.429999806</v>
      </c>
      <c r="BB115" s="944">
        <f>SUM(BB116:BB125)</f>
        <v>44057251.449999824</v>
      </c>
      <c r="BC115" s="943">
        <f>SUM(BC116:BC125)</f>
        <v>6906434.9799999911</v>
      </c>
      <c r="BD115" s="897"/>
      <c r="BE115" s="898">
        <f t="shared" ref="BE115" si="213">BH115-BA115</f>
        <v>8190223.259999834</v>
      </c>
      <c r="BF115" s="898">
        <f t="shared" ref="BF115" si="214">BI115-BB115</f>
        <v>3964224.6299999505</v>
      </c>
      <c r="BG115" s="942" t="s">
        <v>1025</v>
      </c>
      <c r="BH115" s="944">
        <f>SUM(BH116:BH125)</f>
        <v>59153909.68999964</v>
      </c>
      <c r="BI115" s="944">
        <f>SUM(BI116:BI125)</f>
        <v>48021476.079999775</v>
      </c>
      <c r="BJ115" s="944">
        <f>SUM(BJ116:BJ125)</f>
        <v>11132433.609999875</v>
      </c>
      <c r="BK115" s="926"/>
      <c r="BL115" s="897"/>
    </row>
    <row r="116" spans="1:76" x14ac:dyDescent="0.25">
      <c r="B116" s="893" t="s">
        <v>303</v>
      </c>
      <c r="C116" s="899">
        <v>981996.18</v>
      </c>
      <c r="D116" s="899">
        <v>328336.12999999995</v>
      </c>
      <c r="E116" s="899">
        <v>653660.05000000005</v>
      </c>
      <c r="G116" s="899">
        <f t="shared" si="205"/>
        <v>-0.18000000005122274</v>
      </c>
      <c r="H116" s="899">
        <f t="shared" si="205"/>
        <v>28056.870000000054</v>
      </c>
      <c r="I116" s="893" t="s">
        <v>303</v>
      </c>
      <c r="J116" s="899">
        <v>981996</v>
      </c>
      <c r="K116" s="899">
        <v>356393</v>
      </c>
      <c r="L116" s="899">
        <v>625603</v>
      </c>
      <c r="N116" s="899">
        <f t="shared" ref="N116:O125" si="215">+Q116-J116</f>
        <v>372231</v>
      </c>
      <c r="O116" s="899">
        <f t="shared" si="215"/>
        <v>59310</v>
      </c>
      <c r="P116" s="893" t="s">
        <v>303</v>
      </c>
      <c r="Q116" s="899">
        <v>1354227</v>
      </c>
      <c r="R116" s="899">
        <v>415703</v>
      </c>
      <c r="S116" s="899">
        <v>938524</v>
      </c>
      <c r="U116" s="899">
        <f t="shared" si="206"/>
        <v>275017</v>
      </c>
      <c r="V116" s="899">
        <f t="shared" si="206"/>
        <v>29918</v>
      </c>
      <c r="W116" s="893" t="s">
        <v>303</v>
      </c>
      <c r="X116" s="899">
        <v>1629244</v>
      </c>
      <c r="Y116" s="899">
        <v>445621</v>
      </c>
      <c r="Z116" s="899">
        <v>1183623</v>
      </c>
      <c r="AB116" s="899">
        <f t="shared" si="207"/>
        <v>9410</v>
      </c>
      <c r="AC116" s="899">
        <f t="shared" si="207"/>
        <v>46618</v>
      </c>
      <c r="AD116" s="893" t="s">
        <v>303</v>
      </c>
      <c r="AE116" s="899">
        <v>1638654</v>
      </c>
      <c r="AF116" s="899">
        <v>492239</v>
      </c>
      <c r="AG116" s="899">
        <v>1146414</v>
      </c>
      <c r="AI116" s="899">
        <f t="shared" si="131"/>
        <v>298926.68999999762</v>
      </c>
      <c r="AJ116" s="899">
        <f t="shared" ref="AJ116:AJ125" si="216">AM116-AE116</f>
        <v>-0.23000000230967999</v>
      </c>
      <c r="AK116" s="899">
        <f t="shared" ref="AK116:AK125" si="217">AN116-AF116</f>
        <v>47377.559999999707</v>
      </c>
      <c r="AL116" s="930" t="s">
        <v>303</v>
      </c>
      <c r="AM116" s="906">
        <v>1638653.7699999977</v>
      </c>
      <c r="AN116" s="906">
        <v>539616.55999999971</v>
      </c>
      <c r="AO116" s="923">
        <f t="shared" ref="AO116:AO125" si="218">+AM116-AN116</f>
        <v>1099037.2099999981</v>
      </c>
      <c r="AP116" s="926"/>
      <c r="AQ116" s="899">
        <f t="shared" ref="AQ116:AQ125" si="219">AT116-AM116</f>
        <v>23558.159999999916</v>
      </c>
      <c r="AR116" s="899">
        <f t="shared" ref="AR116:AR125" si="220">AU116-AN116</f>
        <v>48453.180000002729</v>
      </c>
      <c r="AS116" s="930" t="s">
        <v>303</v>
      </c>
      <c r="AT116" s="906">
        <v>1662211.9299999976</v>
      </c>
      <c r="AU116" s="906">
        <v>588069.74000000244</v>
      </c>
      <c r="AV116" s="923">
        <f t="shared" ref="AV116:AV125" si="221">+AT116-AU116</f>
        <v>1074142.1899999953</v>
      </c>
      <c r="AX116" s="899">
        <f t="shared" ref="AX116:AX125" si="222">BA116-AT116</f>
        <v>0</v>
      </c>
      <c r="AY116" s="899">
        <f t="shared" ref="AY116:AY125" si="223">BB116-AU116</f>
        <v>48047.549999997485</v>
      </c>
      <c r="AZ116" s="930" t="s">
        <v>303</v>
      </c>
      <c r="BA116" s="906">
        <v>1662211.9299999976</v>
      </c>
      <c r="BB116" s="906">
        <v>636117.28999999992</v>
      </c>
      <c r="BC116" s="923">
        <f t="shared" ref="BC116:BC125" si="224">+BA116-BB116</f>
        <v>1026094.6399999977</v>
      </c>
      <c r="BD116" s="926"/>
      <c r="BE116" s="1546">
        <f t="shared" ref="BE116:BE125" si="225">BH116-BA116</f>
        <v>275368.76</v>
      </c>
      <c r="BF116" s="899">
        <f t="shared" ref="BF116:BF125" si="226">BI116-BB116</f>
        <v>53431.139999999548</v>
      </c>
      <c r="BG116" s="930" t="s">
        <v>303</v>
      </c>
      <c r="BH116" s="909">
        <v>1937580.6899999976</v>
      </c>
      <c r="BI116" s="909">
        <v>689548.42999999947</v>
      </c>
      <c r="BJ116" s="951">
        <f>+BH116-BI116</f>
        <v>1248032.2599999981</v>
      </c>
      <c r="BK116" s="926"/>
      <c r="BU116" s="1533"/>
      <c r="BV116" s="1530"/>
      <c r="BW116" s="1530"/>
      <c r="BX116" s="1545"/>
    </row>
    <row r="117" spans="1:76" x14ac:dyDescent="0.25">
      <c r="B117" s="893" t="s">
        <v>812</v>
      </c>
      <c r="C117" s="899">
        <v>16759306.11999991</v>
      </c>
      <c r="D117" s="899">
        <v>12498975.419999955</v>
      </c>
      <c r="E117" s="899">
        <v>4260330.6999999546</v>
      </c>
      <c r="G117" s="899">
        <f t="shared" si="205"/>
        <v>-0.11999990977346897</v>
      </c>
      <c r="H117" s="899">
        <f t="shared" si="205"/>
        <v>772071.58000004478</v>
      </c>
      <c r="I117" s="893" t="s">
        <v>812</v>
      </c>
      <c r="J117" s="899">
        <v>16759306</v>
      </c>
      <c r="K117" s="899">
        <v>13271047</v>
      </c>
      <c r="L117" s="899">
        <v>3488259</v>
      </c>
      <c r="N117" s="899">
        <f t="shared" si="215"/>
        <v>0</v>
      </c>
      <c r="O117" s="899">
        <f t="shared" si="215"/>
        <v>652659</v>
      </c>
      <c r="P117" s="893" t="s">
        <v>812</v>
      </c>
      <c r="Q117" s="899">
        <v>16759306</v>
      </c>
      <c r="R117" s="899">
        <v>13923706</v>
      </c>
      <c r="S117" s="899">
        <v>2835600</v>
      </c>
      <c r="U117" s="899">
        <f t="shared" si="206"/>
        <v>378229</v>
      </c>
      <c r="V117" s="899">
        <f t="shared" si="206"/>
        <v>682734</v>
      </c>
      <c r="W117" s="893" t="s">
        <v>812</v>
      </c>
      <c r="X117" s="899">
        <v>17137535</v>
      </c>
      <c r="Y117" s="899">
        <v>14606440</v>
      </c>
      <c r="Z117" s="899">
        <v>2531095</v>
      </c>
      <c r="AB117" s="899">
        <f t="shared" si="207"/>
        <v>92330</v>
      </c>
      <c r="AC117" s="899">
        <f t="shared" si="207"/>
        <v>541824</v>
      </c>
      <c r="AD117" s="893" t="s">
        <v>812</v>
      </c>
      <c r="AE117" s="899">
        <v>17229865</v>
      </c>
      <c r="AF117" s="899">
        <v>15148264</v>
      </c>
      <c r="AG117" s="899">
        <v>2081601</v>
      </c>
      <c r="AI117" s="899">
        <f t="shared" si="131"/>
        <v>117378.36999985948</v>
      </c>
      <c r="AJ117" s="898">
        <f t="shared" si="216"/>
        <v>-187501.63000004366</v>
      </c>
      <c r="AK117" s="899">
        <f t="shared" si="217"/>
        <v>292725.94999988563</v>
      </c>
      <c r="AL117" s="930" t="s">
        <v>812</v>
      </c>
      <c r="AM117" s="906">
        <v>17042363.369999956</v>
      </c>
      <c r="AN117" s="906">
        <v>15440989.949999886</v>
      </c>
      <c r="AO117" s="923">
        <f t="shared" si="218"/>
        <v>1601373.4200000707</v>
      </c>
      <c r="AP117" s="926"/>
      <c r="AQ117" s="899">
        <f t="shared" si="219"/>
        <v>0</v>
      </c>
      <c r="AR117" s="899">
        <f t="shared" si="220"/>
        <v>383630.97000005096</v>
      </c>
      <c r="AS117" s="930" t="s">
        <v>812</v>
      </c>
      <c r="AT117" s="906">
        <v>17042363.369999956</v>
      </c>
      <c r="AU117" s="906">
        <v>15824620.919999937</v>
      </c>
      <c r="AV117" s="923">
        <f t="shared" si="221"/>
        <v>1217742.4500000197</v>
      </c>
      <c r="AX117" s="899">
        <f t="shared" si="222"/>
        <v>0</v>
      </c>
      <c r="AY117" s="899">
        <f t="shared" si="223"/>
        <v>379742.96999992244</v>
      </c>
      <c r="AZ117" s="930" t="s">
        <v>812</v>
      </c>
      <c r="BA117" s="906">
        <v>17042363.369999956</v>
      </c>
      <c r="BB117" s="906">
        <v>16204363.889999859</v>
      </c>
      <c r="BC117" s="923">
        <f t="shared" si="224"/>
        <v>837999.4800000973</v>
      </c>
      <c r="BD117" s="926"/>
      <c r="BE117" s="1546">
        <f t="shared" si="225"/>
        <v>304879.99999990314</v>
      </c>
      <c r="BF117" s="899">
        <f t="shared" si="226"/>
        <v>395993.15000006929</v>
      </c>
      <c r="BG117" s="930" t="s">
        <v>812</v>
      </c>
      <c r="BH117" s="909">
        <v>17347243.369999859</v>
      </c>
      <c r="BI117" s="909">
        <v>16600357.039999928</v>
      </c>
      <c r="BJ117" s="951">
        <f t="shared" ref="BJ117:BJ125" si="227">+BH117-BI117</f>
        <v>746886.32999993116</v>
      </c>
      <c r="BK117" s="926"/>
      <c r="BU117" s="1533"/>
      <c r="BV117" s="1530"/>
      <c r="BW117" s="1530"/>
      <c r="BX117" s="1545"/>
    </row>
    <row r="118" spans="1:76" x14ac:dyDescent="0.25">
      <c r="B118" s="893" t="s">
        <v>324</v>
      </c>
      <c r="C118" s="899">
        <v>15851735.370000295</v>
      </c>
      <c r="D118" s="899">
        <v>13863779.090000264</v>
      </c>
      <c r="E118" s="899">
        <v>1987956.280000031</v>
      </c>
      <c r="G118" s="899">
        <f t="shared" si="205"/>
        <v>1629155.6299997047</v>
      </c>
      <c r="H118" s="899">
        <f t="shared" si="205"/>
        <v>1132935.9099997357</v>
      </c>
      <c r="I118" s="893" t="s">
        <v>324</v>
      </c>
      <c r="J118" s="899">
        <v>17480891</v>
      </c>
      <c r="K118" s="899">
        <v>14996715</v>
      </c>
      <c r="L118" s="899">
        <v>2484176</v>
      </c>
      <c r="N118" s="899">
        <f t="shared" si="215"/>
        <v>-11770055</v>
      </c>
      <c r="O118" s="899">
        <f t="shared" si="215"/>
        <v>-12678327</v>
      </c>
      <c r="P118" s="893" t="s">
        <v>324</v>
      </c>
      <c r="Q118" s="899">
        <v>5710836</v>
      </c>
      <c r="R118" s="899">
        <v>2318388</v>
      </c>
      <c r="S118" s="899">
        <v>3392449</v>
      </c>
      <c r="U118" s="899">
        <f t="shared" si="206"/>
        <v>2931902</v>
      </c>
      <c r="V118" s="899">
        <f t="shared" si="206"/>
        <v>2148818</v>
      </c>
      <c r="W118" s="893" t="s">
        <v>324</v>
      </c>
      <c r="X118" s="899">
        <v>8642738</v>
      </c>
      <c r="Y118" s="899">
        <v>4467206</v>
      </c>
      <c r="Z118" s="899">
        <v>4175532</v>
      </c>
      <c r="AB118" s="899">
        <f t="shared" si="207"/>
        <v>665674</v>
      </c>
      <c r="AC118" s="899">
        <f t="shared" si="207"/>
        <v>2555104</v>
      </c>
      <c r="AD118" s="893" t="s">
        <v>324</v>
      </c>
      <c r="AE118" s="899">
        <v>9308412</v>
      </c>
      <c r="AF118" s="899">
        <v>7022310</v>
      </c>
      <c r="AG118" s="899">
        <v>2286102</v>
      </c>
      <c r="AI118" s="899">
        <f t="shared" si="131"/>
        <v>8957020.9099998027</v>
      </c>
      <c r="AJ118" s="898">
        <f t="shared" si="216"/>
        <v>2371639.3099999353</v>
      </c>
      <c r="AK118" s="899">
        <f t="shared" si="217"/>
        <v>2628291.7099998873</v>
      </c>
      <c r="AL118" s="930" t="s">
        <v>324</v>
      </c>
      <c r="AM118" s="906">
        <v>11680051.309999935</v>
      </c>
      <c r="AN118" s="906">
        <v>9650601.7099998873</v>
      </c>
      <c r="AO118" s="923">
        <f t="shared" si="218"/>
        <v>2029449.6000000481</v>
      </c>
      <c r="AP118" s="926"/>
      <c r="AQ118" s="899">
        <f t="shared" si="219"/>
        <v>340123.48999994807</v>
      </c>
      <c r="AR118" s="899">
        <f t="shared" si="220"/>
        <v>1482110.4300000891</v>
      </c>
      <c r="AS118" s="930" t="s">
        <v>324</v>
      </c>
      <c r="AT118" s="906">
        <v>12020174.799999883</v>
      </c>
      <c r="AU118" s="906">
        <v>11132712.139999976</v>
      </c>
      <c r="AV118" s="923">
        <f t="shared" si="221"/>
        <v>887462.65999990702</v>
      </c>
      <c r="AX118" s="899">
        <f t="shared" si="222"/>
        <v>730792.04999998957</v>
      </c>
      <c r="AY118" s="899">
        <f t="shared" si="223"/>
        <v>1072840.7800000086</v>
      </c>
      <c r="AZ118" s="930" t="s">
        <v>324</v>
      </c>
      <c r="BA118" s="906">
        <v>12750966.849999873</v>
      </c>
      <c r="BB118" s="906">
        <v>12205552.919999985</v>
      </c>
      <c r="BC118" s="923">
        <f t="shared" si="224"/>
        <v>545413.92999988794</v>
      </c>
      <c r="BD118" s="926"/>
      <c r="BE118" s="1546">
        <f t="shared" si="225"/>
        <v>5514466.0599999297</v>
      </c>
      <c r="BF118" s="899">
        <f t="shared" si="226"/>
        <v>1873847.9799998533</v>
      </c>
      <c r="BG118" s="930" t="s">
        <v>324</v>
      </c>
      <c r="BH118" s="909">
        <v>18265432.909999803</v>
      </c>
      <c r="BI118" s="909">
        <v>14079400.899999838</v>
      </c>
      <c r="BJ118" s="951">
        <f t="shared" si="227"/>
        <v>4186032.0099999644</v>
      </c>
      <c r="BK118" s="926"/>
      <c r="BU118" s="1533"/>
      <c r="BV118" s="1530"/>
      <c r="BW118" s="1530"/>
      <c r="BX118" s="1545"/>
    </row>
    <row r="119" spans="1:76" x14ac:dyDescent="0.25">
      <c r="B119" s="893" t="s">
        <v>323</v>
      </c>
      <c r="C119" s="899">
        <v>1286786.2100000004</v>
      </c>
      <c r="D119" s="899">
        <v>1285539.640000002</v>
      </c>
      <c r="E119" s="899">
        <v>1246.5699999984354</v>
      </c>
      <c r="G119" s="899">
        <f t="shared" si="205"/>
        <v>-0.21000000042840838</v>
      </c>
      <c r="H119" s="899">
        <f t="shared" si="205"/>
        <v>748.35999999800697</v>
      </c>
      <c r="I119" s="893" t="s">
        <v>323</v>
      </c>
      <c r="J119" s="899">
        <v>1286786</v>
      </c>
      <c r="K119" s="899">
        <v>1286288</v>
      </c>
      <c r="L119" s="893">
        <v>499</v>
      </c>
      <c r="N119" s="899">
        <f t="shared" si="215"/>
        <v>0</v>
      </c>
      <c r="O119" s="899">
        <f t="shared" si="215"/>
        <v>498</v>
      </c>
      <c r="P119" s="893" t="s">
        <v>323</v>
      </c>
      <c r="Q119" s="899">
        <v>1286786</v>
      </c>
      <c r="R119" s="899">
        <v>1286786</v>
      </c>
      <c r="S119" s="893">
        <v>0</v>
      </c>
      <c r="U119" s="899">
        <f t="shared" si="206"/>
        <v>0</v>
      </c>
      <c r="V119" s="899">
        <f t="shared" si="206"/>
        <v>0</v>
      </c>
      <c r="W119" s="893" t="s">
        <v>323</v>
      </c>
      <c r="X119" s="899">
        <v>1286786</v>
      </c>
      <c r="Y119" s="899">
        <v>1286786</v>
      </c>
      <c r="Z119" s="893">
        <v>0</v>
      </c>
      <c r="AB119" s="899">
        <f t="shared" si="207"/>
        <v>0</v>
      </c>
      <c r="AC119" s="899">
        <f t="shared" si="207"/>
        <v>0</v>
      </c>
      <c r="AD119" s="893" t="s">
        <v>323</v>
      </c>
      <c r="AE119" s="899">
        <v>1286786</v>
      </c>
      <c r="AF119" s="899">
        <v>1286786</v>
      </c>
      <c r="AG119" s="893">
        <v>0</v>
      </c>
      <c r="AI119" s="899">
        <f t="shared" si="131"/>
        <v>475058.73000000068</v>
      </c>
      <c r="AJ119" s="899">
        <f t="shared" si="216"/>
        <v>0.21000000042840838</v>
      </c>
      <c r="AK119" s="899">
        <f t="shared" si="217"/>
        <v>0.21000000042840838</v>
      </c>
      <c r="AL119" s="930" t="s">
        <v>323</v>
      </c>
      <c r="AM119" s="906">
        <v>1286786.2100000004</v>
      </c>
      <c r="AN119" s="906">
        <v>1286786.2100000004</v>
      </c>
      <c r="AO119" s="923">
        <f t="shared" si="218"/>
        <v>0</v>
      </c>
      <c r="AP119" s="926"/>
      <c r="AQ119" s="899">
        <f t="shared" si="219"/>
        <v>0</v>
      </c>
      <c r="AR119" s="899">
        <f t="shared" si="220"/>
        <v>0</v>
      </c>
      <c r="AS119" s="930" t="s">
        <v>323</v>
      </c>
      <c r="AT119" s="906">
        <v>1286786.2100000004</v>
      </c>
      <c r="AU119" s="906">
        <v>1286786.2100000004</v>
      </c>
      <c r="AV119" s="923">
        <f t="shared" si="221"/>
        <v>0</v>
      </c>
      <c r="AX119" s="899">
        <f t="shared" si="222"/>
        <v>0</v>
      </c>
      <c r="AY119" s="899">
        <f t="shared" si="223"/>
        <v>0</v>
      </c>
      <c r="AZ119" s="930" t="s">
        <v>323</v>
      </c>
      <c r="BA119" s="906">
        <v>1286786.2100000004</v>
      </c>
      <c r="BB119" s="906">
        <v>1286786.2100000004</v>
      </c>
      <c r="BC119" s="923">
        <f t="shared" si="224"/>
        <v>0</v>
      </c>
      <c r="BD119" s="926"/>
      <c r="BE119" s="1546">
        <f t="shared" si="225"/>
        <v>475058.52000000025</v>
      </c>
      <c r="BF119" s="899">
        <f t="shared" si="226"/>
        <v>97339.899999999674</v>
      </c>
      <c r="BG119" s="930" t="s">
        <v>323</v>
      </c>
      <c r="BH119" s="909">
        <v>1761844.7300000007</v>
      </c>
      <c r="BI119" s="909">
        <v>1384126.11</v>
      </c>
      <c r="BJ119" s="951">
        <f t="shared" si="227"/>
        <v>377718.62000000058</v>
      </c>
      <c r="BK119" s="926"/>
      <c r="BU119" s="1533"/>
      <c r="BV119" s="1530"/>
      <c r="BW119" s="1530"/>
      <c r="BX119" s="1545"/>
    </row>
    <row r="120" spans="1:76" x14ac:dyDescent="0.25">
      <c r="B120" s="893" t="s">
        <v>322</v>
      </c>
      <c r="C120" s="899">
        <v>4797534.8700000038</v>
      </c>
      <c r="D120" s="899">
        <v>3861636.96</v>
      </c>
      <c r="E120" s="899">
        <v>935897.91000000387</v>
      </c>
      <c r="G120" s="899">
        <f t="shared" si="205"/>
        <v>1053028.1299999962</v>
      </c>
      <c r="H120" s="899">
        <f t="shared" si="205"/>
        <v>598053.04</v>
      </c>
      <c r="I120" s="893" t="s">
        <v>322</v>
      </c>
      <c r="J120" s="899">
        <v>5850563</v>
      </c>
      <c r="K120" s="899">
        <v>4459690</v>
      </c>
      <c r="L120" s="899">
        <v>1390872</v>
      </c>
      <c r="N120" s="899">
        <f t="shared" si="215"/>
        <v>640215</v>
      </c>
      <c r="O120" s="899">
        <f t="shared" si="215"/>
        <v>551200</v>
      </c>
      <c r="P120" s="893" t="s">
        <v>322</v>
      </c>
      <c r="Q120" s="899">
        <v>6490778</v>
      </c>
      <c r="R120" s="899">
        <v>5010890</v>
      </c>
      <c r="S120" s="899">
        <v>1479888</v>
      </c>
      <c r="U120" s="899">
        <f t="shared" si="206"/>
        <v>485620</v>
      </c>
      <c r="V120" s="899">
        <f t="shared" si="206"/>
        <v>-289381</v>
      </c>
      <c r="W120" s="893" t="s">
        <v>322</v>
      </c>
      <c r="X120" s="899">
        <v>6976398</v>
      </c>
      <c r="Y120" s="899">
        <v>4721509</v>
      </c>
      <c r="Z120" s="899">
        <v>2254889</v>
      </c>
      <c r="AB120" s="899">
        <f t="shared" si="207"/>
        <v>1820106</v>
      </c>
      <c r="AC120" s="899">
        <f t="shared" si="207"/>
        <v>1081222</v>
      </c>
      <c r="AD120" s="893" t="s">
        <v>322</v>
      </c>
      <c r="AE120" s="899">
        <v>8796504</v>
      </c>
      <c r="AF120" s="899">
        <v>5802731</v>
      </c>
      <c r="AG120" s="899">
        <v>2993773</v>
      </c>
      <c r="AI120" s="899">
        <f t="shared" si="131"/>
        <v>2404757.4899999946</v>
      </c>
      <c r="AJ120" s="898">
        <f t="shared" si="216"/>
        <v>373617.83999998681</v>
      </c>
      <c r="AK120" s="899">
        <f t="shared" si="217"/>
        <v>961044.08000000007</v>
      </c>
      <c r="AL120" s="930" t="s">
        <v>322</v>
      </c>
      <c r="AM120" s="906">
        <v>9170121.8399999868</v>
      </c>
      <c r="AN120" s="906">
        <v>6763775.0800000001</v>
      </c>
      <c r="AO120" s="923">
        <f t="shared" si="218"/>
        <v>2406346.7599999867</v>
      </c>
      <c r="AP120" s="926"/>
      <c r="AQ120" s="899">
        <f t="shared" si="219"/>
        <v>939758.73000000045</v>
      </c>
      <c r="AR120" s="899">
        <f t="shared" si="220"/>
        <v>991886.81999997608</v>
      </c>
      <c r="AS120" s="930" t="s">
        <v>322</v>
      </c>
      <c r="AT120" s="906">
        <v>10109880.569999987</v>
      </c>
      <c r="AU120" s="906">
        <v>7755661.8999999762</v>
      </c>
      <c r="AV120" s="923">
        <f t="shared" si="221"/>
        <v>2354218.6700000111</v>
      </c>
      <c r="AX120" s="899">
        <f t="shared" si="222"/>
        <v>879998.95000000671</v>
      </c>
      <c r="AY120" s="899">
        <f t="shared" si="223"/>
        <v>1147068.1400000192</v>
      </c>
      <c r="AZ120" s="930" t="s">
        <v>322</v>
      </c>
      <c r="BA120" s="906">
        <v>10989879.519999994</v>
      </c>
      <c r="BB120" s="906">
        <v>8902730.0399999954</v>
      </c>
      <c r="BC120" s="923">
        <f t="shared" si="224"/>
        <v>2087149.4799999986</v>
      </c>
      <c r="BD120" s="926"/>
      <c r="BE120" s="1546">
        <f t="shared" si="225"/>
        <v>211381.97000000067</v>
      </c>
      <c r="BF120" s="899">
        <f t="shared" si="226"/>
        <v>940719.729999993</v>
      </c>
      <c r="BG120" s="930" t="s">
        <v>322</v>
      </c>
      <c r="BH120" s="909">
        <v>11201261.489999995</v>
      </c>
      <c r="BI120" s="909">
        <v>9843449.7699999884</v>
      </c>
      <c r="BJ120" s="951">
        <f t="shared" si="227"/>
        <v>1357811.7200000063</v>
      </c>
      <c r="BK120" s="926"/>
      <c r="BU120" s="1533"/>
      <c r="BV120" s="1530"/>
      <c r="BW120" s="1530"/>
      <c r="BX120" s="1545"/>
    </row>
    <row r="121" spans="1:76" x14ac:dyDescent="0.25">
      <c r="B121" s="893" t="s">
        <v>815</v>
      </c>
      <c r="C121" s="899">
        <v>554147.74999999977</v>
      </c>
      <c r="D121" s="899">
        <v>407931.71999999922</v>
      </c>
      <c r="E121" s="899">
        <v>146216.03000000055</v>
      </c>
      <c r="G121" s="899">
        <f t="shared" si="205"/>
        <v>78306.250000000233</v>
      </c>
      <c r="H121" s="899">
        <f t="shared" si="205"/>
        <v>52662.280000000785</v>
      </c>
      <c r="I121" s="893" t="s">
        <v>815</v>
      </c>
      <c r="J121" s="899">
        <v>632454</v>
      </c>
      <c r="K121" s="899">
        <v>460594</v>
      </c>
      <c r="L121" s="899">
        <v>171860</v>
      </c>
      <c r="N121" s="899">
        <f t="shared" si="215"/>
        <v>110327</v>
      </c>
      <c r="O121" s="899">
        <f t="shared" si="215"/>
        <v>44954</v>
      </c>
      <c r="P121" s="893" t="s">
        <v>815</v>
      </c>
      <c r="Q121" s="899">
        <v>742781</v>
      </c>
      <c r="R121" s="899">
        <v>505548</v>
      </c>
      <c r="S121" s="899">
        <v>237233</v>
      </c>
      <c r="U121" s="899">
        <f t="shared" si="206"/>
        <v>121390</v>
      </c>
      <c r="V121" s="899">
        <f t="shared" si="206"/>
        <v>61810</v>
      </c>
      <c r="W121" s="893" t="s">
        <v>815</v>
      </c>
      <c r="X121" s="899">
        <v>864171</v>
      </c>
      <c r="Y121" s="899">
        <v>567358</v>
      </c>
      <c r="Z121" s="899">
        <v>296812</v>
      </c>
      <c r="AB121" s="899">
        <f t="shared" si="207"/>
        <v>36716</v>
      </c>
      <c r="AC121" s="899">
        <f t="shared" si="207"/>
        <v>55253</v>
      </c>
      <c r="AD121" s="893" t="s">
        <v>815</v>
      </c>
      <c r="AE121" s="899">
        <v>900887</v>
      </c>
      <c r="AF121" s="899">
        <v>622611</v>
      </c>
      <c r="AG121" s="899">
        <v>278277</v>
      </c>
      <c r="AI121" s="899">
        <f t="shared" si="131"/>
        <v>1437679.1099999943</v>
      </c>
      <c r="AJ121" s="898">
        <f t="shared" si="216"/>
        <v>373475.73999999836</v>
      </c>
      <c r="AK121" s="899">
        <f t="shared" si="217"/>
        <v>65984.700000000419</v>
      </c>
      <c r="AL121" s="930" t="s">
        <v>815</v>
      </c>
      <c r="AM121" s="906">
        <v>1274362.7399999984</v>
      </c>
      <c r="AN121" s="906">
        <v>688595.70000000042</v>
      </c>
      <c r="AO121" s="923">
        <f t="shared" si="218"/>
        <v>585767.03999999794</v>
      </c>
      <c r="AP121" s="926"/>
      <c r="AQ121" s="899">
        <f t="shared" si="219"/>
        <v>329388.12999999989</v>
      </c>
      <c r="AR121" s="899">
        <f t="shared" si="220"/>
        <v>113371.88000000012</v>
      </c>
      <c r="AS121" s="930" t="s">
        <v>815</v>
      </c>
      <c r="AT121" s="906">
        <v>1603750.8699999982</v>
      </c>
      <c r="AU121" s="906">
        <v>801967.58000000054</v>
      </c>
      <c r="AV121" s="923">
        <f t="shared" si="221"/>
        <v>801783.28999999771</v>
      </c>
      <c r="AX121" s="899">
        <f t="shared" si="222"/>
        <v>239359.69000000018</v>
      </c>
      <c r="AY121" s="899">
        <f t="shared" si="223"/>
        <v>127945.15999999933</v>
      </c>
      <c r="AZ121" s="930" t="s">
        <v>815</v>
      </c>
      <c r="BA121" s="906">
        <v>1843110.5599999984</v>
      </c>
      <c r="BB121" s="906">
        <v>929912.73999999987</v>
      </c>
      <c r="BC121" s="923">
        <f t="shared" si="224"/>
        <v>913197.81999999855</v>
      </c>
      <c r="BD121" s="926"/>
      <c r="BE121" s="1546">
        <f t="shared" si="225"/>
        <v>495455.54999999586</v>
      </c>
      <c r="BF121" s="899">
        <f t="shared" si="226"/>
        <v>183738.59000000183</v>
      </c>
      <c r="BG121" s="930" t="s">
        <v>815</v>
      </c>
      <c r="BH121" s="909">
        <v>2338566.1099999943</v>
      </c>
      <c r="BI121" s="909">
        <v>1113651.3300000017</v>
      </c>
      <c r="BJ121" s="951">
        <f t="shared" si="227"/>
        <v>1224914.7799999926</v>
      </c>
      <c r="BK121" s="926"/>
      <c r="BU121" s="1533"/>
      <c r="BV121" s="1530"/>
      <c r="BW121" s="1530"/>
      <c r="BX121" s="1545"/>
    </row>
    <row r="122" spans="1:76" x14ac:dyDescent="0.25">
      <c r="B122" s="893" t="s">
        <v>311</v>
      </c>
      <c r="C122" s="899">
        <v>316816.07999999996</v>
      </c>
      <c r="D122" s="899">
        <v>50471.200000000012</v>
      </c>
      <c r="E122" s="899">
        <v>266344.87999999995</v>
      </c>
      <c r="G122" s="899">
        <f t="shared" si="205"/>
        <v>-7.9999999958090484E-2</v>
      </c>
      <c r="H122" s="899">
        <f t="shared" si="205"/>
        <v>31144.799999999988</v>
      </c>
      <c r="I122" s="893" t="s">
        <v>311</v>
      </c>
      <c r="J122" s="899">
        <v>316816</v>
      </c>
      <c r="K122" s="899">
        <v>81616</v>
      </c>
      <c r="L122" s="899">
        <v>235201</v>
      </c>
      <c r="N122" s="899">
        <f t="shared" si="215"/>
        <v>0</v>
      </c>
      <c r="O122" s="899">
        <f t="shared" si="215"/>
        <v>31116</v>
      </c>
      <c r="P122" s="893" t="s">
        <v>311</v>
      </c>
      <c r="Q122" s="899">
        <v>316816</v>
      </c>
      <c r="R122" s="899">
        <v>112732</v>
      </c>
      <c r="S122" s="899">
        <v>204085</v>
      </c>
      <c r="U122" s="899">
        <f t="shared" si="206"/>
        <v>0</v>
      </c>
      <c r="V122" s="899">
        <f t="shared" si="206"/>
        <v>31027</v>
      </c>
      <c r="W122" s="893" t="s">
        <v>311</v>
      </c>
      <c r="X122" s="899">
        <v>316816</v>
      </c>
      <c r="Y122" s="899">
        <v>143759</v>
      </c>
      <c r="Z122" s="899">
        <v>173057</v>
      </c>
      <c r="AB122" s="899">
        <f t="shared" si="207"/>
        <v>0</v>
      </c>
      <c r="AC122" s="899">
        <f t="shared" si="207"/>
        <v>30011</v>
      </c>
      <c r="AD122" s="893" t="s">
        <v>311</v>
      </c>
      <c r="AE122" s="899">
        <v>316816</v>
      </c>
      <c r="AF122" s="899">
        <v>173770</v>
      </c>
      <c r="AG122" s="899">
        <v>143046</v>
      </c>
      <c r="AI122" s="899">
        <f t="shared" si="131"/>
        <v>175364.47999999986</v>
      </c>
      <c r="AJ122" s="898">
        <f t="shared" si="216"/>
        <v>175364.47999999986</v>
      </c>
      <c r="AK122" s="899">
        <f t="shared" si="217"/>
        <v>41469.399999999936</v>
      </c>
      <c r="AL122" s="930" t="s">
        <v>311</v>
      </c>
      <c r="AM122" s="906">
        <v>492180.47999999986</v>
      </c>
      <c r="AN122" s="906">
        <v>215239.39999999994</v>
      </c>
      <c r="AO122" s="923">
        <f t="shared" si="218"/>
        <v>276941.07999999996</v>
      </c>
      <c r="AP122" s="926"/>
      <c r="AQ122" s="899">
        <f t="shared" si="219"/>
        <v>0</v>
      </c>
      <c r="AR122" s="899">
        <f t="shared" si="220"/>
        <v>45633.330000000075</v>
      </c>
      <c r="AS122" s="930" t="s">
        <v>311</v>
      </c>
      <c r="AT122" s="906">
        <v>492180.47999999986</v>
      </c>
      <c r="AU122" s="906">
        <v>260872.73</v>
      </c>
      <c r="AV122" s="923">
        <f t="shared" si="221"/>
        <v>231307.74999999985</v>
      </c>
      <c r="AX122" s="899">
        <f t="shared" si="222"/>
        <v>0</v>
      </c>
      <c r="AY122" s="899">
        <f t="shared" si="223"/>
        <v>45633.329999999929</v>
      </c>
      <c r="AZ122" s="930" t="s">
        <v>311</v>
      </c>
      <c r="BA122" s="906">
        <v>492180.47999999986</v>
      </c>
      <c r="BB122" s="906">
        <v>306506.05999999994</v>
      </c>
      <c r="BC122" s="923">
        <f t="shared" si="224"/>
        <v>185674.41999999993</v>
      </c>
      <c r="BD122" s="926"/>
      <c r="BE122" s="1546">
        <f t="shared" si="225"/>
        <v>0</v>
      </c>
      <c r="BF122" s="899">
        <f t="shared" si="226"/>
        <v>45633.329999999958</v>
      </c>
      <c r="BG122" s="930" t="s">
        <v>311</v>
      </c>
      <c r="BH122" s="909">
        <v>492180.47999999986</v>
      </c>
      <c r="BI122" s="909">
        <v>352139.3899999999</v>
      </c>
      <c r="BJ122" s="951">
        <f t="shared" si="227"/>
        <v>140041.08999999997</v>
      </c>
      <c r="BK122" s="926"/>
      <c r="BU122" s="1533"/>
      <c r="BV122" s="1530"/>
      <c r="BW122" s="1530"/>
      <c r="BX122" s="1545"/>
    </row>
    <row r="123" spans="1:76" x14ac:dyDescent="0.25">
      <c r="B123" s="893" t="s">
        <v>321</v>
      </c>
      <c r="C123" s="899">
        <v>2994645.980000033</v>
      </c>
      <c r="D123" s="899">
        <v>2657832.8700000225</v>
      </c>
      <c r="E123" s="899">
        <v>336813.11000001058</v>
      </c>
      <c r="G123" s="899">
        <f t="shared" si="205"/>
        <v>33582.019999966957</v>
      </c>
      <c r="H123" s="899">
        <f t="shared" si="205"/>
        <v>83046.129999977536</v>
      </c>
      <c r="I123" s="893" t="s">
        <v>321</v>
      </c>
      <c r="J123" s="899">
        <v>3028228</v>
      </c>
      <c r="K123" s="899">
        <v>2740879</v>
      </c>
      <c r="L123" s="899">
        <v>287349</v>
      </c>
      <c r="N123" s="899">
        <f t="shared" si="215"/>
        <v>310875</v>
      </c>
      <c r="O123" s="899">
        <f t="shared" si="215"/>
        <v>57621</v>
      </c>
      <c r="P123" s="893" t="s">
        <v>321</v>
      </c>
      <c r="Q123" s="899">
        <v>3339103</v>
      </c>
      <c r="R123" s="899">
        <v>2798500</v>
      </c>
      <c r="S123" s="899">
        <v>540603</v>
      </c>
      <c r="U123" s="899">
        <f t="shared" si="206"/>
        <v>91333</v>
      </c>
      <c r="V123" s="899">
        <f t="shared" si="206"/>
        <v>88240</v>
      </c>
      <c r="W123" s="893" t="s">
        <v>321</v>
      </c>
      <c r="X123" s="899">
        <v>3430436</v>
      </c>
      <c r="Y123" s="899">
        <v>2886740</v>
      </c>
      <c r="Z123" s="899">
        <v>543696</v>
      </c>
      <c r="AB123" s="899">
        <f t="shared" si="207"/>
        <v>364548</v>
      </c>
      <c r="AC123" s="899">
        <f t="shared" si="207"/>
        <v>98850</v>
      </c>
      <c r="AD123" s="893" t="s">
        <v>321</v>
      </c>
      <c r="AE123" s="899">
        <v>3794984</v>
      </c>
      <c r="AF123" s="899">
        <v>2985590</v>
      </c>
      <c r="AG123" s="899">
        <v>809394</v>
      </c>
      <c r="AI123" s="899">
        <f t="shared" si="131"/>
        <v>1767361.9400000004</v>
      </c>
      <c r="AJ123" s="898">
        <f t="shared" si="216"/>
        <v>396651.26999997208</v>
      </c>
      <c r="AK123" s="899">
        <f t="shared" si="217"/>
        <v>184255.98000002652</v>
      </c>
      <c r="AL123" s="930" t="s">
        <v>321</v>
      </c>
      <c r="AM123" s="906">
        <v>4191635.2699999721</v>
      </c>
      <c r="AN123" s="906">
        <v>3169845.9800000265</v>
      </c>
      <c r="AO123" s="923">
        <f t="shared" si="218"/>
        <v>1021789.2899999456</v>
      </c>
      <c r="AP123" s="926"/>
      <c r="AQ123" s="899">
        <f t="shared" si="219"/>
        <v>216841.14999999711</v>
      </c>
      <c r="AR123" s="899">
        <f t="shared" si="220"/>
        <v>226677.93000002252</v>
      </c>
      <c r="AS123" s="930" t="s">
        <v>321</v>
      </c>
      <c r="AT123" s="906">
        <v>4408476.4199999692</v>
      </c>
      <c r="AU123" s="906">
        <v>3396523.910000049</v>
      </c>
      <c r="AV123" s="923">
        <f t="shared" si="221"/>
        <v>1011952.5099999201</v>
      </c>
      <c r="AX123" s="899">
        <f t="shared" si="222"/>
        <v>240257.12000001967</v>
      </c>
      <c r="AY123" s="899">
        <f t="shared" si="223"/>
        <v>164269.38999992842</v>
      </c>
      <c r="AZ123" s="930" t="s">
        <v>321</v>
      </c>
      <c r="BA123" s="906">
        <v>4648733.5399999889</v>
      </c>
      <c r="BB123" s="906">
        <v>3560793.2999999775</v>
      </c>
      <c r="BC123" s="923">
        <f t="shared" si="224"/>
        <v>1087940.2400000114</v>
      </c>
      <c r="BD123" s="926"/>
      <c r="BE123" s="1546">
        <f t="shared" si="225"/>
        <v>913612.40000001155</v>
      </c>
      <c r="BF123" s="899">
        <f t="shared" si="226"/>
        <v>368038.8100000415</v>
      </c>
      <c r="BG123" s="930" t="s">
        <v>321</v>
      </c>
      <c r="BH123" s="909">
        <v>5562345.9400000004</v>
      </c>
      <c r="BI123" s="909">
        <v>3928832.110000019</v>
      </c>
      <c r="BJ123" s="951">
        <f t="shared" si="227"/>
        <v>1633513.8299999814</v>
      </c>
      <c r="BK123" s="926"/>
      <c r="BU123" s="1533"/>
      <c r="BV123" s="1530"/>
      <c r="BW123" s="1530"/>
      <c r="BX123" s="1545"/>
    </row>
    <row r="124" spans="1:76" x14ac:dyDescent="0.25">
      <c r="B124" s="893" t="s">
        <v>316</v>
      </c>
      <c r="C124" s="899">
        <v>1828909.3900000001</v>
      </c>
      <c r="D124" s="899">
        <v>1634507.2100000004</v>
      </c>
      <c r="E124" s="899">
        <v>194402.1799999997</v>
      </c>
      <c r="G124" s="899">
        <f t="shared" si="205"/>
        <v>-186731.39000000013</v>
      </c>
      <c r="H124" s="899">
        <f t="shared" si="205"/>
        <v>-3752.2100000004284</v>
      </c>
      <c r="I124" s="893" t="s">
        <v>316</v>
      </c>
      <c r="J124" s="899">
        <v>1642178</v>
      </c>
      <c r="K124" s="899">
        <v>1630755</v>
      </c>
      <c r="L124" s="899">
        <v>11423</v>
      </c>
      <c r="N124" s="899">
        <f t="shared" si="215"/>
        <v>-992658</v>
      </c>
      <c r="O124" s="899">
        <f t="shared" si="215"/>
        <v>-1141245</v>
      </c>
      <c r="P124" s="893" t="s">
        <v>316</v>
      </c>
      <c r="Q124" s="899">
        <v>649520</v>
      </c>
      <c r="R124" s="899">
        <v>489510</v>
      </c>
      <c r="S124" s="899">
        <v>160011</v>
      </c>
      <c r="U124" s="899">
        <f t="shared" si="206"/>
        <v>-196826</v>
      </c>
      <c r="V124" s="899">
        <f t="shared" si="206"/>
        <v>-44691</v>
      </c>
      <c r="W124" s="893" t="s">
        <v>316</v>
      </c>
      <c r="X124" s="899">
        <v>452694</v>
      </c>
      <c r="Y124" s="899">
        <v>444819</v>
      </c>
      <c r="Z124" s="899">
        <v>7875</v>
      </c>
      <c r="AB124" s="899">
        <f t="shared" si="207"/>
        <v>277</v>
      </c>
      <c r="AC124" s="899">
        <f t="shared" si="207"/>
        <v>1094</v>
      </c>
      <c r="AD124" s="893" t="s">
        <v>316</v>
      </c>
      <c r="AE124" s="899">
        <v>452971</v>
      </c>
      <c r="AF124" s="899">
        <v>445913</v>
      </c>
      <c r="AG124" s="899">
        <v>7058</v>
      </c>
      <c r="AI124" s="899">
        <f t="shared" si="131"/>
        <v>-398149.92</v>
      </c>
      <c r="AJ124" s="898">
        <f t="shared" si="216"/>
        <v>43881.739999999816</v>
      </c>
      <c r="AK124" s="899">
        <f t="shared" si="217"/>
        <v>10095.069999999891</v>
      </c>
      <c r="AL124" s="915" t="s">
        <v>316</v>
      </c>
      <c r="AM124" s="906">
        <v>496852.73999999982</v>
      </c>
      <c r="AN124" s="906">
        <v>456008.06999999989</v>
      </c>
      <c r="AO124" s="923">
        <f t="shared" si="218"/>
        <v>40844.669999999925</v>
      </c>
      <c r="AP124" s="926" t="s">
        <v>1023</v>
      </c>
      <c r="AQ124" s="899">
        <f t="shared" si="219"/>
        <v>-442031.6599999998</v>
      </c>
      <c r="AR124" s="899">
        <f t="shared" si="220"/>
        <v>-437001.06999999989</v>
      </c>
      <c r="AS124" s="915" t="s">
        <v>316</v>
      </c>
      <c r="AT124" s="906">
        <v>54821.080000000009</v>
      </c>
      <c r="AU124" s="906">
        <v>19006.999999999996</v>
      </c>
      <c r="AV124" s="923">
        <f t="shared" si="221"/>
        <v>35814.080000000016</v>
      </c>
      <c r="AX124" s="899">
        <f t="shared" si="222"/>
        <v>0</v>
      </c>
      <c r="AY124" s="899">
        <f t="shared" si="223"/>
        <v>5482.0000000000036</v>
      </c>
      <c r="AZ124" s="915" t="s">
        <v>316</v>
      </c>
      <c r="BA124" s="906">
        <v>54821.080000000009</v>
      </c>
      <c r="BB124" s="906">
        <v>24489</v>
      </c>
      <c r="BC124" s="923">
        <f t="shared" si="224"/>
        <v>30332.080000000009</v>
      </c>
      <c r="BD124" s="926" t="s">
        <v>1023</v>
      </c>
      <c r="BE124" s="1546">
        <f t="shared" si="225"/>
        <v>0</v>
      </c>
      <c r="BF124" s="899">
        <f t="shared" si="226"/>
        <v>5482</v>
      </c>
      <c r="BG124" s="915" t="s">
        <v>316</v>
      </c>
      <c r="BH124" s="909">
        <v>54821.080000000009</v>
      </c>
      <c r="BI124" s="909">
        <v>29971</v>
      </c>
      <c r="BJ124" s="951">
        <f t="shared" si="227"/>
        <v>24850.080000000009</v>
      </c>
      <c r="BK124" s="926" t="s">
        <v>1023</v>
      </c>
      <c r="BU124" s="1541"/>
      <c r="BV124" s="1530"/>
      <c r="BW124" s="1530"/>
      <c r="BX124" s="1545"/>
    </row>
    <row r="125" spans="1:76" x14ac:dyDescent="0.25">
      <c r="B125" s="893" t="s">
        <v>302</v>
      </c>
      <c r="C125" s="899">
        <v>272474.58999999997</v>
      </c>
      <c r="D125" s="899">
        <v>0</v>
      </c>
      <c r="E125" s="899">
        <v>272474.58999999997</v>
      </c>
      <c r="G125" s="899">
        <f t="shared" si="205"/>
        <v>-19172.589999999967</v>
      </c>
      <c r="H125" s="899">
        <f t="shared" si="205"/>
        <v>0</v>
      </c>
      <c r="I125" s="893" t="s">
        <v>302</v>
      </c>
      <c r="J125" s="899">
        <v>253302</v>
      </c>
      <c r="K125" s="893">
        <v>0</v>
      </c>
      <c r="L125" s="899">
        <v>253302</v>
      </c>
      <c r="N125" s="899">
        <f t="shared" si="215"/>
        <v>-9547</v>
      </c>
      <c r="O125" s="899">
        <f t="shared" si="215"/>
        <v>0</v>
      </c>
      <c r="P125" s="893" t="s">
        <v>302</v>
      </c>
      <c r="Q125" s="899">
        <v>243755</v>
      </c>
      <c r="R125" s="893">
        <v>0</v>
      </c>
      <c r="S125" s="899">
        <v>243755</v>
      </c>
      <c r="U125" s="899">
        <f t="shared" si="206"/>
        <v>0</v>
      </c>
      <c r="V125" s="899">
        <f t="shared" si="206"/>
        <v>0</v>
      </c>
      <c r="W125" s="893" t="s">
        <v>302</v>
      </c>
      <c r="X125" s="899">
        <v>243755</v>
      </c>
      <c r="Y125" s="893">
        <v>0</v>
      </c>
      <c r="Z125" s="899">
        <v>243755</v>
      </c>
      <c r="AB125" s="899">
        <f t="shared" si="207"/>
        <v>-46122</v>
      </c>
      <c r="AC125" s="899">
        <f t="shared" si="207"/>
        <v>0</v>
      </c>
      <c r="AD125" s="893" t="s">
        <v>302</v>
      </c>
      <c r="AE125" s="899">
        <v>197633</v>
      </c>
      <c r="AF125" s="893">
        <v>0</v>
      </c>
      <c r="AG125" s="899">
        <v>197633</v>
      </c>
      <c r="AI125" s="899">
        <f t="shared" si="131"/>
        <v>-5000.1100000000151</v>
      </c>
      <c r="AJ125" s="898">
        <f t="shared" si="216"/>
        <v>-5000.1100000000151</v>
      </c>
      <c r="AK125" s="899">
        <f t="shared" si="217"/>
        <v>0</v>
      </c>
      <c r="AL125" s="930" t="s">
        <v>302</v>
      </c>
      <c r="AM125" s="906">
        <v>192632.88999999998</v>
      </c>
      <c r="AN125" s="906">
        <v>0</v>
      </c>
      <c r="AO125" s="923">
        <f t="shared" si="218"/>
        <v>192632.88999999998</v>
      </c>
      <c r="AP125" s="926"/>
      <c r="AQ125" s="899">
        <f t="shared" si="219"/>
        <v>0</v>
      </c>
      <c r="AR125" s="899">
        <f t="shared" si="220"/>
        <v>0</v>
      </c>
      <c r="AS125" s="930" t="s">
        <v>302</v>
      </c>
      <c r="AT125" s="906">
        <v>192632.88999999998</v>
      </c>
      <c r="AU125" s="906">
        <v>0</v>
      </c>
      <c r="AV125" s="923">
        <f t="shared" si="221"/>
        <v>192632.88999999998</v>
      </c>
      <c r="AX125" s="899">
        <f t="shared" si="222"/>
        <v>0</v>
      </c>
      <c r="AY125" s="899">
        <f t="shared" si="223"/>
        <v>0</v>
      </c>
      <c r="AZ125" s="930" t="s">
        <v>302</v>
      </c>
      <c r="BA125" s="906">
        <v>192632.88999999998</v>
      </c>
      <c r="BB125" s="906">
        <v>0</v>
      </c>
      <c r="BC125" s="923">
        <f t="shared" si="224"/>
        <v>192632.88999999998</v>
      </c>
      <c r="BD125" s="926"/>
      <c r="BE125" s="1546">
        <f t="shared" si="225"/>
        <v>0</v>
      </c>
      <c r="BF125" s="899">
        <f t="shared" si="226"/>
        <v>0</v>
      </c>
      <c r="BG125" s="930" t="s">
        <v>302</v>
      </c>
      <c r="BH125" s="909">
        <v>192632.88999999998</v>
      </c>
      <c r="BI125" s="909">
        <v>0</v>
      </c>
      <c r="BJ125" s="951">
        <f t="shared" si="227"/>
        <v>192632.88999999998</v>
      </c>
      <c r="BK125" s="926"/>
      <c r="BU125" s="1533"/>
      <c r="BV125" s="1530"/>
      <c r="BW125" s="1530"/>
      <c r="BX125" s="1545"/>
    </row>
    <row r="126" spans="1:76" x14ac:dyDescent="0.25">
      <c r="C126" s="899"/>
      <c r="D126" s="899"/>
      <c r="E126" s="899"/>
    </row>
    <row r="127" spans="1:76" x14ac:dyDescent="0.25">
      <c r="C127" s="899"/>
      <c r="D127" s="899"/>
      <c r="E127" s="899"/>
    </row>
    <row r="128" spans="1:76" x14ac:dyDescent="0.25">
      <c r="C128" s="899"/>
      <c r="D128" s="899"/>
      <c r="E128" s="899"/>
    </row>
    <row r="129" spans="3:5" x14ac:dyDescent="0.25">
      <c r="C129" s="899"/>
      <c r="D129" s="899"/>
      <c r="E129" s="899"/>
    </row>
    <row r="130" spans="3:5" x14ac:dyDescent="0.25">
      <c r="C130" s="899"/>
      <c r="D130" s="899"/>
      <c r="E130" s="899"/>
    </row>
  </sheetData>
  <dataValidations count="2">
    <dataValidation type="list" allowBlank="1" showInputMessage="1" showErrorMessage="1" sqref="BO80:BO85 BO109:BO112 BO12:BO41 BO43:BO51 BO91:BO94 BO96:BO98 BO100:BO105 BO55:BO77" xr:uid="{00000000-0002-0000-1200-000000000000}">
      <formula1>$BO$1:$BO$4</formula1>
    </dataValidation>
    <dataValidation type="list" allowBlank="1" showInputMessage="1" showErrorMessage="1" sqref="BP12:BP41 BP109:BP112 BP43:BP51 BP80:BP85 BP91:BP94 BP96:BP98 BP100:BP105 BP55:BP77" xr:uid="{00000000-0002-0000-1200-000001000000}">
      <formula1>$BP$1:$BP$4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</sheetPr>
  <dimension ref="A2:M34"/>
  <sheetViews>
    <sheetView zoomScale="110" zoomScaleNormal="110" workbookViewId="0">
      <selection activeCell="G32" sqref="G32"/>
    </sheetView>
  </sheetViews>
  <sheetFormatPr baseColWidth="10" defaultColWidth="11.42578125" defaultRowHeight="15" x14ac:dyDescent="0.25"/>
  <cols>
    <col min="1" max="1" width="19" customWidth="1"/>
    <col min="2" max="2" width="22.85546875" customWidth="1"/>
    <col min="12" max="12" width="11.7109375" customWidth="1"/>
  </cols>
  <sheetData>
    <row r="2" spans="1:11" x14ac:dyDescent="0.25">
      <c r="J2" t="s">
        <v>45</v>
      </c>
    </row>
    <row r="3" spans="1:11" x14ac:dyDescent="0.25">
      <c r="A3" t="s">
        <v>46</v>
      </c>
      <c r="J3" t="s">
        <v>47</v>
      </c>
    </row>
    <row r="4" spans="1:11" x14ac:dyDescent="0.25">
      <c r="K4" t="s">
        <v>48</v>
      </c>
    </row>
    <row r="5" spans="1:11" x14ac:dyDescent="0.25">
      <c r="A5" t="s">
        <v>49</v>
      </c>
    </row>
    <row r="7" spans="1:11" x14ac:dyDescent="0.25">
      <c r="C7">
        <v>2019</v>
      </c>
      <c r="D7">
        <v>2020</v>
      </c>
      <c r="E7">
        <v>2021</v>
      </c>
      <c r="F7">
        <v>2022</v>
      </c>
      <c r="G7">
        <v>2023</v>
      </c>
      <c r="H7">
        <v>2024</v>
      </c>
      <c r="I7" t="s">
        <v>1274</v>
      </c>
    </row>
    <row r="8" spans="1:11" x14ac:dyDescent="0.25">
      <c r="A8" t="s">
        <v>50</v>
      </c>
      <c r="B8" t="s">
        <v>51</v>
      </c>
      <c r="C8" s="108">
        <v>111592439</v>
      </c>
      <c r="D8" s="108">
        <v>126782520</v>
      </c>
      <c r="E8" s="108">
        <v>115913898</v>
      </c>
      <c r="F8" s="108">
        <v>103610774</v>
      </c>
      <c r="G8" s="108">
        <v>137370246</v>
      </c>
      <c r="H8" s="108">
        <v>106363387</v>
      </c>
      <c r="I8" s="108"/>
    </row>
    <row r="9" spans="1:11" x14ac:dyDescent="0.25">
      <c r="B9" t="s">
        <v>52</v>
      </c>
      <c r="C9" s="108">
        <v>4871347</v>
      </c>
      <c r="D9" s="108">
        <v>5010425</v>
      </c>
      <c r="E9" s="108">
        <v>5117560</v>
      </c>
      <c r="F9" s="108">
        <v>4903175</v>
      </c>
      <c r="G9" s="108">
        <v>7258002</v>
      </c>
      <c r="H9" s="108">
        <v>9681116</v>
      </c>
      <c r="I9" s="108"/>
    </row>
    <row r="10" spans="1:11" x14ac:dyDescent="0.25">
      <c r="B10" t="s">
        <v>53</v>
      </c>
      <c r="C10" s="108">
        <v>15324392</v>
      </c>
      <c r="D10" s="108">
        <v>12325657</v>
      </c>
      <c r="E10" s="108">
        <v>6433122</v>
      </c>
      <c r="F10" s="108">
        <v>6969212</v>
      </c>
      <c r="G10" s="108">
        <v>10435477</v>
      </c>
      <c r="H10" s="108">
        <v>12313101</v>
      </c>
      <c r="I10" s="108"/>
    </row>
    <row r="11" spans="1:11" x14ac:dyDescent="0.25">
      <c r="C11" s="108"/>
      <c r="D11" s="108"/>
      <c r="E11" s="108"/>
      <c r="F11" s="108"/>
      <c r="G11" s="108"/>
      <c r="H11" s="108"/>
      <c r="I11" s="108"/>
    </row>
    <row r="12" spans="1:11" x14ac:dyDescent="0.25">
      <c r="A12" t="s">
        <v>54</v>
      </c>
      <c r="B12" t="s">
        <v>1271</v>
      </c>
      <c r="F12" s="108">
        <v>923874</v>
      </c>
      <c r="G12" s="108">
        <v>97886</v>
      </c>
      <c r="H12" s="108">
        <v>0</v>
      </c>
      <c r="I12" s="678">
        <v>0</v>
      </c>
    </row>
    <row r="13" spans="1:11" x14ac:dyDescent="0.25">
      <c r="B13" t="s">
        <v>1272</v>
      </c>
      <c r="F13" s="108">
        <v>900200</v>
      </c>
      <c r="G13" s="108">
        <v>0</v>
      </c>
      <c r="H13" s="108">
        <v>0</v>
      </c>
      <c r="I13" s="678">
        <v>0</v>
      </c>
    </row>
    <row r="14" spans="1:11" x14ac:dyDescent="0.25">
      <c r="B14" t="s">
        <v>1273</v>
      </c>
      <c r="F14" s="108">
        <v>855797</v>
      </c>
      <c r="G14" s="108">
        <v>59656</v>
      </c>
      <c r="H14" s="108">
        <v>50739</v>
      </c>
      <c r="I14" s="678">
        <v>0</v>
      </c>
    </row>
    <row r="15" spans="1:11" x14ac:dyDescent="0.25">
      <c r="B15" t="s">
        <v>56</v>
      </c>
      <c r="C15" s="108">
        <v>1181376</v>
      </c>
      <c r="D15" s="108">
        <v>808532</v>
      </c>
      <c r="E15" s="108">
        <v>436821</v>
      </c>
      <c r="F15" s="108">
        <v>600810</v>
      </c>
      <c r="G15" s="108">
        <v>1594228</v>
      </c>
      <c r="H15" s="678">
        <v>-1071983</v>
      </c>
      <c r="I15" s="678">
        <v>1</v>
      </c>
    </row>
    <row r="16" spans="1:11" x14ac:dyDescent="0.25">
      <c r="B16" t="s">
        <v>57</v>
      </c>
      <c r="C16" s="108">
        <v>1001986</v>
      </c>
      <c r="D16" s="108">
        <v>20735</v>
      </c>
      <c r="E16" s="108">
        <v>136662</v>
      </c>
      <c r="F16" s="108">
        <v>272433</v>
      </c>
      <c r="G16" s="108">
        <v>1450</v>
      </c>
      <c r="H16" s="108">
        <v>11229</v>
      </c>
      <c r="I16" s="678">
        <v>0</v>
      </c>
    </row>
    <row r="17" spans="1:13" x14ac:dyDescent="0.25">
      <c r="B17" t="s">
        <v>55</v>
      </c>
      <c r="C17" s="108">
        <v>329480</v>
      </c>
      <c r="D17" s="108">
        <v>65147</v>
      </c>
      <c r="E17" s="108">
        <v>69520</v>
      </c>
      <c r="F17" s="108">
        <v>58078</v>
      </c>
      <c r="G17" s="108">
        <v>164620</v>
      </c>
      <c r="H17" s="108">
        <v>13041</v>
      </c>
      <c r="I17" s="678">
        <v>1</v>
      </c>
    </row>
    <row r="18" spans="1:13" x14ac:dyDescent="0.25">
      <c r="B18" t="s">
        <v>28</v>
      </c>
      <c r="C18" s="108">
        <f>SUM(C12:C17)</f>
        <v>2512842</v>
      </c>
      <c r="D18" s="108">
        <f t="shared" ref="D18:H18" si="0">SUM(D12:D17)</f>
        <v>894414</v>
      </c>
      <c r="E18" s="108">
        <f t="shared" si="0"/>
        <v>643003</v>
      </c>
      <c r="F18" s="108">
        <f t="shared" si="0"/>
        <v>3611192</v>
      </c>
      <c r="G18" s="108">
        <f t="shared" si="0"/>
        <v>1917840</v>
      </c>
      <c r="H18" s="108">
        <f t="shared" si="0"/>
        <v>-996974</v>
      </c>
      <c r="I18" s="678"/>
    </row>
    <row r="19" spans="1:13" x14ac:dyDescent="0.25">
      <c r="C19" s="108"/>
      <c r="D19" s="108"/>
      <c r="E19" s="108"/>
      <c r="F19" s="108"/>
      <c r="G19" s="108"/>
      <c r="H19" s="108"/>
      <c r="I19" s="108"/>
    </row>
    <row r="20" spans="1:13" x14ac:dyDescent="0.25">
      <c r="B20" t="s">
        <v>58</v>
      </c>
      <c r="C20" s="108">
        <f>+C17+C15</f>
        <v>1510856</v>
      </c>
      <c r="D20" s="108">
        <f>+D17+D15</f>
        <v>873679</v>
      </c>
      <c r="E20" s="108">
        <f>+E17+E15</f>
        <v>506341</v>
      </c>
      <c r="F20" s="108">
        <f>SUMPRODUCT(F12:F17,$I$12:$I$17)</f>
        <v>658888</v>
      </c>
      <c r="G20" s="108">
        <f t="shared" ref="G20" si="1">SUMPRODUCT(G12:G17,$I$12:$I$17)</f>
        <v>1758848</v>
      </c>
      <c r="H20" s="108">
        <f>H17</f>
        <v>13041</v>
      </c>
      <c r="I20" s="108"/>
    </row>
    <row r="21" spans="1:13" x14ac:dyDescent="0.25">
      <c r="B21" t="s">
        <v>59</v>
      </c>
      <c r="C21" s="108">
        <f>+C8+C9</f>
        <v>116463786</v>
      </c>
      <c r="D21" s="108">
        <f>+D8+D9</f>
        <v>131792945</v>
      </c>
      <c r="E21" s="108">
        <f>+E8+E9</f>
        <v>121031458</v>
      </c>
      <c r="F21" s="108">
        <f t="shared" ref="F21:H21" si="2">+F8+F9</f>
        <v>108513949</v>
      </c>
      <c r="G21" s="108">
        <f t="shared" si="2"/>
        <v>144628248</v>
      </c>
      <c r="H21" s="108">
        <f t="shared" si="2"/>
        <v>116044503</v>
      </c>
      <c r="I21" s="108"/>
    </row>
    <row r="22" spans="1:13" x14ac:dyDescent="0.25">
      <c r="B22" t="s">
        <v>1474</v>
      </c>
      <c r="C22" s="108">
        <f>C21-C20</f>
        <v>114952930</v>
      </c>
      <c r="D22" s="108">
        <f t="shared" ref="D22:F22" si="3">D21-D20</f>
        <v>130919266</v>
      </c>
      <c r="E22" s="108">
        <f t="shared" si="3"/>
        <v>120525117</v>
      </c>
      <c r="F22" s="108">
        <f t="shared" si="3"/>
        <v>107855061</v>
      </c>
      <c r="G22" s="108">
        <f>G21-G20</f>
        <v>142869400</v>
      </c>
      <c r="H22" s="108">
        <f>H21-H20</f>
        <v>116031462</v>
      </c>
      <c r="I22" s="108"/>
    </row>
    <row r="23" spans="1:13" x14ac:dyDescent="0.25">
      <c r="B23" t="s">
        <v>1475</v>
      </c>
      <c r="C23" s="801">
        <f>+C22/(C22+0.8*C20)</f>
        <v>0.98959480029542435</v>
      </c>
      <c r="D23" s="801">
        <f>+D22/(D22+0.8*D20)</f>
        <v>0.99468961624498375</v>
      </c>
      <c r="E23" s="801">
        <f>+E22/(E22+0.8*E20)</f>
        <v>0.99665035835410554</v>
      </c>
      <c r="F23" s="801">
        <f>+F22/(F22+0.8*F20)</f>
        <v>0.99513655804094725</v>
      </c>
      <c r="G23" s="801">
        <f>+G22/(G22+0.8*G20)</f>
        <v>0.99024734720722152</v>
      </c>
      <c r="H23" s="801">
        <f>+H21/(H21+0.8*H20)</f>
        <v>0.99991010464201213</v>
      </c>
      <c r="I23" s="801"/>
      <c r="K23" s="801"/>
      <c r="M23" s="801"/>
    </row>
    <row r="24" spans="1:13" x14ac:dyDescent="0.25">
      <c r="C24" s="108"/>
      <c r="D24" s="108"/>
      <c r="E24" s="108"/>
      <c r="F24" s="108"/>
      <c r="G24" s="108"/>
      <c r="H24" s="108"/>
      <c r="I24" s="108"/>
    </row>
    <row r="25" spans="1:13" x14ac:dyDescent="0.25">
      <c r="C25" s="592">
        <f>1-C23</f>
        <v>1.0405199704575652E-2</v>
      </c>
      <c r="D25" s="592">
        <f>1-D23</f>
        <v>5.3103837550162458E-3</v>
      </c>
      <c r="E25" s="592">
        <f>1-E23</f>
        <v>3.3496416458944633E-3</v>
      </c>
      <c r="F25" s="592">
        <f t="shared" ref="F25:H25" si="4">1-F23</f>
        <v>4.86344195905275E-3</v>
      </c>
      <c r="G25" s="592">
        <f t="shared" si="4"/>
        <v>9.7526527927784823E-3</v>
      </c>
      <c r="H25" s="592">
        <f t="shared" si="4"/>
        <v>8.9895357987868074E-5</v>
      </c>
      <c r="I25" s="592"/>
      <c r="J25" s="801"/>
    </row>
    <row r="29" spans="1:13" x14ac:dyDescent="0.25">
      <c r="A29" s="655" t="s">
        <v>1267</v>
      </c>
      <c r="B29" s="655">
        <v>2025</v>
      </c>
    </row>
    <row r="30" spans="1:13" x14ac:dyDescent="0.25">
      <c r="A30" s="293" t="s">
        <v>1268</v>
      </c>
      <c r="B30" s="654">
        <f>'IMP Existente'!E34+'IMP Existente'!E35+'IMP Existente'!E59+'IMP Existente'!E60</f>
        <v>44134.417773848727</v>
      </c>
    </row>
    <row r="31" spans="1:13" x14ac:dyDescent="0.25">
      <c r="A31" s="293" t="s">
        <v>1269</v>
      </c>
      <c r="B31" s="654">
        <f>-'Activos Reconocidos'!D58/1000-'Activos Reconocidos'!D62/1000-'Activos Reconocidos'!D179/1000</f>
        <v>38644.508171281748</v>
      </c>
    </row>
    <row r="32" spans="1:13" x14ac:dyDescent="0.25">
      <c r="A32" s="293" t="s">
        <v>1270</v>
      </c>
      <c r="B32" s="654">
        <f>SUM('Activos Reconocidos'!C57/1000+'Activos Reconocidos'!C61/1000+'Activos Reconocidos'!C178/1000)*'IMP Existente'!RRT</f>
        <v>75040.095920285064</v>
      </c>
    </row>
    <row r="33" spans="1:2" x14ac:dyDescent="0.25">
      <c r="A33" s="293" t="s">
        <v>56</v>
      </c>
      <c r="B33" s="654">
        <f>'IMP Existente'!E38</f>
        <v>15</v>
      </c>
    </row>
    <row r="34" spans="1:2" x14ac:dyDescent="0.25">
      <c r="A34" s="860" t="s">
        <v>28</v>
      </c>
      <c r="B34" s="861">
        <f>SUM(B30:B33)</f>
        <v>157834.02186541553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2">
    <tabColor theme="8" tint="-0.249977111117893"/>
    <pageSetUpPr fitToPage="1"/>
  </sheetPr>
  <dimension ref="A1:AA153"/>
  <sheetViews>
    <sheetView showGridLines="0" topLeftCell="A42" zoomScaleNormal="100" workbookViewId="0">
      <selection activeCell="N59" sqref="N59"/>
    </sheetView>
  </sheetViews>
  <sheetFormatPr baseColWidth="10" defaultColWidth="11.42578125" defaultRowHeight="15" outlineLevelCol="1" x14ac:dyDescent="0.25"/>
  <cols>
    <col min="1" max="1" width="3.28515625" style="109" customWidth="1"/>
    <col min="2" max="2" width="53.42578125" style="109" customWidth="1"/>
    <col min="3" max="3" width="15" style="843" customWidth="1"/>
    <col min="4" max="4" width="12" style="109" customWidth="1" outlineLevel="1"/>
    <col min="5" max="6" width="12" style="109" bestFit="1" customWidth="1"/>
    <col min="7" max="7" width="12.140625" style="109" bestFit="1" customWidth="1"/>
    <col min="8" max="8" width="12" style="109" bestFit="1" customWidth="1"/>
    <col min="9" max="9" width="12.140625" style="109" bestFit="1" customWidth="1"/>
    <col min="10" max="10" width="12" style="109" bestFit="1" customWidth="1"/>
    <col min="11" max="11" width="12.140625" style="109" bestFit="1" customWidth="1"/>
    <col min="12" max="12" width="12" style="109" bestFit="1" customWidth="1"/>
    <col min="13" max="13" width="18" style="109" customWidth="1"/>
    <col min="14" max="14" width="17.140625" style="109" customWidth="1"/>
    <col min="15" max="15" width="15.7109375" style="109" customWidth="1"/>
    <col min="16" max="16" width="14" style="109" bestFit="1" customWidth="1"/>
    <col min="17" max="17" width="14.7109375" style="109" customWidth="1"/>
    <col min="18" max="16384" width="11.42578125" style="109"/>
  </cols>
  <sheetData>
    <row r="1" spans="2:18" s="164" customFormat="1" x14ac:dyDescent="0.25">
      <c r="C1" s="840"/>
      <c r="F1" s="165"/>
      <c r="G1" s="165"/>
    </row>
    <row r="2" spans="2:18" s="567" customFormat="1" ht="15.75" thickBot="1" x14ac:dyDescent="0.3">
      <c r="B2" s="566" t="s">
        <v>277</v>
      </c>
      <c r="C2" s="841"/>
    </row>
    <row r="3" spans="2:18" s="162" customFormat="1" ht="15.75" hidden="1" thickBot="1" x14ac:dyDescent="0.3">
      <c r="C3" s="842"/>
    </row>
    <row r="4" spans="2:18" s="162" customFormat="1" ht="15.75" hidden="1" thickBot="1" x14ac:dyDescent="0.3">
      <c r="B4" s="192" t="s">
        <v>347</v>
      </c>
      <c r="C4" s="842"/>
    </row>
    <row r="5" spans="2:18" s="162" customFormat="1" ht="18" hidden="1" customHeight="1" thickBot="1" x14ac:dyDescent="0.3">
      <c r="C5" s="842"/>
      <c r="D5" s="162">
        <v>2021</v>
      </c>
      <c r="E5" s="162">
        <v>2021</v>
      </c>
      <c r="F5" s="162">
        <v>2022</v>
      </c>
      <c r="G5" s="162">
        <v>2022</v>
      </c>
      <c r="H5" s="162">
        <v>2023</v>
      </c>
      <c r="I5" s="162">
        <v>2023</v>
      </c>
      <c r="J5" s="162">
        <v>2024</v>
      </c>
      <c r="K5" s="162">
        <v>2024</v>
      </c>
      <c r="L5" s="162">
        <v>2025</v>
      </c>
      <c r="Q5" s="457" t="s">
        <v>833</v>
      </c>
      <c r="R5" s="573">
        <v>85</v>
      </c>
    </row>
    <row r="6" spans="2:18" s="162" customFormat="1" ht="15.75" thickBot="1" x14ac:dyDescent="0.3">
      <c r="B6" s="568" t="s">
        <v>834</v>
      </c>
      <c r="C6" s="457" t="s">
        <v>1210</v>
      </c>
      <c r="D6" s="457" t="s">
        <v>835</v>
      </c>
      <c r="E6" s="457" t="s">
        <v>836</v>
      </c>
      <c r="F6" s="457" t="s">
        <v>1558</v>
      </c>
      <c r="G6" s="457" t="s">
        <v>1559</v>
      </c>
      <c r="H6" s="457" t="s">
        <v>1560</v>
      </c>
      <c r="I6" s="457" t="s">
        <v>1561</v>
      </c>
      <c r="J6" s="457" t="s">
        <v>1562</v>
      </c>
      <c r="K6" s="457" t="s">
        <v>1563</v>
      </c>
      <c r="L6" s="457" t="s">
        <v>1564</v>
      </c>
    </row>
    <row r="7" spans="2:18" s="162" customFormat="1" x14ac:dyDescent="0.25">
      <c r="B7" s="569" t="s">
        <v>837</v>
      </c>
      <c r="C7" s="570" t="s">
        <v>838</v>
      </c>
      <c r="D7" s="1126">
        <v>0</v>
      </c>
      <c r="E7" s="1126">
        <f>D102</f>
        <v>9</v>
      </c>
      <c r="F7" s="1126">
        <f t="shared" ref="F7:L7" si="0">E102</f>
        <v>1</v>
      </c>
      <c r="G7" s="1126">
        <f t="shared" si="0"/>
        <v>5</v>
      </c>
      <c r="H7" s="1126">
        <f t="shared" si="0"/>
        <v>0</v>
      </c>
      <c r="I7" s="1126">
        <f t="shared" si="0"/>
        <v>3</v>
      </c>
      <c r="J7" s="1126">
        <f t="shared" si="0"/>
        <v>0</v>
      </c>
      <c r="K7" s="1126">
        <f t="shared" si="0"/>
        <v>1</v>
      </c>
      <c r="L7" s="1126">
        <f t="shared" si="0"/>
        <v>0</v>
      </c>
      <c r="M7" s="4"/>
    </row>
    <row r="8" spans="2:18" s="162" customFormat="1" x14ac:dyDescent="0.25">
      <c r="B8" s="571" t="s">
        <v>839</v>
      </c>
      <c r="C8" s="572" t="s">
        <v>838</v>
      </c>
      <c r="D8" s="575">
        <v>100</v>
      </c>
      <c r="E8" s="574">
        <f>+D8+E7</f>
        <v>109</v>
      </c>
      <c r="F8" s="574">
        <f t="shared" ref="F8:L8" si="1">+E8+F7</f>
        <v>110</v>
      </c>
      <c r="G8" s="574">
        <f t="shared" si="1"/>
        <v>115</v>
      </c>
      <c r="H8" s="574">
        <f t="shared" si="1"/>
        <v>115</v>
      </c>
      <c r="I8" s="574">
        <f t="shared" si="1"/>
        <v>118</v>
      </c>
      <c r="J8" s="574">
        <f t="shared" si="1"/>
        <v>118</v>
      </c>
      <c r="K8" s="574">
        <f t="shared" si="1"/>
        <v>119</v>
      </c>
      <c r="L8" s="574">
        <f t="shared" si="1"/>
        <v>119</v>
      </c>
    </row>
    <row r="9" spans="2:18" s="162" customFormat="1" x14ac:dyDescent="0.25">
      <c r="B9" s="571" t="s">
        <v>840</v>
      </c>
      <c r="C9" s="572" t="s">
        <v>841</v>
      </c>
      <c r="D9" s="575">
        <v>2705.2206436358647</v>
      </c>
      <c r="E9" s="575">
        <f>D9</f>
        <v>2705.2206436358647</v>
      </c>
      <c r="F9" s="575">
        <f t="shared" ref="F9:L9" si="2">E9</f>
        <v>2705.2206436358647</v>
      </c>
      <c r="G9" s="575">
        <f t="shared" si="2"/>
        <v>2705.2206436358647</v>
      </c>
      <c r="H9" s="575">
        <f t="shared" si="2"/>
        <v>2705.2206436358647</v>
      </c>
      <c r="I9" s="575">
        <f t="shared" si="2"/>
        <v>2705.2206436358647</v>
      </c>
      <c r="J9" s="575">
        <f t="shared" si="2"/>
        <v>2705.2206436358647</v>
      </c>
      <c r="K9" s="575">
        <f t="shared" si="2"/>
        <v>2705.2206436358647</v>
      </c>
      <c r="L9" s="575">
        <f t="shared" si="2"/>
        <v>2705.2206436358647</v>
      </c>
    </row>
    <row r="10" spans="2:18" s="162" customFormat="1" ht="18.75" customHeight="1" x14ac:dyDescent="0.25">
      <c r="B10" s="571" t="s">
        <v>842</v>
      </c>
      <c r="C10" s="572" t="s">
        <v>5</v>
      </c>
      <c r="D10" s="1227">
        <v>0.70522961016181362</v>
      </c>
      <c r="E10" s="806">
        <f t="shared" ref="E10:L10" si="3">$D10</f>
        <v>0.70522961016181362</v>
      </c>
      <c r="F10" s="806">
        <f t="shared" si="3"/>
        <v>0.70522961016181362</v>
      </c>
      <c r="G10" s="806">
        <f t="shared" si="3"/>
        <v>0.70522961016181362</v>
      </c>
      <c r="H10" s="806">
        <f t="shared" si="3"/>
        <v>0.70522961016181362</v>
      </c>
      <c r="I10" s="806">
        <f t="shared" si="3"/>
        <v>0.70522961016181362</v>
      </c>
      <c r="J10" s="806">
        <f t="shared" si="3"/>
        <v>0.70522961016181362</v>
      </c>
      <c r="K10" s="806">
        <f t="shared" si="3"/>
        <v>0.70522961016181362</v>
      </c>
      <c r="L10" s="806">
        <f t="shared" si="3"/>
        <v>0.70522961016181362</v>
      </c>
    </row>
    <row r="11" spans="2:18" s="162" customFormat="1" x14ac:dyDescent="0.25">
      <c r="B11" s="571" t="s">
        <v>843</v>
      </c>
      <c r="C11" s="572" t="s">
        <v>841</v>
      </c>
      <c r="D11" s="576">
        <f>D9*(1+D10)</f>
        <v>4613.0223435488761</v>
      </c>
      <c r="E11" s="576">
        <f t="shared" ref="E11:L11" si="4">E9*(1+E10)</f>
        <v>4613.0223435488761</v>
      </c>
      <c r="F11" s="576">
        <f t="shared" si="4"/>
        <v>4613.0223435488761</v>
      </c>
      <c r="G11" s="576">
        <f t="shared" si="4"/>
        <v>4613.0223435488761</v>
      </c>
      <c r="H11" s="576">
        <f t="shared" si="4"/>
        <v>4613.0223435488761</v>
      </c>
      <c r="I11" s="576">
        <f t="shared" si="4"/>
        <v>4613.0223435488761</v>
      </c>
      <c r="J11" s="576">
        <f t="shared" si="4"/>
        <v>4613.0223435488761</v>
      </c>
      <c r="K11" s="576">
        <f t="shared" si="4"/>
        <v>4613.0223435488761</v>
      </c>
      <c r="L11" s="576">
        <f t="shared" si="4"/>
        <v>4613.0223435488761</v>
      </c>
    </row>
    <row r="12" spans="2:18" s="162" customFormat="1" x14ac:dyDescent="0.25">
      <c r="B12" s="571" t="s">
        <v>1571</v>
      </c>
      <c r="C12" s="572" t="s">
        <v>844</v>
      </c>
      <c r="D12" s="576">
        <f>D11*D8*6</f>
        <v>2767813.4061293257</v>
      </c>
      <c r="E12" s="576">
        <f>E11*E8*6</f>
        <v>3016916.6126809651</v>
      </c>
      <c r="F12" s="576">
        <f t="shared" ref="F12:L12" si="5">F11*F8*6</f>
        <v>3044594.7467422583</v>
      </c>
      <c r="G12" s="576">
        <f t="shared" si="5"/>
        <v>3182985.4170487244</v>
      </c>
      <c r="H12" s="576">
        <f t="shared" si="5"/>
        <v>3182985.4170487244</v>
      </c>
      <c r="I12" s="576">
        <f t="shared" si="5"/>
        <v>3266019.8192326045</v>
      </c>
      <c r="J12" s="576">
        <f t="shared" si="5"/>
        <v>3266019.8192326045</v>
      </c>
      <c r="K12" s="576">
        <f t="shared" si="5"/>
        <v>3293697.9532938972</v>
      </c>
      <c r="L12" s="576">
        <f t="shared" si="5"/>
        <v>3293697.9532938972</v>
      </c>
    </row>
    <row r="13" spans="2:18" s="162" customFormat="1" x14ac:dyDescent="0.25">
      <c r="B13" s="571" t="s">
        <v>845</v>
      </c>
      <c r="C13" s="572" t="s">
        <v>5</v>
      </c>
      <c r="D13" s="1228">
        <v>0.31780159832424326</v>
      </c>
      <c r="E13" s="577">
        <f t="shared" ref="E13:L13" si="6">$D13</f>
        <v>0.31780159832424326</v>
      </c>
      <c r="F13" s="577">
        <f t="shared" si="6"/>
        <v>0.31780159832424326</v>
      </c>
      <c r="G13" s="577">
        <f t="shared" si="6"/>
        <v>0.31780159832424326</v>
      </c>
      <c r="H13" s="577">
        <f t="shared" si="6"/>
        <v>0.31780159832424326</v>
      </c>
      <c r="I13" s="577">
        <f t="shared" si="6"/>
        <v>0.31780159832424326</v>
      </c>
      <c r="J13" s="577">
        <f t="shared" si="6"/>
        <v>0.31780159832424326</v>
      </c>
      <c r="K13" s="577">
        <f t="shared" si="6"/>
        <v>0.31780159832424326</v>
      </c>
      <c r="L13" s="577">
        <f t="shared" si="6"/>
        <v>0.31780159832424326</v>
      </c>
    </row>
    <row r="14" spans="2:18" s="162" customFormat="1" ht="15.75" thickBot="1" x14ac:dyDescent="0.3">
      <c r="B14" s="571" t="s">
        <v>846</v>
      </c>
      <c r="C14" s="572" t="s">
        <v>844</v>
      </c>
      <c r="D14" s="576">
        <f>D12*D13</f>
        <v>879615.52433116757</v>
      </c>
      <c r="E14" s="576">
        <f t="shared" ref="E14:G14" si="7">E12*E13</f>
        <v>958780.92152097262</v>
      </c>
      <c r="F14" s="576">
        <f t="shared" si="7"/>
        <v>967577.07676428428</v>
      </c>
      <c r="G14" s="576">
        <f t="shared" si="7"/>
        <v>1011557.8529808426</v>
      </c>
      <c r="H14" s="576">
        <f>H12*H13</f>
        <v>1011557.8529808426</v>
      </c>
      <c r="I14" s="576">
        <f t="shared" ref="I14:L14" si="8">I12*I13</f>
        <v>1037946.3187107778</v>
      </c>
      <c r="J14" s="576">
        <f t="shared" si="8"/>
        <v>1037946.3187107778</v>
      </c>
      <c r="K14" s="576">
        <f t="shared" si="8"/>
        <v>1046742.4739540892</v>
      </c>
      <c r="L14" s="576">
        <f t="shared" si="8"/>
        <v>1046742.4739540892</v>
      </c>
      <c r="M14" s="313"/>
      <c r="N14" s="1565"/>
    </row>
    <row r="15" spans="2:18" s="162" customFormat="1" ht="15.75" thickBot="1" x14ac:dyDescent="0.3">
      <c r="B15" s="578" t="s">
        <v>847</v>
      </c>
      <c r="C15" s="579" t="s">
        <v>844</v>
      </c>
      <c r="D15" s="580">
        <f>D12+D14</f>
        <v>3647428.9304604931</v>
      </c>
      <c r="E15" s="580">
        <f t="shared" ref="E15" si="9">E12+E14</f>
        <v>3975697.5342019377</v>
      </c>
      <c r="F15" s="580">
        <f t="shared" ref="F15:L15" si="10">F12+F14</f>
        <v>4012171.8235065425</v>
      </c>
      <c r="G15" s="580">
        <f t="shared" si="10"/>
        <v>4194543.2700295672</v>
      </c>
      <c r="H15" s="580">
        <f t="shared" si="10"/>
        <v>4194543.2700295672</v>
      </c>
      <c r="I15" s="580">
        <f t="shared" si="10"/>
        <v>4303966.1379433824</v>
      </c>
      <c r="J15" s="580">
        <f t="shared" si="10"/>
        <v>4303966.1379433824</v>
      </c>
      <c r="K15" s="580">
        <f t="shared" si="10"/>
        <v>4340440.4272479862</v>
      </c>
      <c r="L15" s="580">
        <f t="shared" si="10"/>
        <v>4340440.4272479862</v>
      </c>
      <c r="O15" s="311"/>
      <c r="P15" s="311"/>
    </row>
    <row r="16" spans="2:18" s="162" customFormat="1" ht="15.75" thickBot="1" x14ac:dyDescent="0.3">
      <c r="B16" s="283" t="s">
        <v>848</v>
      </c>
      <c r="C16" s="284" t="s">
        <v>849</v>
      </c>
      <c r="D16" s="285">
        <v>0</v>
      </c>
      <c r="E16" s="285">
        <f t="shared" ref="E16:L16" si="11">$D16</f>
        <v>0</v>
      </c>
      <c r="F16" s="285">
        <f t="shared" si="11"/>
        <v>0</v>
      </c>
      <c r="G16" s="285">
        <f t="shared" si="11"/>
        <v>0</v>
      </c>
      <c r="H16" s="285">
        <f t="shared" si="11"/>
        <v>0</v>
      </c>
      <c r="I16" s="285">
        <f t="shared" si="11"/>
        <v>0</v>
      </c>
      <c r="J16" s="285">
        <f t="shared" si="11"/>
        <v>0</v>
      </c>
      <c r="K16" s="285">
        <f t="shared" si="11"/>
        <v>0</v>
      </c>
      <c r="L16" s="285">
        <f t="shared" si="11"/>
        <v>0</v>
      </c>
      <c r="N16" s="311"/>
      <c r="O16" s="311"/>
    </row>
    <row r="17" spans="1:27" s="162" customFormat="1" ht="15.75" thickBot="1" x14ac:dyDescent="0.3">
      <c r="B17" s="578" t="s">
        <v>850</v>
      </c>
      <c r="C17" s="579" t="s">
        <v>844</v>
      </c>
      <c r="D17" s="580">
        <f t="shared" ref="D17:L17" si="12">+D15+D16</f>
        <v>3647428.9304604931</v>
      </c>
      <c r="E17" s="580">
        <f t="shared" si="12"/>
        <v>3975697.5342019377</v>
      </c>
      <c r="F17" s="580">
        <f t="shared" si="12"/>
        <v>4012171.8235065425</v>
      </c>
      <c r="G17" s="580">
        <f t="shared" si="12"/>
        <v>4194543.2700295672</v>
      </c>
      <c r="H17" s="580">
        <f t="shared" si="12"/>
        <v>4194543.2700295672</v>
      </c>
      <c r="I17" s="580">
        <f t="shared" si="12"/>
        <v>4303966.1379433824</v>
      </c>
      <c r="J17" s="580">
        <f t="shared" si="12"/>
        <v>4303966.1379433824</v>
      </c>
      <c r="K17" s="580">
        <f t="shared" si="12"/>
        <v>4340440.4272479862</v>
      </c>
      <c r="L17" s="580">
        <f t="shared" si="12"/>
        <v>4340440.4272479862</v>
      </c>
      <c r="M17" s="313"/>
    </row>
    <row r="18" spans="1:27" s="162" customFormat="1" ht="15.75" thickBot="1" x14ac:dyDescent="0.3">
      <c r="C18" s="842"/>
      <c r="D18" s="313"/>
    </row>
    <row r="19" spans="1:27" s="162" customFormat="1" ht="15.75" thickBot="1" x14ac:dyDescent="0.3">
      <c r="B19" s="568" t="s">
        <v>851</v>
      </c>
      <c r="C19" s="457"/>
      <c r="D19" s="457" t="str">
        <f>D6</f>
        <v>1° Sem 2025</v>
      </c>
      <c r="E19" s="457" t="str">
        <f t="shared" ref="E19:L19" si="13">E6</f>
        <v>2° Sem 2025</v>
      </c>
      <c r="F19" s="457" t="str">
        <f t="shared" si="13"/>
        <v>1° Sem 2026</v>
      </c>
      <c r="G19" s="457" t="str">
        <f t="shared" si="13"/>
        <v>2° Sem 2026</v>
      </c>
      <c r="H19" s="457" t="str">
        <f t="shared" si="13"/>
        <v>1° Sem 2027</v>
      </c>
      <c r="I19" s="457" t="str">
        <f t="shared" si="13"/>
        <v>2° Sem 2027</v>
      </c>
      <c r="J19" s="457" t="str">
        <f t="shared" si="13"/>
        <v>1° Sem 2028</v>
      </c>
      <c r="K19" s="457" t="str">
        <f t="shared" si="13"/>
        <v>2° Sem 2028</v>
      </c>
      <c r="L19" s="457" t="str">
        <f t="shared" si="13"/>
        <v>1° Sem 2029</v>
      </c>
    </row>
    <row r="20" spans="1:27" s="162" customFormat="1" ht="15.75" thickBot="1" x14ac:dyDescent="0.3">
      <c r="B20" s="837" t="s">
        <v>852</v>
      </c>
      <c r="C20" s="838" t="s">
        <v>844</v>
      </c>
      <c r="D20" s="839">
        <f t="shared" ref="D20" si="14">+D61</f>
        <v>0</v>
      </c>
      <c r="E20" s="839">
        <f>+E71</f>
        <v>75000</v>
      </c>
      <c r="F20" s="839">
        <f>+F71</f>
        <v>1427509.0149999999</v>
      </c>
      <c r="G20" s="839">
        <f t="shared" ref="G20:L20" si="15">+G71</f>
        <v>1780668.0250000001</v>
      </c>
      <c r="H20" s="839">
        <f t="shared" si="15"/>
        <v>1874402.135</v>
      </c>
      <c r="I20" s="839">
        <f>+I71</f>
        <v>2221077.855</v>
      </c>
      <c r="J20" s="839">
        <f t="shared" si="15"/>
        <v>2454178.8737708577</v>
      </c>
      <c r="K20" s="839">
        <f t="shared" si="15"/>
        <v>2465082.9962291424</v>
      </c>
      <c r="L20" s="839">
        <f t="shared" si="15"/>
        <v>296623.66499999998</v>
      </c>
    </row>
    <row r="21" spans="1:27" ht="15.75" thickBot="1" x14ac:dyDescent="0.3">
      <c r="B21" s="581" t="s">
        <v>853</v>
      </c>
      <c r="C21" s="582" t="s">
        <v>844</v>
      </c>
      <c r="D21" s="583"/>
      <c r="E21" s="583"/>
      <c r="F21" s="583"/>
      <c r="G21" s="583"/>
      <c r="H21" s="583"/>
      <c r="I21" s="583"/>
      <c r="J21" s="583"/>
      <c r="K21" s="583"/>
      <c r="L21" s="583"/>
    </row>
    <row r="22" spans="1:27" ht="15.75" thickBot="1" x14ac:dyDescent="0.3">
      <c r="B22" s="578" t="s">
        <v>325</v>
      </c>
      <c r="C22" s="579" t="s">
        <v>844</v>
      </c>
      <c r="D22" s="580">
        <f t="shared" ref="D22:L22" si="16">SUM(D20:D21)</f>
        <v>0</v>
      </c>
      <c r="E22" s="580">
        <f t="shared" si="16"/>
        <v>75000</v>
      </c>
      <c r="F22" s="580">
        <f t="shared" si="16"/>
        <v>1427509.0149999999</v>
      </c>
      <c r="G22" s="580">
        <f t="shared" si="16"/>
        <v>1780668.0250000001</v>
      </c>
      <c r="H22" s="580">
        <f t="shared" si="16"/>
        <v>1874402.135</v>
      </c>
      <c r="I22" s="580">
        <f t="shared" si="16"/>
        <v>2221077.855</v>
      </c>
      <c r="J22" s="580">
        <f t="shared" si="16"/>
        <v>2454178.8737708577</v>
      </c>
      <c r="K22" s="580">
        <f t="shared" si="16"/>
        <v>2465082.9962291424</v>
      </c>
      <c r="L22" s="580">
        <f t="shared" si="16"/>
        <v>296623.66499999998</v>
      </c>
      <c r="M22" s="312"/>
    </row>
    <row r="23" spans="1:27" ht="10.5" customHeight="1" thickBot="1" x14ac:dyDescent="0.3"/>
    <row r="24" spans="1:27" ht="15.75" thickBot="1" x14ac:dyDescent="0.3">
      <c r="B24" s="578" t="s">
        <v>854</v>
      </c>
      <c r="C24" s="579" t="s">
        <v>844</v>
      </c>
      <c r="D24" s="580"/>
      <c r="E24" s="580">
        <f t="shared" ref="E24:L24" si="17">+E17+E22</f>
        <v>4050697.5342019377</v>
      </c>
      <c r="F24" s="580">
        <f t="shared" si="17"/>
        <v>5439680.8385065421</v>
      </c>
      <c r="G24" s="580">
        <f t="shared" si="17"/>
        <v>5975211.2950295676</v>
      </c>
      <c r="H24" s="580">
        <f t="shared" si="17"/>
        <v>6068945.405029567</v>
      </c>
      <c r="I24" s="580">
        <f t="shared" si="17"/>
        <v>6525043.9929433819</v>
      </c>
      <c r="J24" s="580">
        <f t="shared" si="17"/>
        <v>6758145.0117142405</v>
      </c>
      <c r="K24" s="580">
        <f t="shared" si="17"/>
        <v>6805523.4234771281</v>
      </c>
      <c r="L24" s="580">
        <f t="shared" si="17"/>
        <v>4637064.0922479862</v>
      </c>
      <c r="M24" s="312"/>
    </row>
    <row r="25" spans="1:27" ht="15.75" thickBot="1" x14ac:dyDescent="0.3">
      <c r="C25" s="844"/>
      <c r="D25" s="163"/>
      <c r="E25" s="163"/>
      <c r="F25" s="163"/>
      <c r="G25" s="163"/>
      <c r="H25" s="163"/>
      <c r="I25" s="163"/>
      <c r="J25" s="163"/>
      <c r="K25" s="163"/>
      <c r="L25" s="163"/>
      <c r="M25" s="312"/>
      <c r="N25" s="312"/>
      <c r="O25" s="312"/>
      <c r="P25" s="312"/>
      <c r="Q25" s="312"/>
    </row>
    <row r="26" spans="1:27" ht="15.75" thickBot="1" x14ac:dyDescent="0.3">
      <c r="B26" s="568" t="s">
        <v>855</v>
      </c>
      <c r="C26" s="457"/>
      <c r="D26" s="457" t="str">
        <f>D6</f>
        <v>1° Sem 2025</v>
      </c>
      <c r="E26" s="457" t="str">
        <f t="shared" ref="E26:L26" si="18">E6</f>
        <v>2° Sem 2025</v>
      </c>
      <c r="F26" s="457" t="str">
        <f t="shared" si="18"/>
        <v>1° Sem 2026</v>
      </c>
      <c r="G26" s="457" t="str">
        <f t="shared" si="18"/>
        <v>2° Sem 2026</v>
      </c>
      <c r="H26" s="457" t="str">
        <f t="shared" si="18"/>
        <v>1° Sem 2027</v>
      </c>
      <c r="I26" s="457" t="str">
        <f t="shared" si="18"/>
        <v>2° Sem 2027</v>
      </c>
      <c r="J26" s="457" t="str">
        <f t="shared" si="18"/>
        <v>1° Sem 2028</v>
      </c>
      <c r="K26" s="457" t="str">
        <f t="shared" si="18"/>
        <v>2° Sem 2028</v>
      </c>
      <c r="L26" s="457" t="str">
        <f t="shared" si="18"/>
        <v>1° Sem 2029</v>
      </c>
      <c r="M26" s="457" t="s">
        <v>1769</v>
      </c>
    </row>
    <row r="27" spans="1:27" x14ac:dyDescent="0.25">
      <c r="A27" s="109">
        <v>1</v>
      </c>
      <c r="B27" s="808" t="s">
        <v>1572</v>
      </c>
      <c r="C27" s="1554">
        <f t="shared" ref="C27:C70" si="19">+SUBTOTAL(9,E27:L27)*M27</f>
        <v>678220.77</v>
      </c>
      <c r="E27" s="799">
        <v>0</v>
      </c>
      <c r="F27" s="799">
        <v>0</v>
      </c>
      <c r="G27" s="799">
        <v>226073.59</v>
      </c>
      <c r="H27" s="799">
        <v>226073.59</v>
      </c>
      <c r="I27" s="799">
        <v>226073.59</v>
      </c>
      <c r="J27" s="799">
        <v>0</v>
      </c>
      <c r="K27" s="799">
        <v>0</v>
      </c>
      <c r="L27" s="799">
        <v>0</v>
      </c>
      <c r="M27" s="1566">
        <v>1</v>
      </c>
      <c r="N27" s="1564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</row>
    <row r="28" spans="1:27" x14ac:dyDescent="0.25">
      <c r="A28" s="109">
        <v>2</v>
      </c>
      <c r="B28" s="1127" t="s">
        <v>1573</v>
      </c>
      <c r="C28" s="1554">
        <f t="shared" si="19"/>
        <v>583493.64</v>
      </c>
      <c r="D28" s="798"/>
      <c r="E28" s="799">
        <v>0</v>
      </c>
      <c r="F28" s="799">
        <v>0</v>
      </c>
      <c r="G28" s="799">
        <v>0</v>
      </c>
      <c r="H28" s="799">
        <v>194497.88</v>
      </c>
      <c r="I28" s="799">
        <v>194497.88</v>
      </c>
      <c r="J28" s="799">
        <v>194497.88</v>
      </c>
      <c r="K28" s="799">
        <v>0</v>
      </c>
      <c r="L28" s="799">
        <v>0</v>
      </c>
      <c r="M28" s="1566">
        <v>1</v>
      </c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</row>
    <row r="29" spans="1:27" x14ac:dyDescent="0.25">
      <c r="A29" s="109">
        <v>3</v>
      </c>
      <c r="B29" s="1127" t="s">
        <v>1574</v>
      </c>
      <c r="C29" s="1554">
        <f t="shared" si="19"/>
        <v>187500</v>
      </c>
      <c r="E29" s="799">
        <v>0</v>
      </c>
      <c r="F29" s="799">
        <v>75000</v>
      </c>
      <c r="G29" s="799">
        <v>75000</v>
      </c>
      <c r="H29" s="799">
        <v>75000</v>
      </c>
      <c r="I29" s="799">
        <v>75000</v>
      </c>
      <c r="J29" s="799">
        <v>75000</v>
      </c>
      <c r="K29" s="799">
        <v>0</v>
      </c>
      <c r="L29" s="799">
        <v>0</v>
      </c>
      <c r="M29" s="1566">
        <v>0.5</v>
      </c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</row>
    <row r="30" spans="1:27" x14ac:dyDescent="0.25">
      <c r="A30" s="109">
        <v>4</v>
      </c>
      <c r="B30" s="1127" t="s">
        <v>1575</v>
      </c>
      <c r="C30" s="1554">
        <f t="shared" si="19"/>
        <v>48000</v>
      </c>
      <c r="D30" s="798"/>
      <c r="E30" s="799">
        <v>0</v>
      </c>
      <c r="F30" s="799">
        <v>12000</v>
      </c>
      <c r="G30" s="799">
        <v>0</v>
      </c>
      <c r="H30" s="799">
        <v>12000</v>
      </c>
      <c r="I30" s="799">
        <v>0</v>
      </c>
      <c r="J30" s="799">
        <v>12000</v>
      </c>
      <c r="K30" s="799">
        <v>0</v>
      </c>
      <c r="L30" s="799">
        <v>12000</v>
      </c>
      <c r="M30" s="1566">
        <v>1</v>
      </c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</row>
    <row r="31" spans="1:27" x14ac:dyDescent="0.25">
      <c r="A31" s="109">
        <v>5</v>
      </c>
      <c r="B31" s="1127" t="s">
        <v>1576</v>
      </c>
      <c r="C31" s="1554">
        <f t="shared" si="19"/>
        <v>37500</v>
      </c>
      <c r="D31" s="798"/>
      <c r="E31" s="799">
        <v>0</v>
      </c>
      <c r="F31" s="799">
        <v>0</v>
      </c>
      <c r="G31" s="799">
        <v>15000</v>
      </c>
      <c r="H31" s="799">
        <v>37500</v>
      </c>
      <c r="I31" s="799">
        <v>22500</v>
      </c>
      <c r="J31" s="799">
        <v>0</v>
      </c>
      <c r="K31" s="799">
        <v>0</v>
      </c>
      <c r="L31" s="799">
        <v>0</v>
      </c>
      <c r="M31" s="1566">
        <v>0.5</v>
      </c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</row>
    <row r="32" spans="1:27" x14ac:dyDescent="0.25">
      <c r="A32" s="109">
        <v>6</v>
      </c>
      <c r="B32" s="1127" t="s">
        <v>1577</v>
      </c>
      <c r="C32" s="1554">
        <f t="shared" si="19"/>
        <v>230000</v>
      </c>
      <c r="D32" s="798"/>
      <c r="E32" s="799">
        <v>0</v>
      </c>
      <c r="F32" s="799">
        <v>0</v>
      </c>
      <c r="G32" s="799">
        <v>0</v>
      </c>
      <c r="H32" s="799">
        <v>46000</v>
      </c>
      <c r="I32" s="799">
        <v>115000</v>
      </c>
      <c r="J32" s="799">
        <v>69000</v>
      </c>
      <c r="K32" s="799">
        <v>0</v>
      </c>
      <c r="L32" s="799">
        <v>0</v>
      </c>
      <c r="M32" s="1566">
        <v>1</v>
      </c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</row>
    <row r="33" spans="1:27" x14ac:dyDescent="0.25">
      <c r="A33" s="109">
        <v>7</v>
      </c>
      <c r="B33" s="1127" t="s">
        <v>1578</v>
      </c>
      <c r="C33" s="1554">
        <f t="shared" si="19"/>
        <v>80000</v>
      </c>
      <c r="D33" s="799"/>
      <c r="E33" s="799">
        <v>0</v>
      </c>
      <c r="F33" s="799">
        <v>0</v>
      </c>
      <c r="G33" s="799">
        <v>32000</v>
      </c>
      <c r="H33" s="799">
        <v>80000</v>
      </c>
      <c r="I33" s="799">
        <v>48000</v>
      </c>
      <c r="J33" s="799">
        <v>0</v>
      </c>
      <c r="K33" s="799">
        <v>0</v>
      </c>
      <c r="L33" s="799">
        <v>0</v>
      </c>
      <c r="M33" s="1566">
        <v>0.5</v>
      </c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</row>
    <row r="34" spans="1:27" x14ac:dyDescent="0.25">
      <c r="A34" s="109">
        <v>8</v>
      </c>
      <c r="B34" s="1127" t="s">
        <v>1800</v>
      </c>
      <c r="C34" s="1554">
        <f t="shared" si="19"/>
        <v>364228</v>
      </c>
      <c r="D34" s="799"/>
      <c r="E34" s="799"/>
      <c r="F34" s="799"/>
      <c r="G34" s="799"/>
      <c r="H34" s="799">
        <v>91057</v>
      </c>
      <c r="I34" s="799">
        <v>91057</v>
      </c>
      <c r="J34" s="799">
        <v>91057</v>
      </c>
      <c r="K34" s="799">
        <v>91057</v>
      </c>
      <c r="L34" s="799"/>
      <c r="M34" s="1566">
        <v>1</v>
      </c>
      <c r="N34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</row>
    <row r="35" spans="1:27" x14ac:dyDescent="0.25">
      <c r="A35" s="109">
        <v>9</v>
      </c>
      <c r="B35" s="1127" t="s">
        <v>1579</v>
      </c>
      <c r="C35" s="1554">
        <f t="shared" si="19"/>
        <v>363800</v>
      </c>
      <c r="D35" s="799"/>
      <c r="E35" s="799">
        <v>0</v>
      </c>
      <c r="F35" s="799">
        <v>0</v>
      </c>
      <c r="G35" s="799">
        <v>0</v>
      </c>
      <c r="H35" s="799">
        <v>363800</v>
      </c>
      <c r="I35" s="799">
        <v>0</v>
      </c>
      <c r="J35" s="799">
        <v>0</v>
      </c>
      <c r="K35" s="799">
        <v>363800</v>
      </c>
      <c r="L35" s="799">
        <v>0</v>
      </c>
      <c r="M35" s="1566">
        <v>0.5</v>
      </c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</row>
    <row r="36" spans="1:27" ht="12" customHeight="1" x14ac:dyDescent="0.25">
      <c r="A36" s="109">
        <v>10</v>
      </c>
      <c r="B36" s="1127" t="s">
        <v>1580</v>
      </c>
      <c r="C36" s="1554">
        <f t="shared" si="19"/>
        <v>2942500</v>
      </c>
      <c r="D36" s="799"/>
      <c r="E36" s="799">
        <v>0</v>
      </c>
      <c r="F36" s="799">
        <v>0</v>
      </c>
      <c r="G36" s="799">
        <v>0</v>
      </c>
      <c r="H36" s="799">
        <v>0</v>
      </c>
      <c r="I36" s="799">
        <v>0</v>
      </c>
      <c r="J36" s="799">
        <f>2942500*2148001/(2148001+1432000)</f>
        <v>1765500.3287708578</v>
      </c>
      <c r="K36" s="799">
        <f>2942500*1432000/(2148001+1432000)</f>
        <v>1176999.6712291422</v>
      </c>
      <c r="L36" s="799">
        <v>0</v>
      </c>
      <c r="M36" s="1566">
        <v>1</v>
      </c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</row>
    <row r="37" spans="1:27" x14ac:dyDescent="0.25">
      <c r="A37" s="109">
        <v>11</v>
      </c>
      <c r="B37" s="1127" t="s">
        <v>1581</v>
      </c>
      <c r="C37" s="1554">
        <f t="shared" si="19"/>
        <v>845605.61</v>
      </c>
      <c r="D37" s="799"/>
      <c r="E37" s="799">
        <v>0</v>
      </c>
      <c r="F37" s="799">
        <v>0</v>
      </c>
      <c r="G37" s="799">
        <f>47046.72+27129.83+185900+10528.8+108149.56</f>
        <v>378754.91</v>
      </c>
      <c r="H37" s="799">
        <v>0</v>
      </c>
      <c r="I37" s="799">
        <f>47046.72+27129.83+185900*0.8+10528.8+108149.56*0</f>
        <v>233425.34999999998</v>
      </c>
      <c r="J37" s="799">
        <v>0</v>
      </c>
      <c r="K37" s="799">
        <f>47046.72+27129.83+185900*0.8+10528.8+108149.56*0</f>
        <v>233425.34999999998</v>
      </c>
      <c r="L37" s="799">
        <v>0</v>
      </c>
      <c r="M37" s="1566">
        <v>1</v>
      </c>
      <c r="N37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</row>
    <row r="38" spans="1:27" x14ac:dyDescent="0.25">
      <c r="A38" s="109">
        <v>12</v>
      </c>
      <c r="B38" s="1127" t="s">
        <v>1582</v>
      </c>
      <c r="C38" s="1554">
        <f t="shared" si="19"/>
        <v>34240</v>
      </c>
      <c r="D38" s="799"/>
      <c r="E38" s="799">
        <v>0</v>
      </c>
      <c r="F38" s="799">
        <v>0</v>
      </c>
      <c r="G38" s="799">
        <v>34240</v>
      </c>
      <c r="H38" s="799">
        <v>0</v>
      </c>
      <c r="I38" s="799">
        <v>0</v>
      </c>
      <c r="J38" s="799">
        <v>0</v>
      </c>
      <c r="K38" s="799">
        <v>0</v>
      </c>
      <c r="L38" s="799">
        <v>0</v>
      </c>
      <c r="M38" s="1566">
        <v>1</v>
      </c>
      <c r="N38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</row>
    <row r="39" spans="1:27" x14ac:dyDescent="0.25">
      <c r="A39" s="109">
        <v>13</v>
      </c>
      <c r="B39" s="1127" t="s">
        <v>1583</v>
      </c>
      <c r="C39" s="1554">
        <f t="shared" si="19"/>
        <v>149618.23999999999</v>
      </c>
      <c r="D39" s="799"/>
      <c r="E39" s="799">
        <v>0</v>
      </c>
      <c r="F39" s="799">
        <v>0</v>
      </c>
      <c r="G39" s="799">
        <v>0</v>
      </c>
      <c r="H39" s="799">
        <v>0</v>
      </c>
      <c r="I39" s="799">
        <v>149618.23999999999</v>
      </c>
      <c r="J39" s="799">
        <v>0</v>
      </c>
      <c r="K39" s="799">
        <v>0</v>
      </c>
      <c r="L39" s="799">
        <v>0</v>
      </c>
      <c r="M39" s="1566">
        <v>1</v>
      </c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</row>
    <row r="40" spans="1:27" x14ac:dyDescent="0.25">
      <c r="A40" s="109">
        <v>14</v>
      </c>
      <c r="B40" s="1127" t="s">
        <v>1584</v>
      </c>
      <c r="C40" s="1554">
        <f t="shared" si="19"/>
        <v>57978.879999999997</v>
      </c>
      <c r="D40" s="799"/>
      <c r="E40" s="799">
        <v>0</v>
      </c>
      <c r="F40" s="799">
        <v>0</v>
      </c>
      <c r="G40" s="799">
        <v>0</v>
      </c>
      <c r="H40" s="799">
        <v>0</v>
      </c>
      <c r="I40" s="799">
        <v>115957.75999999999</v>
      </c>
      <c r="J40" s="799">
        <v>0</v>
      </c>
      <c r="K40" s="799">
        <v>0</v>
      </c>
      <c r="L40" s="799">
        <v>0</v>
      </c>
      <c r="M40" s="1566">
        <v>0.5</v>
      </c>
      <c r="N40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</row>
    <row r="41" spans="1:27" x14ac:dyDescent="0.25">
      <c r="A41" s="109">
        <v>15</v>
      </c>
      <c r="B41" s="1127" t="s">
        <v>1585</v>
      </c>
      <c r="C41" s="1554">
        <f t="shared" si="19"/>
        <v>185174.59</v>
      </c>
      <c r="E41" s="799">
        <v>0</v>
      </c>
      <c r="F41" s="799">
        <v>0</v>
      </c>
      <c r="G41" s="799">
        <v>0</v>
      </c>
      <c r="H41" s="799">
        <v>0</v>
      </c>
      <c r="I41" s="799">
        <f>185174.59</f>
        <v>185174.59</v>
      </c>
      <c r="J41" s="799">
        <v>0</v>
      </c>
      <c r="K41" s="799">
        <v>0</v>
      </c>
      <c r="L41" s="799">
        <v>0</v>
      </c>
      <c r="M41" s="1566">
        <v>1</v>
      </c>
      <c r="N41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</row>
    <row r="42" spans="1:27" x14ac:dyDescent="0.25">
      <c r="A42" s="109">
        <v>16</v>
      </c>
      <c r="B42" s="1127" t="s">
        <v>1586</v>
      </c>
      <c r="C42" s="1554">
        <f t="shared" si="19"/>
        <v>85065</v>
      </c>
      <c r="E42" s="799">
        <v>0</v>
      </c>
      <c r="F42" s="799">
        <v>0</v>
      </c>
      <c r="G42" s="799">
        <v>85065</v>
      </c>
      <c r="H42" s="799">
        <v>0</v>
      </c>
      <c r="I42" s="799">
        <v>0</v>
      </c>
      <c r="J42" s="799">
        <v>0</v>
      </c>
      <c r="K42" s="799">
        <v>0</v>
      </c>
      <c r="L42" s="799">
        <v>0</v>
      </c>
      <c r="M42" s="1566">
        <v>1</v>
      </c>
      <c r="N42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</row>
    <row r="43" spans="1:27" x14ac:dyDescent="0.25">
      <c r="A43" s="109">
        <v>17</v>
      </c>
      <c r="B43" s="1127" t="s">
        <v>1587</v>
      </c>
      <c r="C43" s="1554">
        <f t="shared" si="19"/>
        <v>192600</v>
      </c>
      <c r="E43" s="799">
        <v>0</v>
      </c>
      <c r="F43" s="799">
        <v>48150</v>
      </c>
      <c r="G43" s="799">
        <v>0</v>
      </c>
      <c r="H43" s="799">
        <v>48150</v>
      </c>
      <c r="I43" s="799">
        <v>0</v>
      </c>
      <c r="J43" s="799">
        <v>48150</v>
      </c>
      <c r="K43" s="799">
        <v>0</v>
      </c>
      <c r="L43" s="799">
        <v>48150</v>
      </c>
      <c r="M43" s="1566">
        <v>1</v>
      </c>
      <c r="N43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</row>
    <row r="44" spans="1:27" x14ac:dyDescent="0.25">
      <c r="A44" s="109">
        <v>18</v>
      </c>
      <c r="B44" s="1127" t="s">
        <v>1588</v>
      </c>
      <c r="C44" s="1554">
        <f t="shared" si="19"/>
        <v>12000</v>
      </c>
      <c r="E44" s="799">
        <v>0</v>
      </c>
      <c r="F44" s="799">
        <v>0</v>
      </c>
      <c r="G44" s="799">
        <v>12000</v>
      </c>
      <c r="H44" s="799">
        <v>0</v>
      </c>
      <c r="I44" s="799">
        <v>0</v>
      </c>
      <c r="J44" s="799">
        <v>0</v>
      </c>
      <c r="K44" s="799">
        <v>12000</v>
      </c>
      <c r="L44" s="799">
        <v>0</v>
      </c>
      <c r="M44" s="1566">
        <v>0.5</v>
      </c>
      <c r="N44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</row>
    <row r="45" spans="1:27" x14ac:dyDescent="0.25">
      <c r="A45" s="109">
        <v>19</v>
      </c>
      <c r="B45" s="1127" t="s">
        <v>1589</v>
      </c>
      <c r="C45" s="1554">
        <f t="shared" si="19"/>
        <v>16050</v>
      </c>
      <c r="E45" s="799">
        <v>0</v>
      </c>
      <c r="F45" s="799">
        <v>0</v>
      </c>
      <c r="G45" s="799">
        <v>0</v>
      </c>
      <c r="H45" s="799">
        <v>0</v>
      </c>
      <c r="I45" s="799">
        <f>8025*2</f>
        <v>16050</v>
      </c>
      <c r="J45" s="799">
        <v>0</v>
      </c>
      <c r="K45" s="799">
        <v>0</v>
      </c>
      <c r="L45" s="799">
        <v>0</v>
      </c>
      <c r="M45" s="1566">
        <v>1</v>
      </c>
      <c r="N45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</row>
    <row r="46" spans="1:27" s="2" customFormat="1" x14ac:dyDescent="0.25">
      <c r="A46" s="109">
        <v>20</v>
      </c>
      <c r="B46" s="1127" t="s">
        <v>1590</v>
      </c>
      <c r="C46" s="1554">
        <f t="shared" si="19"/>
        <v>18691.580000000002</v>
      </c>
      <c r="D46" s="800"/>
      <c r="E46" s="799">
        <v>0</v>
      </c>
      <c r="F46" s="799">
        <v>0</v>
      </c>
      <c r="G46" s="799">
        <v>9345.7900000000009</v>
      </c>
      <c r="H46" s="799">
        <v>0</v>
      </c>
      <c r="I46" s="799">
        <v>0</v>
      </c>
      <c r="J46" s="799">
        <v>0</v>
      </c>
      <c r="K46" s="799">
        <v>9345.7900000000009</v>
      </c>
      <c r="L46" s="799">
        <v>0</v>
      </c>
      <c r="M46" s="1566">
        <v>1</v>
      </c>
      <c r="N4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</row>
    <row r="47" spans="1:27" s="2" customFormat="1" x14ac:dyDescent="0.25">
      <c r="A47" s="109">
        <v>21</v>
      </c>
      <c r="B47" s="1127" t="s">
        <v>1591</v>
      </c>
      <c r="C47" s="1554">
        <f t="shared" si="19"/>
        <v>26500</v>
      </c>
      <c r="D47" s="798"/>
      <c r="E47" s="799">
        <v>0</v>
      </c>
      <c r="F47" s="799">
        <v>0</v>
      </c>
      <c r="G47" s="799">
        <v>0</v>
      </c>
      <c r="H47" s="799">
        <v>0</v>
      </c>
      <c r="I47" s="799">
        <v>53000</v>
      </c>
      <c r="J47" s="799">
        <v>0</v>
      </c>
      <c r="K47" s="799">
        <v>0</v>
      </c>
      <c r="L47" s="799">
        <v>0</v>
      </c>
      <c r="M47" s="1566">
        <v>0.5</v>
      </c>
      <c r="N47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</row>
    <row r="48" spans="1:27" x14ac:dyDescent="0.25">
      <c r="A48" s="109">
        <v>22</v>
      </c>
      <c r="B48" s="1127" t="s">
        <v>1592</v>
      </c>
      <c r="C48" s="1554">
        <f t="shared" si="19"/>
        <v>46728.98</v>
      </c>
      <c r="E48" s="799">
        <v>0</v>
      </c>
      <c r="F48" s="799">
        <v>0</v>
      </c>
      <c r="G48" s="799">
        <v>23364.49</v>
      </c>
      <c r="H48" s="799">
        <v>0</v>
      </c>
      <c r="I48" s="799">
        <v>0</v>
      </c>
      <c r="J48" s="799">
        <v>0</v>
      </c>
      <c r="K48" s="799">
        <v>23364.49</v>
      </c>
      <c r="L48" s="799">
        <v>0</v>
      </c>
      <c r="M48" s="1566">
        <v>1</v>
      </c>
      <c r="N48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</row>
    <row r="49" spans="1:27" x14ac:dyDescent="0.25">
      <c r="A49" s="109">
        <v>23</v>
      </c>
      <c r="B49" s="1127" t="s">
        <v>1593</v>
      </c>
      <c r="C49" s="1554">
        <f t="shared" si="19"/>
        <v>45000</v>
      </c>
      <c r="E49" s="799">
        <v>0</v>
      </c>
      <c r="F49" s="799">
        <v>90000</v>
      </c>
      <c r="G49" s="799">
        <v>0</v>
      </c>
      <c r="H49" s="799">
        <v>0</v>
      </c>
      <c r="I49" s="799">
        <v>0</v>
      </c>
      <c r="J49" s="799">
        <v>0</v>
      </c>
      <c r="K49" s="799">
        <v>0</v>
      </c>
      <c r="L49" s="799">
        <v>0</v>
      </c>
      <c r="M49" s="1566">
        <v>0.5</v>
      </c>
      <c r="N49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</row>
    <row r="50" spans="1:27" x14ac:dyDescent="0.25">
      <c r="A50" s="109">
        <v>24</v>
      </c>
      <c r="B50" s="1127" t="s">
        <v>1594</v>
      </c>
      <c r="C50" s="1554">
        <f t="shared" si="19"/>
        <v>995100</v>
      </c>
      <c r="D50" s="799"/>
      <c r="E50" s="799">
        <v>0</v>
      </c>
      <c r="F50" s="799">
        <v>0</v>
      </c>
      <c r="G50" s="799">
        <v>331700</v>
      </c>
      <c r="H50" s="799">
        <v>0</v>
      </c>
      <c r="I50" s="799">
        <v>331700</v>
      </c>
      <c r="J50" s="799">
        <v>0</v>
      </c>
      <c r="K50" s="799">
        <v>331700</v>
      </c>
      <c r="L50" s="799">
        <v>0</v>
      </c>
      <c r="M50" s="1566">
        <v>1</v>
      </c>
      <c r="N50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</row>
    <row r="51" spans="1:27" x14ac:dyDescent="0.25">
      <c r="A51" s="109">
        <v>25</v>
      </c>
      <c r="B51" s="1127" t="s">
        <v>1595</v>
      </c>
      <c r="C51" s="1554">
        <f t="shared" si="19"/>
        <v>1284000</v>
      </c>
      <c r="E51" s="799">
        <v>0</v>
      </c>
      <c r="F51" s="799">
        <v>642000</v>
      </c>
      <c r="H51" s="799">
        <v>642000</v>
      </c>
      <c r="J51" s="799">
        <v>0</v>
      </c>
      <c r="K51" s="799">
        <v>0</v>
      </c>
      <c r="L51" s="799">
        <v>0</v>
      </c>
      <c r="M51" s="1566">
        <v>1</v>
      </c>
      <c r="N51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</row>
    <row r="52" spans="1:27" x14ac:dyDescent="0.25">
      <c r="A52" s="109">
        <v>26</v>
      </c>
      <c r="B52" s="1127" t="s">
        <v>1596</v>
      </c>
      <c r="C52" s="1554">
        <f t="shared" si="19"/>
        <v>176550</v>
      </c>
      <c r="E52" s="799">
        <v>0</v>
      </c>
      <c r="F52" s="799">
        <v>0</v>
      </c>
      <c r="G52" s="799">
        <v>58850</v>
      </c>
      <c r="H52" s="799">
        <v>0</v>
      </c>
      <c r="I52" s="799">
        <v>58850</v>
      </c>
      <c r="J52" s="799">
        <v>0</v>
      </c>
      <c r="K52" s="799">
        <v>58850</v>
      </c>
      <c r="L52" s="799">
        <v>0</v>
      </c>
      <c r="M52" s="1566">
        <v>1</v>
      </c>
      <c r="N52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</row>
    <row r="53" spans="1:27" x14ac:dyDescent="0.25">
      <c r="A53" s="109">
        <v>27</v>
      </c>
      <c r="B53" s="1127" t="s">
        <v>1597</v>
      </c>
      <c r="C53" s="1554">
        <f t="shared" si="19"/>
        <v>84530</v>
      </c>
      <c r="D53" s="799"/>
      <c r="E53" s="799">
        <v>0</v>
      </c>
      <c r="F53" s="799">
        <v>0</v>
      </c>
      <c r="G53" s="799">
        <v>0</v>
      </c>
      <c r="H53" s="799">
        <v>0</v>
      </c>
      <c r="I53" s="799">
        <v>84530</v>
      </c>
      <c r="J53" s="799">
        <v>0</v>
      </c>
      <c r="K53" s="799">
        <v>0</v>
      </c>
      <c r="L53" s="799">
        <v>0</v>
      </c>
      <c r="M53" s="1566">
        <v>1</v>
      </c>
      <c r="N53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</row>
    <row r="54" spans="1:27" x14ac:dyDescent="0.25">
      <c r="A54" s="109">
        <v>28</v>
      </c>
      <c r="B54" s="1127" t="s">
        <v>1598</v>
      </c>
      <c r="C54" s="1554">
        <f t="shared" si="19"/>
        <v>71300.52</v>
      </c>
      <c r="E54" s="799">
        <v>0</v>
      </c>
      <c r="F54" s="799"/>
      <c r="G54" s="799">
        <v>23766.84</v>
      </c>
      <c r="H54" s="799">
        <v>0</v>
      </c>
      <c r="I54" s="799">
        <v>23766.84</v>
      </c>
      <c r="J54" s="799">
        <v>0</v>
      </c>
      <c r="K54" s="799">
        <v>23766.84</v>
      </c>
      <c r="L54" s="799">
        <v>0</v>
      </c>
      <c r="M54" s="1566">
        <v>1</v>
      </c>
      <c r="N54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</row>
    <row r="55" spans="1:27" x14ac:dyDescent="0.25">
      <c r="A55" s="109">
        <v>29</v>
      </c>
      <c r="B55" s="1127" t="s">
        <v>1599</v>
      </c>
      <c r="C55" s="1554">
        <f t="shared" si="19"/>
        <v>181385.35</v>
      </c>
      <c r="D55" s="799"/>
      <c r="E55" s="799">
        <v>0</v>
      </c>
      <c r="F55" s="799">
        <v>181385.35</v>
      </c>
      <c r="G55" s="799">
        <v>0</v>
      </c>
      <c r="H55" s="799">
        <v>0</v>
      </c>
      <c r="I55" s="799">
        <v>0</v>
      </c>
      <c r="J55" s="799">
        <v>0</v>
      </c>
      <c r="K55" s="799">
        <v>0</v>
      </c>
      <c r="L55" s="799">
        <v>0</v>
      </c>
      <c r="M55" s="1566">
        <v>1</v>
      </c>
      <c r="N55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</row>
    <row r="56" spans="1:27" x14ac:dyDescent="0.25">
      <c r="A56" s="109">
        <v>30</v>
      </c>
      <c r="B56" s="1127" t="s">
        <v>1600</v>
      </c>
      <c r="C56" s="1554">
        <f t="shared" si="19"/>
        <v>0</v>
      </c>
      <c r="D56" s="799"/>
      <c r="E56" s="799">
        <v>0</v>
      </c>
      <c r="F56" s="799">
        <v>30000</v>
      </c>
      <c r="G56" s="799">
        <v>0</v>
      </c>
      <c r="H56" s="799">
        <v>0</v>
      </c>
      <c r="I56" s="799">
        <v>0</v>
      </c>
      <c r="J56" s="799">
        <v>0</v>
      </c>
      <c r="K56" s="799">
        <v>0</v>
      </c>
      <c r="L56" s="799">
        <v>0</v>
      </c>
      <c r="M56" s="1566">
        <v>0</v>
      </c>
      <c r="N5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</row>
    <row r="57" spans="1:27" x14ac:dyDescent="0.25">
      <c r="A57" s="109">
        <v>31</v>
      </c>
      <c r="B57" s="1127" t="s">
        <v>1601</v>
      </c>
      <c r="C57" s="1554">
        <f t="shared" si="19"/>
        <v>41970</v>
      </c>
      <c r="D57" s="799"/>
      <c r="E57" s="799">
        <v>0</v>
      </c>
      <c r="F57" s="799">
        <v>0</v>
      </c>
      <c r="G57" s="799">
        <v>41970</v>
      </c>
      <c r="H57" s="799">
        <v>0</v>
      </c>
      <c r="I57" s="799">
        <v>0</v>
      </c>
      <c r="J57" s="799">
        <v>0</v>
      </c>
      <c r="K57" s="799">
        <v>0</v>
      </c>
      <c r="L57" s="799">
        <v>0</v>
      </c>
      <c r="M57" s="1566">
        <v>1</v>
      </c>
      <c r="N57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</row>
    <row r="58" spans="1:27" x14ac:dyDescent="0.25">
      <c r="A58" s="109">
        <v>32</v>
      </c>
      <c r="B58" s="1127" t="s">
        <v>1602</v>
      </c>
      <c r="C58" s="1554">
        <f t="shared" si="19"/>
        <v>35539.97</v>
      </c>
      <c r="D58" s="799"/>
      <c r="E58" s="799">
        <v>0</v>
      </c>
      <c r="F58" s="799">
        <v>0</v>
      </c>
      <c r="G58" s="799">
        <v>35539.97</v>
      </c>
      <c r="H58" s="799">
        <v>0</v>
      </c>
      <c r="I58" s="799">
        <v>0</v>
      </c>
      <c r="J58" s="799">
        <v>0</v>
      </c>
      <c r="K58" s="799">
        <v>0</v>
      </c>
      <c r="L58" s="799">
        <v>0</v>
      </c>
      <c r="M58" s="1566">
        <v>1</v>
      </c>
      <c r="N58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</row>
    <row r="59" spans="1:27" x14ac:dyDescent="0.25">
      <c r="A59" s="109">
        <v>33</v>
      </c>
      <c r="B59" s="1127" t="s">
        <v>1603</v>
      </c>
      <c r="C59" s="1554">
        <f t="shared" si="19"/>
        <v>46837.77</v>
      </c>
      <c r="D59" s="799"/>
      <c r="E59" s="799">
        <v>0</v>
      </c>
      <c r="F59" s="799">
        <v>0</v>
      </c>
      <c r="G59" s="799">
        <v>46837.77</v>
      </c>
      <c r="H59" s="799">
        <v>0</v>
      </c>
      <c r="I59" s="799">
        <v>0</v>
      </c>
      <c r="J59" s="799">
        <v>0</v>
      </c>
      <c r="K59" s="799">
        <v>0</v>
      </c>
      <c r="L59" s="799">
        <v>0</v>
      </c>
      <c r="M59" s="1566">
        <v>1</v>
      </c>
      <c r="N59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</row>
    <row r="60" spans="1:27" x14ac:dyDescent="0.25">
      <c r="A60" s="109">
        <v>34</v>
      </c>
      <c r="B60" s="1127" t="s">
        <v>1604</v>
      </c>
      <c r="C60" s="1554">
        <f t="shared" si="19"/>
        <v>74686</v>
      </c>
      <c r="D60" s="799"/>
      <c r="E60" s="799">
        <v>0</v>
      </c>
      <c r="F60" s="799">
        <v>0</v>
      </c>
      <c r="G60" s="799">
        <v>74686</v>
      </c>
      <c r="H60" s="799">
        <v>0</v>
      </c>
      <c r="I60" s="799">
        <v>0</v>
      </c>
      <c r="J60" s="799">
        <v>0</v>
      </c>
      <c r="K60" s="799">
        <v>0</v>
      </c>
      <c r="L60" s="799">
        <v>0</v>
      </c>
      <c r="M60" s="1566">
        <v>1</v>
      </c>
      <c r="N60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</row>
    <row r="61" spans="1:27" x14ac:dyDescent="0.25">
      <c r="A61" s="109">
        <v>35</v>
      </c>
      <c r="B61" s="1127" t="s">
        <v>1605</v>
      </c>
      <c r="C61" s="1554">
        <f t="shared" si="19"/>
        <v>0</v>
      </c>
      <c r="D61" s="799"/>
      <c r="E61" s="799">
        <v>0</v>
      </c>
      <c r="F61" s="799">
        <v>0</v>
      </c>
      <c r="G61" s="799">
        <f>10200*4</f>
        <v>40800</v>
      </c>
      <c r="H61" s="799">
        <v>0</v>
      </c>
      <c r="I61" s="799">
        <v>0</v>
      </c>
      <c r="J61" s="799">
        <v>0</v>
      </c>
      <c r="K61" s="799">
        <v>0</v>
      </c>
      <c r="L61" s="799">
        <v>0</v>
      </c>
      <c r="M61" s="1566"/>
      <c r="N61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</row>
    <row r="62" spans="1:27" x14ac:dyDescent="0.25">
      <c r="A62" s="109">
        <v>36</v>
      </c>
      <c r="B62" s="1127" t="s">
        <v>1606</v>
      </c>
      <c r="C62" s="1554">
        <f t="shared" si="19"/>
        <v>20065.710000000003</v>
      </c>
      <c r="D62" s="799"/>
      <c r="E62" s="799">
        <v>0</v>
      </c>
      <c r="F62" s="799">
        <v>0</v>
      </c>
      <c r="G62" s="799">
        <v>0</v>
      </c>
      <c r="H62" s="799">
        <v>0</v>
      </c>
      <c r="I62" s="799">
        <f>(14535+4218)*1.07</f>
        <v>20065.710000000003</v>
      </c>
      <c r="J62" s="799">
        <v>0</v>
      </c>
      <c r="K62" s="799">
        <v>0</v>
      </c>
      <c r="L62" s="799">
        <v>0</v>
      </c>
      <c r="M62" s="1566">
        <v>1</v>
      </c>
      <c r="N62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</row>
    <row r="63" spans="1:27" s="162" customFormat="1" x14ac:dyDescent="0.25">
      <c r="A63" s="109">
        <v>37</v>
      </c>
      <c r="B63" s="1127" t="s">
        <v>1607</v>
      </c>
      <c r="C63" s="1554">
        <f t="shared" si="19"/>
        <v>46545</v>
      </c>
      <c r="D63" s="799"/>
      <c r="E63" s="799">
        <v>0</v>
      </c>
      <c r="F63" s="799">
        <v>0</v>
      </c>
      <c r="G63" s="799">
        <v>0</v>
      </c>
      <c r="H63" s="799">
        <v>0</v>
      </c>
      <c r="I63" s="799">
        <v>46545</v>
      </c>
      <c r="J63" s="799">
        <v>0</v>
      </c>
      <c r="K63" s="799">
        <v>0</v>
      </c>
      <c r="L63" s="799">
        <v>0</v>
      </c>
      <c r="M63" s="1566">
        <v>1</v>
      </c>
      <c r="N63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</row>
    <row r="64" spans="1:27" x14ac:dyDescent="0.25">
      <c r="A64" s="109">
        <v>38</v>
      </c>
      <c r="B64" s="1127" t="s">
        <v>1608</v>
      </c>
      <c r="C64" s="1554">
        <f t="shared" si="19"/>
        <v>107000</v>
      </c>
      <c r="E64" s="799">
        <v>0</v>
      </c>
      <c r="F64" s="799">
        <v>0</v>
      </c>
      <c r="G64" s="799">
        <v>107000</v>
      </c>
      <c r="H64" s="799">
        <v>0</v>
      </c>
      <c r="I64" s="799">
        <v>0</v>
      </c>
      <c r="J64" s="799">
        <v>0</v>
      </c>
      <c r="K64" s="799">
        <v>0</v>
      </c>
      <c r="L64" s="799">
        <v>0</v>
      </c>
      <c r="M64" s="1566">
        <v>1</v>
      </c>
      <c r="N64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</row>
    <row r="65" spans="1:27" x14ac:dyDescent="0.25">
      <c r="A65" s="109">
        <v>39</v>
      </c>
      <c r="B65" s="1127" t="s">
        <v>1609</v>
      </c>
      <c r="C65" s="1554">
        <f t="shared" si="19"/>
        <v>92200.19</v>
      </c>
      <c r="D65" s="799"/>
      <c r="E65" s="799">
        <v>0</v>
      </c>
      <c r="F65" s="799">
        <v>0</v>
      </c>
      <c r="G65" s="799">
        <v>0</v>
      </c>
      <c r="H65" s="799">
        <v>0</v>
      </c>
      <c r="I65" s="799">
        <v>0</v>
      </c>
      <c r="J65" s="799">
        <v>0</v>
      </c>
      <c r="K65" s="799">
        <v>92200.19</v>
      </c>
      <c r="L65" s="799">
        <v>0</v>
      </c>
      <c r="M65" s="1566">
        <v>1</v>
      </c>
      <c r="N65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</row>
    <row r="66" spans="1:27" x14ac:dyDescent="0.25">
      <c r="A66" s="109">
        <v>40</v>
      </c>
      <c r="B66" s="1127" t="s">
        <v>1610</v>
      </c>
      <c r="C66" s="1554">
        <f>+SUBTOTAL(9,E66:L66)*M66</f>
        <v>1655315.655</v>
      </c>
      <c r="D66" s="799"/>
      <c r="E66" s="799">
        <v>0</v>
      </c>
      <c r="F66" s="799">
        <f>(1348+14359+7777+117700+214000+13953+2395+16830+3514+4431+12305+1355+21316+6440+6665+22848+14108+69201+35155+890+22870+16050+3531+37082)/2</f>
        <v>333061.5</v>
      </c>
      <c r="G66" s="799">
        <f>(1348+14359+7777+117700+214000+13953+2395+16830+3514+4431+12305+1355+21316+6440+6665+22848+14108+69201+35155+890+22870+16050+3531+37082)/2</f>
        <v>333061.5</v>
      </c>
      <c r="H66" s="799">
        <f t="shared" ref="H66:J66" si="20">(1348+14359+7777+117700+214000+13953+2395+16830+3514+4431+12305+1355+21316+6440+6665+22848+14108+69201+35155+890+22870+16050+3531+37082)/2</f>
        <v>333061.5</v>
      </c>
      <c r="I66" s="799">
        <f t="shared" si="20"/>
        <v>333061.5</v>
      </c>
      <c r="J66" s="799">
        <f t="shared" si="20"/>
        <v>333061.5</v>
      </c>
      <c r="K66" s="799">
        <f>(1348+14359+7777+117700+214000+13953+2395+16830+3514+4431+12305+1355+21316+6440+6665+22848+14108+69201+35155+890+22870+16050+3531+37082)/2</f>
        <v>333061.5</v>
      </c>
      <c r="L66" s="799">
        <f>(1348+14359+7777+117700+214000+13953+2395+16830+3514+4431+12305+1355+21316+6440+6665+22848+14108+69201+35155+890+22870+16050+3531+37082)/2</f>
        <v>333061.5</v>
      </c>
      <c r="M66" s="1566">
        <v>0.71</v>
      </c>
      <c r="N6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</row>
    <row r="67" spans="1:27" x14ac:dyDescent="0.25">
      <c r="A67" s="109">
        <v>41</v>
      </c>
      <c r="B67" s="807" t="s">
        <v>1801</v>
      </c>
      <c r="C67" s="1554">
        <f t="shared" si="19"/>
        <v>51021.11</v>
      </c>
      <c r="E67" s="799">
        <v>0</v>
      </c>
      <c r="F67" s="799">
        <v>0</v>
      </c>
      <c r="G67" s="799">
        <v>0</v>
      </c>
      <c r="H67" s="799">
        <v>0</v>
      </c>
      <c r="I67" s="799">
        <v>51021.11</v>
      </c>
      <c r="J67" s="799">
        <v>0</v>
      </c>
      <c r="K67" s="799">
        <v>0</v>
      </c>
      <c r="L67" s="799">
        <v>0</v>
      </c>
      <c r="M67" s="1566">
        <v>1</v>
      </c>
      <c r="N67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</row>
    <row r="68" spans="1:27" x14ac:dyDescent="0.25">
      <c r="A68" s="109">
        <v>42</v>
      </c>
      <c r="B68" s="1563" t="s">
        <v>1802</v>
      </c>
      <c r="C68" s="1554">
        <f t="shared" si="19"/>
        <v>160000</v>
      </c>
      <c r="E68" s="799">
        <v>40000</v>
      </c>
      <c r="F68" s="799">
        <v>120000</v>
      </c>
      <c r="G68" s="799">
        <v>0</v>
      </c>
      <c r="H68" s="799">
        <v>0</v>
      </c>
      <c r="I68" s="799">
        <v>0</v>
      </c>
      <c r="J68" s="799">
        <v>0</v>
      </c>
      <c r="K68" s="799">
        <v>0</v>
      </c>
      <c r="L68" s="799">
        <v>0</v>
      </c>
      <c r="M68" s="1566">
        <v>1</v>
      </c>
      <c r="N68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</row>
    <row r="69" spans="1:27" x14ac:dyDescent="0.25">
      <c r="A69" s="109">
        <v>43</v>
      </c>
      <c r="B69" s="1563" t="s">
        <v>1803</v>
      </c>
      <c r="C69" s="1554">
        <f t="shared" si="19"/>
        <v>140000</v>
      </c>
      <c r="E69" s="799">
        <v>35000</v>
      </c>
      <c r="F69" s="799">
        <v>105000</v>
      </c>
      <c r="G69" s="799">
        <v>0</v>
      </c>
      <c r="H69" s="799">
        <v>0</v>
      </c>
      <c r="I69" s="799">
        <v>0</v>
      </c>
      <c r="J69" s="799">
        <v>0</v>
      </c>
      <c r="K69" s="799">
        <v>0</v>
      </c>
      <c r="L69" s="799">
        <v>0</v>
      </c>
      <c r="M69" s="1566">
        <v>1</v>
      </c>
      <c r="N69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</row>
    <row r="70" spans="1:27" ht="15.75" thickBot="1" x14ac:dyDescent="0.3">
      <c r="A70" s="109">
        <v>44</v>
      </c>
      <c r="B70" s="807" t="s">
        <v>1804</v>
      </c>
      <c r="C70" s="1554">
        <f t="shared" si="19"/>
        <v>100000</v>
      </c>
      <c r="E70" s="1561"/>
      <c r="F70" s="1561"/>
      <c r="G70" s="799"/>
      <c r="H70" s="1561">
        <v>100000</v>
      </c>
      <c r="I70" s="799"/>
      <c r="K70" s="1562"/>
      <c r="L70" s="800"/>
      <c r="M70" s="1566">
        <v>1</v>
      </c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</row>
    <row r="71" spans="1:27" ht="15.75" thickBot="1" x14ac:dyDescent="0.3">
      <c r="B71" s="578" t="s">
        <v>856</v>
      </c>
      <c r="C71" s="1555">
        <f>+SUM(C27:C70)</f>
        <v>12594542.564999999</v>
      </c>
      <c r="D71" s="579">
        <f t="shared" ref="D71" si="21">+SUM(D27:D66)</f>
        <v>0</v>
      </c>
      <c r="E71" s="579">
        <f t="shared" ref="E71:L71" si="22">+SUMPRODUCT(E27:E70,$M$27:$M$70)</f>
        <v>75000</v>
      </c>
      <c r="F71" s="579">
        <f t="shared" si="22"/>
        <v>1427509.0149999999</v>
      </c>
      <c r="G71" s="579">
        <f>+SUMPRODUCT(G27:G70,$M$27:$M$70)</f>
        <v>1780668.0250000001</v>
      </c>
      <c r="H71" s="579">
        <f t="shared" si="22"/>
        <v>1874402.135</v>
      </c>
      <c r="I71" s="579">
        <f t="shared" si="22"/>
        <v>2221077.855</v>
      </c>
      <c r="J71" s="579">
        <f t="shared" si="22"/>
        <v>2454178.8737708577</v>
      </c>
      <c r="K71" s="579">
        <f t="shared" si="22"/>
        <v>2465082.9962291424</v>
      </c>
      <c r="L71" s="579">
        <f t="shared" si="22"/>
        <v>296623.66499999998</v>
      </c>
    </row>
    <row r="72" spans="1:27" x14ac:dyDescent="0.25">
      <c r="B72" s="305"/>
      <c r="C72" s="599"/>
      <c r="D72" s="600"/>
      <c r="E72" s="600"/>
      <c r="F72" s="600"/>
      <c r="G72" s="600"/>
      <c r="H72" s="600"/>
      <c r="I72" s="180"/>
      <c r="J72" s="162"/>
      <c r="K72" s="180"/>
      <c r="L72" s="180"/>
    </row>
    <row r="73" spans="1:27" x14ac:dyDescent="0.25">
      <c r="B73" s="305"/>
      <c r="C73" s="599"/>
      <c r="D73" s="593"/>
      <c r="E73" s="593"/>
      <c r="F73" s="593"/>
      <c r="G73" s="593"/>
      <c r="H73" s="593"/>
      <c r="I73" s="593"/>
      <c r="J73" s="593"/>
      <c r="K73" s="593"/>
      <c r="L73" s="593"/>
    </row>
    <row r="74" spans="1:27" x14ac:dyDescent="0.25">
      <c r="B74" s="305"/>
      <c r="C74" s="599"/>
      <c r="D74" s="600"/>
      <c r="E74" s="593"/>
      <c r="F74" s="593"/>
      <c r="G74" s="593"/>
      <c r="H74" s="593"/>
      <c r="I74" s="593"/>
      <c r="J74" s="593"/>
      <c r="K74" s="593"/>
      <c r="L74" s="593"/>
    </row>
    <row r="75" spans="1:27" x14ac:dyDescent="0.25">
      <c r="B75" s="594"/>
      <c r="C75" s="599"/>
      <c r="D75" s="595"/>
      <c r="E75" s="595"/>
      <c r="F75" s="595"/>
      <c r="G75" s="595"/>
      <c r="H75" s="595"/>
      <c r="I75" s="180"/>
      <c r="J75" s="180"/>
      <c r="K75" s="180"/>
      <c r="L75" s="180"/>
    </row>
    <row r="76" spans="1:27" x14ac:dyDescent="0.25">
      <c r="B76" s="601"/>
      <c r="C76" s="611"/>
      <c r="D76" s="602"/>
      <c r="E76" s="602"/>
      <c r="F76" s="602"/>
      <c r="G76" s="602"/>
      <c r="H76" s="602"/>
      <c r="I76" s="180"/>
      <c r="J76" s="180"/>
      <c r="K76" s="180"/>
      <c r="L76" s="180"/>
    </row>
    <row r="77" spans="1:27" x14ac:dyDescent="0.25">
      <c r="C77" s="603"/>
      <c r="D77"/>
      <c r="E77"/>
      <c r="F77"/>
      <c r="G77"/>
      <c r="H77"/>
      <c r="I77" s="180"/>
      <c r="J77" s="180"/>
      <c r="K77" s="180"/>
      <c r="L77" s="180"/>
    </row>
    <row r="78" spans="1:27" x14ac:dyDescent="0.25">
      <c r="B78" s="597"/>
      <c r="C78" s="598"/>
      <c r="D78" s="598"/>
      <c r="E78" s="598"/>
      <c r="F78" s="598"/>
      <c r="G78" s="598"/>
      <c r="H78" s="598"/>
      <c r="I78" s="180"/>
      <c r="J78" s="180"/>
      <c r="K78" s="180"/>
      <c r="L78" s="180"/>
    </row>
    <row r="79" spans="1:27" x14ac:dyDescent="0.25">
      <c r="B79" s="305"/>
      <c r="C79" s="603"/>
      <c r="D79" s="600"/>
      <c r="E79" s="600"/>
      <c r="F79" s="600"/>
      <c r="G79" s="600"/>
      <c r="H79" s="600"/>
      <c r="I79" s="180"/>
      <c r="J79" s="180"/>
      <c r="K79" s="180"/>
      <c r="L79" s="180"/>
    </row>
    <row r="80" spans="1:27" x14ac:dyDescent="0.25">
      <c r="B80" s="604"/>
      <c r="C80" s="605"/>
      <c r="D80" s="606"/>
      <c r="E80" s="606"/>
      <c r="F80" s="606"/>
      <c r="G80" s="606"/>
      <c r="H80" s="606"/>
      <c r="I80" s="180"/>
      <c r="J80" s="180"/>
      <c r="K80" s="180"/>
      <c r="L80" s="180"/>
    </row>
    <row r="81" spans="2:18" x14ac:dyDescent="0.25">
      <c r="B81" s="604"/>
      <c r="C81" s="605"/>
      <c r="D81" s="606"/>
      <c r="E81" s="606"/>
      <c r="F81" s="606"/>
      <c r="G81" s="606"/>
      <c r="H81" s="606"/>
      <c r="I81" s="180"/>
      <c r="J81" s="180"/>
      <c r="K81" s="180"/>
      <c r="L81" s="180"/>
    </row>
    <row r="82" spans="2:18" x14ac:dyDescent="0.25">
      <c r="B82" s="604"/>
      <c r="C82" s="605"/>
      <c r="D82" s="606"/>
      <c r="E82" s="606"/>
      <c r="F82" s="606"/>
      <c r="G82" s="606"/>
      <c r="H82" s="606"/>
      <c r="I82" s="180"/>
      <c r="J82" s="180"/>
      <c r="K82" s="180"/>
      <c r="L82" s="180"/>
    </row>
    <row r="83" spans="2:18" x14ac:dyDescent="0.25">
      <c r="B83" s="604"/>
      <c r="C83" s="605"/>
      <c r="D83" s="606"/>
      <c r="E83" s="606"/>
      <c r="F83" s="606"/>
      <c r="G83" s="606"/>
      <c r="H83" s="606"/>
      <c r="I83" s="180"/>
      <c r="J83" s="180"/>
      <c r="K83" s="180"/>
      <c r="L83" s="180"/>
    </row>
    <row r="84" spans="2:18" x14ac:dyDescent="0.25">
      <c r="B84" s="305" t="s">
        <v>1569</v>
      </c>
      <c r="D84" s="596"/>
      <c r="E84" s="596"/>
      <c r="F84" s="596"/>
      <c r="G84" s="596"/>
      <c r="H84" s="596"/>
      <c r="I84" s="180"/>
      <c r="J84" s="180"/>
      <c r="K84" s="180"/>
      <c r="L84" s="180"/>
    </row>
    <row r="85" spans="2:18" x14ac:dyDescent="0.25">
      <c r="B85" s="109" t="s">
        <v>1552</v>
      </c>
      <c r="C85" s="607" t="s">
        <v>1566</v>
      </c>
      <c r="D85" s="608" t="s">
        <v>1553</v>
      </c>
      <c r="E85" s="608" t="s">
        <v>1554</v>
      </c>
      <c r="F85" s="608" t="s">
        <v>1555</v>
      </c>
      <c r="G85" s="608" t="s">
        <v>1556</v>
      </c>
      <c r="H85" s="608"/>
      <c r="I85" s="180"/>
      <c r="J85" s="180"/>
      <c r="K85" s="180"/>
      <c r="L85" s="180"/>
    </row>
    <row r="86" spans="2:18" x14ac:dyDescent="0.25">
      <c r="B86" s="109" t="s">
        <v>1551</v>
      </c>
      <c r="C86" s="312">
        <v>6</v>
      </c>
      <c r="D86" s="312">
        <v>7</v>
      </c>
      <c r="E86" s="312">
        <v>10</v>
      </c>
      <c r="F86" s="312">
        <v>12</v>
      </c>
      <c r="G86" s="312">
        <v>12</v>
      </c>
      <c r="H86" s="609"/>
      <c r="I86" s="180"/>
      <c r="J86" s="180"/>
      <c r="K86" s="180"/>
      <c r="L86" s="180"/>
    </row>
    <row r="87" spans="2:18" x14ac:dyDescent="0.25">
      <c r="B87" s="109" t="s">
        <v>1557</v>
      </c>
      <c r="C87" s="312">
        <v>12</v>
      </c>
      <c r="D87" s="312">
        <v>13</v>
      </c>
      <c r="E87" s="312">
        <v>15</v>
      </c>
      <c r="F87" s="312">
        <v>15</v>
      </c>
      <c r="G87" s="312">
        <v>15</v>
      </c>
      <c r="H87" s="180"/>
      <c r="I87" s="180"/>
      <c r="J87" s="180"/>
      <c r="K87" s="180"/>
      <c r="L87" s="180"/>
    </row>
    <row r="88" spans="2:18" x14ac:dyDescent="0.25">
      <c r="B88" s="109" t="s">
        <v>1567</v>
      </c>
      <c r="C88" s="312">
        <v>50</v>
      </c>
      <c r="D88" s="312">
        <v>59</v>
      </c>
      <c r="E88" s="312">
        <v>65</v>
      </c>
      <c r="F88" s="312">
        <v>68</v>
      </c>
      <c r="G88" s="312">
        <v>69</v>
      </c>
      <c r="H88" s="609"/>
      <c r="I88" s="610"/>
      <c r="J88" s="180"/>
      <c r="K88" s="180"/>
      <c r="L88" s="180"/>
    </row>
    <row r="89" spans="2:18" x14ac:dyDescent="0.25">
      <c r="B89" s="952" t="s">
        <v>1570</v>
      </c>
      <c r="D89" s="609"/>
      <c r="E89" s="609"/>
      <c r="F89" s="609"/>
      <c r="G89" s="609"/>
      <c r="H89" s="180"/>
      <c r="I89" s="180"/>
      <c r="J89" s="180"/>
      <c r="K89" s="180"/>
      <c r="L89" s="180"/>
    </row>
    <row r="90" spans="2:18" x14ac:dyDescent="0.25">
      <c r="B90" s="597"/>
      <c r="C90" s="611"/>
      <c r="D90" s="609"/>
      <c r="E90" s="609"/>
      <c r="F90" s="609"/>
      <c r="G90" s="609"/>
      <c r="H90" s="611"/>
      <c r="I90" s="611"/>
      <c r="J90" s="611"/>
      <c r="K90" s="611"/>
      <c r="L90" s="611"/>
      <c r="N90" s="110"/>
      <c r="O90" s="110"/>
      <c r="P90" s="110"/>
      <c r="Q90" s="110"/>
      <c r="R90" s="110"/>
    </row>
    <row r="91" spans="2:18" x14ac:dyDescent="0.25">
      <c r="B91" s="597" t="s">
        <v>1768</v>
      </c>
      <c r="C91" s="611"/>
      <c r="D91" s="609"/>
      <c r="E91" s="609"/>
      <c r="F91" s="609"/>
      <c r="G91" s="609"/>
      <c r="H91" s="611"/>
      <c r="I91" s="611"/>
      <c r="J91" s="611"/>
      <c r="K91" s="611"/>
      <c r="L91" s="611"/>
      <c r="N91" s="110"/>
      <c r="O91" s="110"/>
      <c r="P91" s="110"/>
      <c r="Q91" s="110"/>
      <c r="R91" s="110"/>
    </row>
    <row r="92" spans="2:18" x14ac:dyDescent="0.25">
      <c r="B92" s="109" t="str">
        <f>B86</f>
        <v>GERENCIA DE NORMAS , CALIDAD Y PROCESOS</v>
      </c>
      <c r="C92" s="611"/>
      <c r="D92" s="609"/>
      <c r="E92" s="609">
        <v>2</v>
      </c>
      <c r="F92" s="609">
        <f>E92+1</f>
        <v>3</v>
      </c>
      <c r="G92" s="609">
        <f>F92</f>
        <v>3</v>
      </c>
      <c r="H92" s="611"/>
      <c r="I92" s="611"/>
      <c r="J92" s="611"/>
      <c r="K92" s="611"/>
      <c r="L92" s="611"/>
      <c r="N92" s="110"/>
      <c r="O92" s="110"/>
      <c r="P92" s="110"/>
      <c r="Q92" s="110"/>
      <c r="R92" s="110"/>
    </row>
    <row r="93" spans="2:18" x14ac:dyDescent="0.25">
      <c r="B93" s="109" t="str">
        <f t="shared" ref="B93:B94" si="23">B87</f>
        <v>GERENCIA DE MERCADO ELÉCTRICO</v>
      </c>
      <c r="C93" s="611"/>
      <c r="D93" s="609"/>
      <c r="E93" s="609"/>
      <c r="F93" s="609"/>
      <c r="G93" s="609"/>
      <c r="H93" s="611"/>
      <c r="I93" s="611"/>
      <c r="J93" s="611"/>
      <c r="K93" s="611"/>
      <c r="L93" s="611"/>
      <c r="N93" s="110"/>
      <c r="O93" s="110"/>
      <c r="P93" s="110"/>
      <c r="Q93" s="110"/>
      <c r="R93" s="110"/>
    </row>
    <row r="94" spans="2:18" x14ac:dyDescent="0.25">
      <c r="B94" s="109" t="str">
        <f t="shared" si="23"/>
        <v>GERENCIA DE OPERACIONES</v>
      </c>
      <c r="C94" s="611"/>
      <c r="D94" s="609">
        <v>3</v>
      </c>
      <c r="E94" s="609">
        <f>D94+2</f>
        <v>5</v>
      </c>
      <c r="F94" s="609">
        <f>E94+1</f>
        <v>6</v>
      </c>
      <c r="G94" s="609">
        <f>F94</f>
        <v>6</v>
      </c>
      <c r="H94" s="611"/>
      <c r="I94" s="611"/>
      <c r="J94" s="611"/>
      <c r="K94" s="611"/>
      <c r="L94" s="611"/>
      <c r="N94" s="110"/>
      <c r="O94" s="110"/>
      <c r="P94" s="110"/>
      <c r="Q94" s="110"/>
      <c r="R94" s="110"/>
    </row>
    <row r="95" spans="2:18" x14ac:dyDescent="0.25">
      <c r="B95" s="597"/>
      <c r="C95" s="611"/>
      <c r="D95" s="609"/>
      <c r="E95" s="609"/>
      <c r="F95" s="609"/>
      <c r="G95" s="609"/>
      <c r="H95" s="611"/>
      <c r="I95" s="611"/>
      <c r="J95" s="611"/>
      <c r="K95" s="611"/>
      <c r="L95" s="611"/>
      <c r="N95" s="110"/>
      <c r="O95" s="110"/>
      <c r="P95" s="110"/>
      <c r="Q95" s="110"/>
      <c r="R95" s="110"/>
    </row>
    <row r="96" spans="2:18" x14ac:dyDescent="0.25">
      <c r="B96" s="597"/>
      <c r="C96" s="611"/>
      <c r="D96" s="609"/>
      <c r="E96" s="609"/>
      <c r="F96" s="609"/>
      <c r="G96" s="609"/>
      <c r="H96" s="611"/>
      <c r="I96" s="611"/>
      <c r="J96" s="611"/>
      <c r="K96" s="611"/>
      <c r="L96" s="611"/>
      <c r="N96" s="110"/>
      <c r="O96" s="110"/>
      <c r="P96" s="110"/>
      <c r="Q96" s="110"/>
      <c r="R96" s="110"/>
    </row>
    <row r="97" spans="2:19" x14ac:dyDescent="0.25">
      <c r="B97" s="166"/>
      <c r="C97" s="843" t="s">
        <v>835</v>
      </c>
      <c r="D97" s="109" t="s">
        <v>836</v>
      </c>
      <c r="E97" s="167" t="s">
        <v>1558</v>
      </c>
      <c r="F97" s="109" t="s">
        <v>1559</v>
      </c>
      <c r="G97" s="167" t="s">
        <v>1560</v>
      </c>
      <c r="H97" s="109" t="s">
        <v>1561</v>
      </c>
      <c r="I97" s="167" t="s">
        <v>1562</v>
      </c>
      <c r="J97" s="109" t="s">
        <v>1563</v>
      </c>
      <c r="K97" s="167" t="s">
        <v>1564</v>
      </c>
      <c r="L97" s="109" t="s">
        <v>1565</v>
      </c>
    </row>
    <row r="98" spans="2:19" x14ac:dyDescent="0.25">
      <c r="B98" s="109" t="s">
        <v>1551</v>
      </c>
      <c r="C98" s="312">
        <f>C86</f>
        <v>6</v>
      </c>
      <c r="D98" s="1520">
        <f>D86-D92</f>
        <v>7</v>
      </c>
      <c r="E98" s="312">
        <f>D98</f>
        <v>7</v>
      </c>
      <c r="F98" s="1520">
        <f>E86-E92</f>
        <v>8</v>
      </c>
      <c r="G98" s="312">
        <f>F98</f>
        <v>8</v>
      </c>
      <c r="H98" s="1520">
        <f>F86-F92</f>
        <v>9</v>
      </c>
      <c r="I98" s="312">
        <f>H98</f>
        <v>9</v>
      </c>
      <c r="J98" s="1520">
        <f>G86-G92</f>
        <v>9</v>
      </c>
      <c r="K98" s="312">
        <f>J98</f>
        <v>9</v>
      </c>
      <c r="L98" s="312">
        <f>K98</f>
        <v>9</v>
      </c>
    </row>
    <row r="99" spans="2:19" x14ac:dyDescent="0.25">
      <c r="B99" s="109" t="s">
        <v>1557</v>
      </c>
      <c r="C99" s="312">
        <v>12</v>
      </c>
      <c r="D99" s="312">
        <v>14</v>
      </c>
      <c r="E99" s="312">
        <v>15</v>
      </c>
      <c r="F99" s="312">
        <f t="shared" ref="F99:L99" si="24">E99</f>
        <v>15</v>
      </c>
      <c r="G99" s="312">
        <f t="shared" si="24"/>
        <v>15</v>
      </c>
      <c r="H99" s="312">
        <f t="shared" si="24"/>
        <v>15</v>
      </c>
      <c r="I99" s="312">
        <f t="shared" si="24"/>
        <v>15</v>
      </c>
      <c r="J99" s="312">
        <f t="shared" si="24"/>
        <v>15</v>
      </c>
      <c r="K99" s="312">
        <f t="shared" si="24"/>
        <v>15</v>
      </c>
      <c r="L99" s="312">
        <f t="shared" si="24"/>
        <v>15</v>
      </c>
    </row>
    <row r="100" spans="2:19" x14ac:dyDescent="0.25">
      <c r="B100" s="109" t="s">
        <v>1567</v>
      </c>
      <c r="C100" s="312">
        <f>C88</f>
        <v>50</v>
      </c>
      <c r="D100" s="1520">
        <f>D88-D94</f>
        <v>56</v>
      </c>
      <c r="E100" s="312">
        <f>D100</f>
        <v>56</v>
      </c>
      <c r="F100" s="1520">
        <f>E88-E94</f>
        <v>60</v>
      </c>
      <c r="G100" s="312">
        <f>F100</f>
        <v>60</v>
      </c>
      <c r="H100" s="1520">
        <f>F88-F94</f>
        <v>62</v>
      </c>
      <c r="I100" s="312">
        <f>H100</f>
        <v>62</v>
      </c>
      <c r="J100" s="1520">
        <f>G88-G94</f>
        <v>63</v>
      </c>
      <c r="K100" s="312">
        <f>J100</f>
        <v>63</v>
      </c>
      <c r="L100" s="312">
        <f>K100</f>
        <v>63</v>
      </c>
    </row>
    <row r="101" spans="2:19" x14ac:dyDescent="0.25">
      <c r="B101" s="305" t="s">
        <v>325</v>
      </c>
      <c r="C101" s="312">
        <f>SUM(C98:C100)</f>
        <v>68</v>
      </c>
      <c r="D101" s="312">
        <f t="shared" ref="D101:L101" si="25">SUM(D98:D100)</f>
        <v>77</v>
      </c>
      <c r="E101" s="312">
        <f t="shared" si="25"/>
        <v>78</v>
      </c>
      <c r="F101" s="312">
        <f t="shared" si="25"/>
        <v>83</v>
      </c>
      <c r="G101" s="312">
        <f t="shared" si="25"/>
        <v>83</v>
      </c>
      <c r="H101" s="312">
        <f t="shared" si="25"/>
        <v>86</v>
      </c>
      <c r="I101" s="312">
        <f t="shared" si="25"/>
        <v>86</v>
      </c>
      <c r="J101" s="312">
        <f t="shared" si="25"/>
        <v>87</v>
      </c>
      <c r="K101" s="312">
        <f t="shared" si="25"/>
        <v>87</v>
      </c>
      <c r="L101" s="312">
        <f t="shared" si="25"/>
        <v>87</v>
      </c>
    </row>
    <row r="102" spans="2:19" x14ac:dyDescent="0.25">
      <c r="B102" s="305" t="s">
        <v>1568</v>
      </c>
      <c r="C102" s="312"/>
      <c r="D102" s="312">
        <f>D101-C101</f>
        <v>9</v>
      </c>
      <c r="E102" s="312">
        <f t="shared" ref="E102:L102" si="26">E101-D101</f>
        <v>1</v>
      </c>
      <c r="F102" s="312">
        <f t="shared" si="26"/>
        <v>5</v>
      </c>
      <c r="G102" s="312">
        <f t="shared" si="26"/>
        <v>0</v>
      </c>
      <c r="H102" s="312">
        <f t="shared" si="26"/>
        <v>3</v>
      </c>
      <c r="I102" s="312">
        <f t="shared" si="26"/>
        <v>0</v>
      </c>
      <c r="J102" s="312">
        <f t="shared" si="26"/>
        <v>1</v>
      </c>
      <c r="K102" s="312">
        <f t="shared" si="26"/>
        <v>0</v>
      </c>
      <c r="L102" s="312">
        <f t="shared" si="26"/>
        <v>0</v>
      </c>
      <c r="S102"/>
    </row>
    <row r="103" spans="2:19" x14ac:dyDescent="0.25">
      <c r="B103" s="305"/>
      <c r="C103" s="168"/>
      <c r="D103" s="304"/>
      <c r="E103" s="170"/>
      <c r="F103" s="304"/>
      <c r="G103" s="170"/>
      <c r="H103" s="304"/>
      <c r="I103" s="304"/>
      <c r="J103" s="304"/>
      <c r="K103" s="304"/>
      <c r="L103" s="304"/>
    </row>
    <row r="108" spans="2:19" x14ac:dyDescent="0.25">
      <c r="B108" s="594"/>
      <c r="C108" s="168"/>
      <c r="D108" s="304"/>
      <c r="F108" s="304"/>
      <c r="G108" s="304"/>
      <c r="H108" s="304"/>
      <c r="I108" s="304"/>
      <c r="J108" s="304"/>
      <c r="L108" s="304"/>
    </row>
    <row r="109" spans="2:19" x14ac:dyDescent="0.25">
      <c r="B109" s="594"/>
      <c r="C109" s="168"/>
      <c r="D109" s="304"/>
      <c r="E109" s="304"/>
      <c r="F109" s="170"/>
      <c r="G109" s="304"/>
      <c r="H109" s="304"/>
      <c r="I109" s="304"/>
      <c r="J109" s="304"/>
      <c r="K109" s="304"/>
      <c r="L109" s="304"/>
    </row>
    <row r="110" spans="2:19" x14ac:dyDescent="0.25">
      <c r="B110" s="305"/>
      <c r="C110" s="168"/>
      <c r="D110" s="304"/>
      <c r="E110" s="304"/>
      <c r="F110" s="170"/>
      <c r="G110" s="304"/>
      <c r="H110" s="304"/>
      <c r="J110" s="304"/>
      <c r="L110" s="304"/>
    </row>
    <row r="111" spans="2:19" x14ac:dyDescent="0.25">
      <c r="B111" s="594"/>
      <c r="C111" s="168"/>
      <c r="D111" s="304"/>
      <c r="E111" s="304"/>
      <c r="F111" s="170"/>
      <c r="H111" s="304"/>
      <c r="I111" s="304"/>
      <c r="J111" s="304"/>
      <c r="K111" s="304"/>
      <c r="L111" s="304"/>
    </row>
    <row r="112" spans="2:19" x14ac:dyDescent="0.25">
      <c r="B112" s="305"/>
      <c r="C112" s="168"/>
      <c r="D112" s="169"/>
      <c r="E112" s="169"/>
      <c r="F112" s="169"/>
      <c r="G112" s="170"/>
      <c r="H112" s="169"/>
      <c r="I112" s="169"/>
      <c r="J112" s="169"/>
      <c r="K112" s="169"/>
      <c r="L112" s="169"/>
    </row>
    <row r="113" spans="2:19" x14ac:dyDescent="0.25">
      <c r="B113" s="601"/>
      <c r="C113" s="174"/>
      <c r="D113" s="171"/>
      <c r="E113" s="171"/>
      <c r="F113" s="171"/>
      <c r="G113" s="171"/>
      <c r="H113" s="171"/>
      <c r="I113" s="171"/>
      <c r="J113" s="171"/>
      <c r="K113" s="171"/>
      <c r="L113" s="171"/>
    </row>
    <row r="114" spans="2:19" x14ac:dyDescent="0.25">
      <c r="B114" s="173"/>
      <c r="C114" s="174"/>
      <c r="D114" s="171"/>
      <c r="E114" s="171"/>
      <c r="F114" s="171"/>
      <c r="G114" s="171"/>
      <c r="H114" s="171"/>
      <c r="I114" s="171"/>
      <c r="J114" s="171"/>
      <c r="K114" s="171"/>
      <c r="L114" s="171"/>
    </row>
    <row r="115" spans="2:19" x14ac:dyDescent="0.25">
      <c r="B115" s="594"/>
      <c r="C115" s="168"/>
      <c r="D115" s="304"/>
      <c r="E115" s="170"/>
      <c r="F115" s="304"/>
      <c r="G115" s="170"/>
      <c r="H115" s="304"/>
      <c r="I115" s="304"/>
      <c r="J115" s="304"/>
      <c r="L115" s="304"/>
    </row>
    <row r="116" spans="2:19" x14ac:dyDescent="0.25">
      <c r="B116" s="305"/>
      <c r="C116" s="168"/>
      <c r="D116" s="169"/>
      <c r="E116" s="170"/>
      <c r="F116" s="170"/>
      <c r="G116" s="169"/>
      <c r="H116" s="169"/>
      <c r="I116" s="169"/>
      <c r="J116" s="169"/>
      <c r="K116" s="169"/>
      <c r="L116" s="169"/>
    </row>
    <row r="117" spans="2:19" s="110" customFormat="1" x14ac:dyDescent="0.25">
      <c r="B117" s="172"/>
      <c r="C117" s="845"/>
      <c r="D117" s="172"/>
      <c r="E117" s="172"/>
      <c r="F117" s="172"/>
      <c r="G117" s="172"/>
      <c r="H117" s="172"/>
      <c r="I117" s="172"/>
      <c r="J117" s="172"/>
      <c r="K117" s="172"/>
      <c r="L117" s="172"/>
      <c r="N117" s="109"/>
      <c r="O117" s="109"/>
      <c r="P117" s="109"/>
      <c r="Q117" s="109"/>
      <c r="R117" s="109"/>
      <c r="S117" s="109"/>
    </row>
    <row r="118" spans="2:19" s="110" customFormat="1" x14ac:dyDescent="0.25">
      <c r="B118" s="172"/>
      <c r="C118" s="845"/>
      <c r="D118" s="172"/>
      <c r="E118" s="172"/>
      <c r="F118" s="172"/>
      <c r="G118" s="172"/>
      <c r="H118" s="172"/>
      <c r="I118" s="172"/>
      <c r="J118" s="172"/>
      <c r="K118" s="172"/>
      <c r="L118" s="172"/>
      <c r="N118" s="109"/>
      <c r="O118" s="109"/>
      <c r="P118" s="109"/>
      <c r="Q118" s="109"/>
      <c r="R118" s="109"/>
      <c r="S118" s="109"/>
    </row>
    <row r="119" spans="2:19" s="110" customFormat="1" x14ac:dyDescent="0.25">
      <c r="B119" s="601"/>
      <c r="C119" s="174"/>
      <c r="D119" s="171"/>
      <c r="E119" s="171"/>
      <c r="F119" s="171"/>
      <c r="G119" s="171"/>
      <c r="H119" s="171"/>
      <c r="I119" s="171"/>
      <c r="J119" s="171"/>
      <c r="K119" s="171"/>
      <c r="L119" s="171"/>
      <c r="N119" s="109"/>
      <c r="O119" s="109"/>
      <c r="P119" s="109"/>
      <c r="Q119" s="109"/>
      <c r="R119" s="109"/>
      <c r="S119" s="109"/>
    </row>
    <row r="120" spans="2:19" x14ac:dyDescent="0.25">
      <c r="B120" s="305"/>
      <c r="C120" s="168"/>
      <c r="D120" s="169"/>
      <c r="E120" s="170"/>
      <c r="F120" s="304"/>
      <c r="G120" s="304"/>
      <c r="H120" s="304"/>
      <c r="I120" s="304"/>
      <c r="J120" s="169"/>
      <c r="K120" s="169"/>
      <c r="L120" s="169"/>
    </row>
    <row r="121" spans="2:19" x14ac:dyDescent="0.25">
      <c r="B121" s="305"/>
      <c r="C121" s="168"/>
      <c r="D121" s="169"/>
      <c r="E121" s="169"/>
      <c r="F121" s="169"/>
      <c r="G121" s="170"/>
      <c r="H121" s="169"/>
      <c r="I121" s="169"/>
      <c r="J121" s="169"/>
      <c r="K121" s="169"/>
      <c r="L121" s="169"/>
    </row>
    <row r="122" spans="2:19" x14ac:dyDescent="0.25">
      <c r="B122" s="172"/>
      <c r="C122" s="845"/>
      <c r="D122" s="172"/>
      <c r="E122" s="172"/>
      <c r="F122" s="172"/>
      <c r="G122" s="172"/>
      <c r="H122" s="172"/>
      <c r="I122" s="172"/>
      <c r="J122" s="172"/>
      <c r="K122" s="172"/>
      <c r="L122" s="172"/>
    </row>
    <row r="123" spans="2:19" x14ac:dyDescent="0.25">
      <c r="B123" s="166"/>
      <c r="E123" s="167"/>
      <c r="G123" s="167"/>
      <c r="I123" s="167"/>
      <c r="K123" s="167"/>
    </row>
    <row r="124" spans="2:19" x14ac:dyDescent="0.25">
      <c r="B124" s="601"/>
      <c r="C124" s="174"/>
      <c r="D124" s="171"/>
      <c r="E124" s="171"/>
      <c r="F124" s="171"/>
      <c r="G124" s="171"/>
      <c r="H124" s="171"/>
      <c r="I124" s="171"/>
      <c r="J124" s="171"/>
      <c r="K124" s="171"/>
      <c r="L124" s="171"/>
    </row>
    <row r="125" spans="2:19" x14ac:dyDescent="0.25">
      <c r="B125" s="166"/>
      <c r="E125" s="167"/>
      <c r="G125" s="167"/>
      <c r="I125" s="167"/>
      <c r="K125" s="167"/>
    </row>
    <row r="126" spans="2:19" x14ac:dyDescent="0.25">
      <c r="B126" s="305"/>
      <c r="C126" s="168"/>
      <c r="D126" s="304"/>
      <c r="E126" s="170"/>
      <c r="F126" s="304"/>
      <c r="G126" s="170"/>
      <c r="H126" s="304"/>
      <c r="I126" s="170"/>
      <c r="J126" s="304"/>
      <c r="K126" s="170"/>
      <c r="L126" s="304"/>
    </row>
    <row r="127" spans="2:19" x14ac:dyDescent="0.25">
      <c r="B127" s="305"/>
      <c r="C127" s="168"/>
      <c r="D127" s="304"/>
      <c r="E127" s="170"/>
      <c r="F127" s="304"/>
      <c r="G127" s="170"/>
      <c r="H127" s="170"/>
      <c r="I127" s="170"/>
      <c r="J127" s="304"/>
      <c r="K127" s="170"/>
      <c r="L127" s="304"/>
    </row>
    <row r="128" spans="2:19" x14ac:dyDescent="0.25">
      <c r="B128" s="305"/>
      <c r="C128" s="168"/>
      <c r="D128" s="304"/>
      <c r="E128" s="304"/>
      <c r="F128" s="304"/>
      <c r="G128" s="170"/>
      <c r="H128" s="304"/>
      <c r="I128" s="304"/>
      <c r="J128" s="304"/>
      <c r="K128" s="304"/>
      <c r="L128" s="304"/>
    </row>
    <row r="129" spans="2:13" x14ac:dyDescent="0.25">
      <c r="B129" s="305"/>
      <c r="C129" s="168"/>
      <c r="D129" s="304"/>
      <c r="E129" s="304"/>
      <c r="F129" s="304"/>
      <c r="H129" s="170"/>
      <c r="J129" s="304"/>
      <c r="L129" s="304"/>
    </row>
    <row r="130" spans="2:13" x14ac:dyDescent="0.25">
      <c r="B130" s="305"/>
      <c r="C130" s="168"/>
      <c r="D130" s="304"/>
      <c r="E130" s="304"/>
      <c r="F130" s="304"/>
      <c r="G130" s="304"/>
      <c r="H130" s="170"/>
      <c r="I130" s="304"/>
      <c r="J130" s="304"/>
      <c r="K130" s="304"/>
      <c r="L130" s="304"/>
    </row>
    <row r="131" spans="2:13" x14ac:dyDescent="0.25">
      <c r="C131" s="846"/>
      <c r="D131" s="613"/>
      <c r="E131" s="613"/>
      <c r="F131" s="613"/>
      <c r="G131" s="613"/>
      <c r="H131" s="613"/>
      <c r="I131" s="613"/>
      <c r="J131" s="613"/>
      <c r="K131" s="613"/>
      <c r="L131" s="613"/>
    </row>
    <row r="132" spans="2:13" x14ac:dyDescent="0.25">
      <c r="B132" s="172"/>
      <c r="C132" s="845"/>
      <c r="D132" s="172"/>
      <c r="E132" s="172"/>
      <c r="F132" s="172"/>
      <c r="G132" s="172"/>
      <c r="H132" s="172"/>
      <c r="I132" s="172"/>
      <c r="J132" s="172"/>
      <c r="K132" s="172"/>
      <c r="L132" s="172"/>
    </row>
    <row r="133" spans="2:13" ht="5.0999999999999996" customHeight="1" x14ac:dyDescent="0.25"/>
    <row r="134" spans="2:13" x14ac:dyDescent="0.25">
      <c r="B134" s="601"/>
      <c r="C134" s="174"/>
      <c r="D134" s="171"/>
      <c r="E134" s="171"/>
      <c r="F134" s="171"/>
      <c r="G134" s="171"/>
      <c r="H134" s="171"/>
      <c r="I134" s="171"/>
      <c r="J134" s="171"/>
      <c r="K134" s="171"/>
      <c r="L134" s="171"/>
    </row>
    <row r="135" spans="2:13" x14ac:dyDescent="0.25">
      <c r="B135" s="594"/>
      <c r="C135" s="168"/>
      <c r="D135" s="306"/>
      <c r="E135" s="306"/>
      <c r="F135" s="169"/>
      <c r="G135" s="169"/>
      <c r="H135" s="304"/>
      <c r="I135" s="169"/>
      <c r="J135" s="169"/>
      <c r="K135" s="169"/>
      <c r="L135" s="169"/>
    </row>
    <row r="136" spans="2:13" x14ac:dyDescent="0.25">
      <c r="B136" s="305"/>
      <c r="C136" s="168"/>
      <c r="D136" s="306"/>
      <c r="E136" s="306"/>
      <c r="F136" s="169"/>
      <c r="G136" s="169"/>
      <c r="H136" s="304"/>
      <c r="I136" s="169"/>
      <c r="J136" s="169"/>
      <c r="K136" s="169"/>
      <c r="L136" s="169"/>
    </row>
    <row r="137" spans="2:13" x14ac:dyDescent="0.25">
      <c r="B137" s="601"/>
      <c r="C137" s="174"/>
      <c r="D137" s="171"/>
      <c r="E137" s="171"/>
      <c r="F137" s="171"/>
      <c r="G137" s="171"/>
      <c r="H137" s="171"/>
      <c r="I137" s="171"/>
      <c r="J137" s="171"/>
      <c r="K137" s="171"/>
      <c r="L137" s="171"/>
      <c r="M137" s="612"/>
    </row>
    <row r="139" spans="2:13" x14ac:dyDescent="0.25">
      <c r="E139" s="176"/>
      <c r="F139" s="176"/>
      <c r="G139" s="176"/>
      <c r="H139" s="176"/>
      <c r="I139" s="176"/>
      <c r="L139" s="176"/>
    </row>
    <row r="140" spans="2:13" x14ac:dyDescent="0.25">
      <c r="E140" s="176"/>
      <c r="F140" s="176"/>
      <c r="G140" s="176"/>
      <c r="H140" s="176"/>
      <c r="I140" s="176"/>
      <c r="L140" s="176"/>
    </row>
    <row r="141" spans="2:13" x14ac:dyDescent="0.25">
      <c r="E141" s="176"/>
      <c r="F141" s="176"/>
      <c r="G141" s="176"/>
      <c r="H141" s="176"/>
      <c r="I141" s="176"/>
      <c r="L141" s="176"/>
    </row>
    <row r="142" spans="2:13" x14ac:dyDescent="0.25">
      <c r="I142" s="176"/>
      <c r="L142" s="176"/>
    </row>
    <row r="143" spans="2:13" x14ac:dyDescent="0.25">
      <c r="I143" s="177"/>
      <c r="L143" s="176"/>
    </row>
    <row r="144" spans="2:13" x14ac:dyDescent="0.25">
      <c r="L144" s="176"/>
    </row>
    <row r="145" spans="9:12" x14ac:dyDescent="0.25">
      <c r="L145" s="176"/>
    </row>
    <row r="146" spans="9:12" x14ac:dyDescent="0.25">
      <c r="L146" s="176"/>
    </row>
    <row r="147" spans="9:12" x14ac:dyDescent="0.25">
      <c r="L147" s="176"/>
    </row>
    <row r="148" spans="9:12" x14ac:dyDescent="0.25">
      <c r="I148" s="175"/>
      <c r="L148" s="176"/>
    </row>
    <row r="150" spans="9:12" x14ac:dyDescent="0.25">
      <c r="I150" s="177"/>
    </row>
    <row r="153" spans="9:12" x14ac:dyDescent="0.25">
      <c r="I153" s="178"/>
    </row>
  </sheetData>
  <pageMargins left="0.7" right="0.7" top="0.75" bottom="0.75" header="0.3" footer="0.3"/>
  <pageSetup paperSize="5" scale="65" fitToHeight="0" orientation="landscape" verticalDpi="597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  <pageSetUpPr fitToPage="1"/>
  </sheetPr>
  <dimension ref="B1:S40"/>
  <sheetViews>
    <sheetView showGridLines="0" topLeftCell="A6" zoomScaleNormal="100" workbookViewId="0">
      <selection activeCell="C17" sqref="C17"/>
    </sheetView>
  </sheetViews>
  <sheetFormatPr baseColWidth="10" defaultColWidth="11.42578125" defaultRowHeight="15" x14ac:dyDescent="0.25"/>
  <cols>
    <col min="1" max="1" width="3.42578125" style="182" customWidth="1"/>
    <col min="2" max="2" width="19.85546875" style="182" customWidth="1"/>
    <col min="3" max="14" width="13" style="182" customWidth="1"/>
    <col min="15" max="17" width="14" style="182" bestFit="1" customWidth="1"/>
    <col min="18" max="16384" width="11.42578125" style="182"/>
  </cols>
  <sheetData>
    <row r="1" spans="2:19" s="162" customFormat="1" hidden="1" x14ac:dyDescent="0.25">
      <c r="S1" s="179"/>
    </row>
    <row r="2" spans="2:19" s="162" customFormat="1" hidden="1" x14ac:dyDescent="0.25">
      <c r="S2" s="179"/>
    </row>
    <row r="3" spans="2:19" s="162" customFormat="1" hidden="1" x14ac:dyDescent="0.25">
      <c r="S3" s="179"/>
    </row>
    <row r="4" spans="2:19" s="162" customFormat="1" hidden="1" x14ac:dyDescent="0.25">
      <c r="S4" s="179"/>
    </row>
    <row r="5" spans="2:19" s="162" customFormat="1" hidden="1" x14ac:dyDescent="0.25">
      <c r="S5" s="179"/>
    </row>
    <row r="6" spans="2:19" s="549" customFormat="1" x14ac:dyDescent="0.25">
      <c r="B6" s="548"/>
    </row>
    <row r="7" spans="2:19" s="180" customFormat="1" ht="15.75" thickBot="1" x14ac:dyDescent="0.3">
      <c r="B7" s="181"/>
      <c r="E7" s="162">
        <v>2021</v>
      </c>
      <c r="F7" s="162">
        <v>2021</v>
      </c>
      <c r="G7" s="162">
        <f>+E7+1</f>
        <v>2022</v>
      </c>
      <c r="H7" s="162">
        <f>+F7+1</f>
        <v>2022</v>
      </c>
      <c r="I7" s="162">
        <f t="shared" ref="I7:N7" si="0">+G7+1</f>
        <v>2023</v>
      </c>
      <c r="J7" s="162">
        <f t="shared" si="0"/>
        <v>2023</v>
      </c>
      <c r="K7" s="162">
        <f t="shared" si="0"/>
        <v>2024</v>
      </c>
      <c r="L7" s="162">
        <f t="shared" si="0"/>
        <v>2024</v>
      </c>
      <c r="M7" s="162">
        <f t="shared" si="0"/>
        <v>2025</v>
      </c>
      <c r="N7" s="162">
        <f t="shared" si="0"/>
        <v>2025</v>
      </c>
    </row>
    <row r="8" spans="2:19" s="180" customFormat="1" ht="15.75" thickBot="1" x14ac:dyDescent="0.3">
      <c r="B8" s="1620"/>
      <c r="C8" s="1620"/>
      <c r="D8" s="1620"/>
      <c r="E8" s="550" t="s">
        <v>835</v>
      </c>
      <c r="F8" s="550" t="s">
        <v>836</v>
      </c>
      <c r="G8" s="550" t="s">
        <v>1558</v>
      </c>
      <c r="H8" s="550" t="s">
        <v>1559</v>
      </c>
      <c r="I8" s="550" t="s">
        <v>1560</v>
      </c>
      <c r="J8" s="550" t="s">
        <v>1561</v>
      </c>
      <c r="K8" s="550" t="s">
        <v>1562</v>
      </c>
      <c r="L8" s="550" t="s">
        <v>1563</v>
      </c>
      <c r="M8" s="550" t="s">
        <v>1564</v>
      </c>
      <c r="N8" s="550" t="s">
        <v>1565</v>
      </c>
    </row>
    <row r="9" spans="2:19" s="180" customFormat="1" ht="15.75" thickBot="1" x14ac:dyDescent="0.3">
      <c r="B9" s="554" t="s">
        <v>857</v>
      </c>
      <c r="C9" s="555"/>
      <c r="D9" s="555"/>
      <c r="E9" s="649">
        <f>$C$34</f>
        <v>-6188.872545107246</v>
      </c>
      <c r="F9" s="556"/>
      <c r="G9" s="649">
        <f>$C$34</f>
        <v>-6188.872545107246</v>
      </c>
      <c r="H9" s="556"/>
      <c r="I9" s="649">
        <f>$C$34</f>
        <v>-6188.872545107246</v>
      </c>
      <c r="J9" s="556"/>
      <c r="K9" s="649">
        <f>$C$34</f>
        <v>-6188.872545107246</v>
      </c>
      <c r="L9" s="556"/>
      <c r="M9" s="649">
        <f>$C$34</f>
        <v>-6188.872545107246</v>
      </c>
      <c r="N9" s="556"/>
    </row>
    <row r="10" spans="2:19" s="180" customFormat="1" hidden="1" x14ac:dyDescent="0.25">
      <c r="B10" s="186" t="s">
        <v>858</v>
      </c>
      <c r="E10" s="189"/>
      <c r="F10" s="189"/>
      <c r="G10" s="188">
        <v>0</v>
      </c>
      <c r="H10" s="188">
        <v>0</v>
      </c>
      <c r="I10" s="188">
        <v>0</v>
      </c>
      <c r="J10" s="188"/>
      <c r="K10" s="188"/>
      <c r="L10" s="188"/>
      <c r="M10" s="188"/>
      <c r="N10" s="188"/>
    </row>
    <row r="11" spans="2:19" s="180" customFormat="1" hidden="1" x14ac:dyDescent="0.25">
      <c r="B11" s="186" t="s">
        <v>859</v>
      </c>
      <c r="E11" s="189"/>
      <c r="F11" s="185">
        <v>0</v>
      </c>
      <c r="G11" s="185">
        <v>0</v>
      </c>
      <c r="H11" s="185">
        <v>0</v>
      </c>
      <c r="I11" s="185">
        <v>0</v>
      </c>
      <c r="J11" s="185">
        <v>0</v>
      </c>
      <c r="K11" s="185"/>
      <c r="L11" s="185"/>
      <c r="M11" s="185"/>
      <c r="N11" s="185"/>
    </row>
    <row r="12" spans="2:19" s="180" customFormat="1" ht="15.75" thickBot="1" x14ac:dyDescent="0.3">
      <c r="B12" s="551" t="s">
        <v>325</v>
      </c>
      <c r="C12" s="552"/>
      <c r="D12" s="552"/>
      <c r="E12" s="553">
        <f t="shared" ref="E12:L12" si="1">SUM(E9:E11)</f>
        <v>-6188.872545107246</v>
      </c>
      <c r="F12" s="553">
        <f t="shared" si="1"/>
        <v>0</v>
      </c>
      <c r="G12" s="553">
        <f t="shared" si="1"/>
        <v>-6188.872545107246</v>
      </c>
      <c r="H12" s="553">
        <f t="shared" si="1"/>
        <v>0</v>
      </c>
      <c r="I12" s="553">
        <f t="shared" si="1"/>
        <v>-6188.872545107246</v>
      </c>
      <c r="J12" s="553">
        <f t="shared" si="1"/>
        <v>0</v>
      </c>
      <c r="K12" s="553">
        <f t="shared" si="1"/>
        <v>-6188.872545107246</v>
      </c>
      <c r="L12" s="553">
        <f t="shared" si="1"/>
        <v>0</v>
      </c>
      <c r="M12" s="553"/>
      <c r="N12" s="553"/>
      <c r="O12" s="314"/>
    </row>
    <row r="13" spans="2:19" s="180" customFormat="1" ht="15.75" thickBot="1" x14ac:dyDescent="0.3">
      <c r="B13" s="182"/>
      <c r="C13" s="184"/>
      <c r="D13" s="184"/>
      <c r="E13" s="184"/>
      <c r="F13" s="184"/>
      <c r="G13" s="184"/>
      <c r="H13" s="184"/>
      <c r="I13" s="182"/>
      <c r="J13" s="182"/>
      <c r="K13" s="182"/>
      <c r="L13" s="185"/>
    </row>
    <row r="14" spans="2:19" ht="15.75" thickBot="1" x14ac:dyDescent="0.3">
      <c r="B14" s="1621" t="s">
        <v>860</v>
      </c>
      <c r="C14" s="1622">
        <v>2017</v>
      </c>
      <c r="D14" s="1622"/>
      <c r="E14" s="1622"/>
      <c r="F14" s="1622"/>
      <c r="G14" s="1622">
        <v>2018</v>
      </c>
      <c r="H14" s="1622"/>
      <c r="I14" s="1622"/>
      <c r="J14" s="1622"/>
      <c r="K14" s="1622">
        <v>2019</v>
      </c>
      <c r="L14" s="1622"/>
      <c r="M14" s="1622"/>
      <c r="N14" s="1622"/>
    </row>
    <row r="15" spans="2:19" ht="15.75" thickBot="1" x14ac:dyDescent="0.3">
      <c r="B15" s="1621"/>
      <c r="C15" s="1623" t="s">
        <v>861</v>
      </c>
      <c r="D15" s="1623"/>
      <c r="E15" s="1623" t="s">
        <v>862</v>
      </c>
      <c r="F15" s="1623"/>
      <c r="G15" s="1623" t="s">
        <v>861</v>
      </c>
      <c r="H15" s="1623"/>
      <c r="I15" s="1623" t="s">
        <v>862</v>
      </c>
      <c r="J15" s="1623"/>
      <c r="K15" s="1623" t="s">
        <v>861</v>
      </c>
      <c r="L15" s="1623"/>
      <c r="M15" s="1623" t="s">
        <v>862</v>
      </c>
      <c r="N15" s="1623"/>
    </row>
    <row r="16" spans="2:19" ht="15.75" thickBot="1" x14ac:dyDescent="0.3">
      <c r="B16" s="1621"/>
      <c r="C16" s="557" t="s">
        <v>863</v>
      </c>
      <c r="D16" s="557" t="s">
        <v>844</v>
      </c>
      <c r="E16" s="557" t="s">
        <v>863</v>
      </c>
      <c r="F16" s="557" t="s">
        <v>844</v>
      </c>
      <c r="G16" s="557" t="s">
        <v>863</v>
      </c>
      <c r="H16" s="557" t="s">
        <v>844</v>
      </c>
      <c r="I16" s="557" t="s">
        <v>863</v>
      </c>
      <c r="J16" s="557" t="s">
        <v>844</v>
      </c>
      <c r="K16" s="557" t="s">
        <v>863</v>
      </c>
      <c r="L16" s="557" t="s">
        <v>844</v>
      </c>
      <c r="M16" s="557" t="s">
        <v>863</v>
      </c>
      <c r="N16" s="557" t="s">
        <v>844</v>
      </c>
    </row>
    <row r="17" spans="2:14" x14ac:dyDescent="0.25">
      <c r="B17" s="560" t="s">
        <v>864</v>
      </c>
      <c r="C17" s="561"/>
      <c r="D17" s="561"/>
      <c r="E17" s="561"/>
      <c r="F17" s="561"/>
      <c r="G17" s="561">
        <v>8794.61</v>
      </c>
      <c r="H17" s="561">
        <v>1006230.7</v>
      </c>
      <c r="I17" s="561">
        <v>3809.68</v>
      </c>
      <c r="J17" s="561">
        <v>435882.91</v>
      </c>
      <c r="K17" s="561">
        <v>3711.81</v>
      </c>
      <c r="L17" s="561">
        <v>1505.69</v>
      </c>
      <c r="M17" s="561">
        <v>1607.9</v>
      </c>
      <c r="N17" s="561">
        <v>652.24</v>
      </c>
    </row>
    <row r="18" spans="2:14" x14ac:dyDescent="0.25">
      <c r="B18" s="562" t="s">
        <v>865</v>
      </c>
      <c r="C18" s="563"/>
      <c r="D18" s="563"/>
      <c r="E18" s="563"/>
      <c r="F18" s="563"/>
      <c r="G18" s="563">
        <v>4104.4799999999996</v>
      </c>
      <c r="H18" s="563">
        <v>33667.870000000003</v>
      </c>
      <c r="I18" s="563">
        <v>2143.7199999999998</v>
      </c>
      <c r="J18" s="563">
        <v>17584.3</v>
      </c>
      <c r="K18" s="563">
        <v>2624.91</v>
      </c>
      <c r="L18" s="563">
        <v>44114.91</v>
      </c>
      <c r="M18" s="563">
        <v>1370.96</v>
      </c>
      <c r="N18" s="563">
        <v>23040.66</v>
      </c>
    </row>
    <row r="19" spans="2:14" x14ac:dyDescent="0.25">
      <c r="B19" s="562" t="s">
        <v>866</v>
      </c>
      <c r="C19" s="563"/>
      <c r="D19" s="563"/>
      <c r="E19" s="563"/>
      <c r="F19" s="563"/>
      <c r="G19" s="563">
        <v>5729.79</v>
      </c>
      <c r="H19" s="563">
        <v>52015.75</v>
      </c>
      <c r="I19" s="563">
        <v>708.27</v>
      </c>
      <c r="J19" s="563">
        <v>6429.74</v>
      </c>
      <c r="K19" s="563">
        <v>5047.9799999999996</v>
      </c>
      <c r="L19" s="563">
        <v>61523.56</v>
      </c>
      <c r="M19" s="563">
        <v>623.99</v>
      </c>
      <c r="N19" s="563">
        <v>7605.02</v>
      </c>
    </row>
    <row r="20" spans="2:14" x14ac:dyDescent="0.25">
      <c r="B20" s="562" t="s">
        <v>867</v>
      </c>
      <c r="C20" s="563"/>
      <c r="D20" s="563"/>
      <c r="E20" s="563"/>
      <c r="F20" s="563"/>
      <c r="G20" s="563">
        <v>8549.7000000000007</v>
      </c>
      <c r="H20" s="563">
        <v>106606.99</v>
      </c>
      <c r="I20" s="563">
        <v>891.94</v>
      </c>
      <c r="J20" s="563">
        <v>11121.69</v>
      </c>
      <c r="K20" s="563">
        <v>8343.57</v>
      </c>
      <c r="L20" s="563">
        <v>173275.64</v>
      </c>
      <c r="M20" s="563">
        <v>870.44</v>
      </c>
      <c r="N20" s="563">
        <v>18076.849999999999</v>
      </c>
    </row>
    <row r="21" spans="2:14" x14ac:dyDescent="0.25">
      <c r="B21" s="562" t="s">
        <v>868</v>
      </c>
      <c r="C21" s="563"/>
      <c r="D21" s="563"/>
      <c r="E21" s="563"/>
      <c r="F21" s="563"/>
      <c r="G21" s="563">
        <v>17717.759999999998</v>
      </c>
      <c r="H21" s="563">
        <v>627482.73</v>
      </c>
      <c r="I21" s="563">
        <v>3105.41</v>
      </c>
      <c r="J21" s="563">
        <v>109979.49</v>
      </c>
      <c r="K21" s="563">
        <v>11162.73</v>
      </c>
      <c r="L21" s="563">
        <v>132590.15</v>
      </c>
      <c r="M21" s="563">
        <v>1956.5</v>
      </c>
      <c r="N21" s="563">
        <v>23239.200000000001</v>
      </c>
    </row>
    <row r="22" spans="2:14" x14ac:dyDescent="0.25">
      <c r="B22" s="562" t="s">
        <v>869</v>
      </c>
      <c r="C22" s="563"/>
      <c r="D22" s="563"/>
      <c r="E22" s="563"/>
      <c r="F22" s="563"/>
      <c r="G22" s="563">
        <v>36120.26</v>
      </c>
      <c r="H22" s="563">
        <v>1836741.45</v>
      </c>
      <c r="I22" s="563">
        <v>7613.66</v>
      </c>
      <c r="J22" s="563">
        <v>387160.33</v>
      </c>
      <c r="K22" s="563">
        <v>22021.81</v>
      </c>
      <c r="L22" s="563">
        <v>194101.3</v>
      </c>
      <c r="M22" s="563">
        <v>4641.8999999999996</v>
      </c>
      <c r="N22" s="563">
        <v>40913.94</v>
      </c>
    </row>
    <row r="23" spans="2:14" x14ac:dyDescent="0.25">
      <c r="B23" s="562" t="s">
        <v>870</v>
      </c>
      <c r="C23" s="563">
        <v>262023.93</v>
      </c>
      <c r="D23" s="563">
        <v>12110534.5</v>
      </c>
      <c r="E23" s="563">
        <v>61308.15</v>
      </c>
      <c r="F23" s="563">
        <v>2020071.63</v>
      </c>
      <c r="G23" s="563">
        <v>56598.64</v>
      </c>
      <c r="H23" s="563">
        <v>4484850.34</v>
      </c>
      <c r="I23" s="563">
        <v>27230.92</v>
      </c>
      <c r="J23" s="563">
        <v>2157765.9900000002</v>
      </c>
      <c r="K23" s="563"/>
      <c r="L23" s="563"/>
      <c r="M23" s="563"/>
      <c r="N23" s="563"/>
    </row>
    <row r="24" spans="2:14" x14ac:dyDescent="0.25">
      <c r="B24" s="562" t="s">
        <v>871</v>
      </c>
      <c r="C24" s="563">
        <v>226995.52</v>
      </c>
      <c r="D24" s="563">
        <v>8599706.5800000001</v>
      </c>
      <c r="E24" s="563">
        <v>53096.31</v>
      </c>
      <c r="F24" s="563">
        <v>1667557.89</v>
      </c>
      <c r="G24" s="563">
        <v>75300.800000000003</v>
      </c>
      <c r="H24" s="563">
        <v>5914993.4400000004</v>
      </c>
      <c r="I24" s="563">
        <v>37566.07</v>
      </c>
      <c r="J24" s="563">
        <v>2950872.68</v>
      </c>
      <c r="K24" s="563"/>
      <c r="L24" s="563"/>
      <c r="M24" s="563"/>
      <c r="N24" s="563"/>
    </row>
    <row r="25" spans="2:14" x14ac:dyDescent="0.25">
      <c r="B25" s="562" t="s">
        <v>872</v>
      </c>
      <c r="C25" s="563">
        <v>216161.75</v>
      </c>
      <c r="D25" s="563">
        <v>10689683.4</v>
      </c>
      <c r="E25" s="563">
        <v>21616.17</v>
      </c>
      <c r="F25" s="563">
        <v>1068968.3400000001</v>
      </c>
      <c r="G25" s="563">
        <v>66965.039999999994</v>
      </c>
      <c r="H25" s="563">
        <v>4940666.96</v>
      </c>
      <c r="I25" s="563">
        <v>19999.63</v>
      </c>
      <c r="J25" s="563">
        <v>1475568.79</v>
      </c>
      <c r="K25" s="563"/>
      <c r="L25" s="563"/>
      <c r="M25" s="563"/>
      <c r="N25" s="563"/>
    </row>
    <row r="26" spans="2:14" x14ac:dyDescent="0.25">
      <c r="B26" s="562" t="s">
        <v>873</v>
      </c>
      <c r="C26" s="563">
        <v>136041.91</v>
      </c>
      <c r="D26" s="563">
        <v>7552924.7800000003</v>
      </c>
      <c r="E26" s="563">
        <v>22310.87</v>
      </c>
      <c r="F26" s="563">
        <v>1238679.6599999999</v>
      </c>
      <c r="G26" s="563">
        <v>74111.67</v>
      </c>
      <c r="H26" s="563">
        <v>1827308.21</v>
      </c>
      <c r="I26" s="563">
        <v>21491.200000000001</v>
      </c>
      <c r="J26" s="563">
        <v>529890.16</v>
      </c>
      <c r="K26" s="563"/>
      <c r="L26" s="563"/>
      <c r="M26" s="563"/>
      <c r="N26" s="563"/>
    </row>
    <row r="27" spans="2:14" x14ac:dyDescent="0.25">
      <c r="B27" s="562" t="s">
        <v>874</v>
      </c>
      <c r="C27" s="563">
        <v>114412.74</v>
      </c>
      <c r="D27" s="563">
        <v>6272627.4400000004</v>
      </c>
      <c r="E27" s="563">
        <v>18763.689999999999</v>
      </c>
      <c r="F27" s="563">
        <v>1028710.9</v>
      </c>
      <c r="G27" s="563">
        <v>48883.31</v>
      </c>
      <c r="H27" s="563">
        <v>872959.75</v>
      </c>
      <c r="I27" s="563">
        <v>12747.5</v>
      </c>
      <c r="J27" s="563">
        <v>227645.28</v>
      </c>
      <c r="K27" s="563"/>
      <c r="L27" s="563"/>
      <c r="M27" s="563"/>
      <c r="N27" s="563"/>
    </row>
    <row r="28" spans="2:14" ht="15.75" thickBot="1" x14ac:dyDescent="0.3">
      <c r="B28" s="564" t="s">
        <v>875</v>
      </c>
      <c r="C28" s="565">
        <v>58264.71</v>
      </c>
      <c r="D28" s="565">
        <v>2114885.4700000002</v>
      </c>
      <c r="E28" s="565">
        <v>9555.41</v>
      </c>
      <c r="F28" s="565">
        <v>346841.22</v>
      </c>
      <c r="G28" s="565">
        <v>20328.82</v>
      </c>
      <c r="H28" s="565">
        <v>110776.71</v>
      </c>
      <c r="I28" s="565">
        <v>5035.7299999999996</v>
      </c>
      <c r="J28" s="565">
        <v>27440.95</v>
      </c>
      <c r="K28" s="565"/>
      <c r="L28" s="565"/>
      <c r="M28" s="565"/>
      <c r="N28" s="565"/>
    </row>
    <row r="29" spans="2:14" ht="15.75" thickBot="1" x14ac:dyDescent="0.3">
      <c r="B29" s="558" t="s">
        <v>325</v>
      </c>
      <c r="C29" s="559">
        <f t="shared" ref="C29:N29" si="2">+SUM(C17:C28)</f>
        <v>1013900.5599999999</v>
      </c>
      <c r="D29" s="559">
        <f>+SUM(D17:D28)</f>
        <v>47340362.169999994</v>
      </c>
      <c r="E29" s="559">
        <f t="shared" si="2"/>
        <v>186650.6</v>
      </c>
      <c r="F29" s="559">
        <f>+SUM(F17:F28)</f>
        <v>7370829.6399999997</v>
      </c>
      <c r="G29" s="559">
        <f t="shared" si="2"/>
        <v>423204.87999999995</v>
      </c>
      <c r="H29" s="559">
        <f t="shared" si="2"/>
        <v>21814300.900000002</v>
      </c>
      <c r="I29" s="559">
        <f t="shared" si="2"/>
        <v>142343.73000000001</v>
      </c>
      <c r="J29" s="559">
        <f t="shared" si="2"/>
        <v>8337342.3100000015</v>
      </c>
      <c r="K29" s="559">
        <f t="shared" si="2"/>
        <v>52912.81</v>
      </c>
      <c r="L29" s="559">
        <f t="shared" si="2"/>
        <v>607111.25</v>
      </c>
      <c r="M29" s="559">
        <f t="shared" si="2"/>
        <v>11071.69</v>
      </c>
      <c r="N29" s="559">
        <f t="shared" si="2"/>
        <v>113527.91</v>
      </c>
    </row>
    <row r="30" spans="2:14" x14ac:dyDescent="0.25">
      <c r="B30" s="183" t="s">
        <v>876</v>
      </c>
    </row>
    <row r="32" spans="2:14" x14ac:dyDescent="0.25">
      <c r="B32" s="182" t="s">
        <v>877</v>
      </c>
      <c r="C32" s="182">
        <v>40000</v>
      </c>
      <c r="D32" s="182" t="s">
        <v>878</v>
      </c>
    </row>
    <row r="33" spans="2:10" x14ac:dyDescent="0.25">
      <c r="G33" s="316"/>
    </row>
    <row r="34" spans="2:10" x14ac:dyDescent="0.25">
      <c r="B34" s="182" t="s">
        <v>879</v>
      </c>
      <c r="C34" s="797">
        <f>+PMT(5%,8,C32)</f>
        <v>-6188.872545107246</v>
      </c>
      <c r="D34" s="182" t="s">
        <v>880</v>
      </c>
    </row>
    <row r="36" spans="2:10" x14ac:dyDescent="0.25">
      <c r="B36" s="182" t="s">
        <v>881</v>
      </c>
    </row>
    <row r="37" spans="2:10" x14ac:dyDescent="0.25">
      <c r="B37" s="182" t="s">
        <v>882</v>
      </c>
      <c r="C37" s="182">
        <f>+C32/15</f>
        <v>2666.6666666666665</v>
      </c>
    </row>
    <row r="39" spans="2:10" x14ac:dyDescent="0.25">
      <c r="B39" s="182" t="s">
        <v>883</v>
      </c>
      <c r="C39" s="182">
        <v>2023</v>
      </c>
      <c r="D39" s="182">
        <v>2024</v>
      </c>
      <c r="E39" s="182">
        <v>2025</v>
      </c>
      <c r="F39" s="182">
        <v>2026</v>
      </c>
      <c r="G39" s="182">
        <v>2027</v>
      </c>
      <c r="H39" s="182">
        <v>2028</v>
      </c>
      <c r="I39" s="182">
        <v>2029</v>
      </c>
      <c r="J39" s="182">
        <v>2030</v>
      </c>
    </row>
    <row r="40" spans="2:10" x14ac:dyDescent="0.25">
      <c r="B40" s="631"/>
      <c r="C40" s="631">
        <f>I9</f>
        <v>-6188.872545107246</v>
      </c>
      <c r="D40" s="631">
        <f t="shared" ref="D40:J40" si="3">C40</f>
        <v>-6188.872545107246</v>
      </c>
      <c r="E40" s="631">
        <f t="shared" si="3"/>
        <v>-6188.872545107246</v>
      </c>
      <c r="F40" s="631">
        <f t="shared" si="3"/>
        <v>-6188.872545107246</v>
      </c>
      <c r="G40" s="631">
        <f t="shared" si="3"/>
        <v>-6188.872545107246</v>
      </c>
      <c r="H40" s="631">
        <f t="shared" si="3"/>
        <v>-6188.872545107246</v>
      </c>
      <c r="I40" s="631">
        <f t="shared" si="3"/>
        <v>-6188.872545107246</v>
      </c>
      <c r="J40" s="631">
        <f t="shared" si="3"/>
        <v>-6188.872545107246</v>
      </c>
    </row>
  </sheetData>
  <mergeCells count="11">
    <mergeCell ref="B8:D8"/>
    <mergeCell ref="B14:B16"/>
    <mergeCell ref="C14:F14"/>
    <mergeCell ref="G14:J14"/>
    <mergeCell ref="K14:N14"/>
    <mergeCell ref="C15:D15"/>
    <mergeCell ref="E15:F15"/>
    <mergeCell ref="G15:H15"/>
    <mergeCell ref="I15:J15"/>
    <mergeCell ref="K15:L15"/>
    <mergeCell ref="M15:N15"/>
  </mergeCells>
  <pageMargins left="0.70866141732283461" right="0.70866141732283461" top="0.74803149606299213" bottom="0.74803149606299213" header="0.31496062992125984" footer="0.31496062992125984"/>
  <pageSetup scale="69" fitToHeight="0" orientation="landscape" verticalDpi="597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-0.249977111117893"/>
    <pageSetUpPr fitToPage="1"/>
  </sheetPr>
  <dimension ref="B1:U46"/>
  <sheetViews>
    <sheetView showGridLines="0" topLeftCell="A6" zoomScale="80" zoomScaleNormal="80" workbookViewId="0">
      <selection activeCell="P30" sqref="P30"/>
    </sheetView>
  </sheetViews>
  <sheetFormatPr baseColWidth="10" defaultColWidth="11.42578125" defaultRowHeight="15" outlineLevelCol="1" x14ac:dyDescent="0.25"/>
  <cols>
    <col min="1" max="1" width="3.140625" customWidth="1"/>
    <col min="2" max="2" width="13.7109375" customWidth="1"/>
    <col min="3" max="3" width="16.5703125" customWidth="1"/>
    <col min="4" max="4" width="17.85546875" customWidth="1"/>
    <col min="5" max="5" width="16.7109375" customWidth="1" outlineLevel="1"/>
    <col min="6" max="6" width="19.140625" customWidth="1"/>
    <col min="7" max="7" width="13.7109375" customWidth="1" outlineLevel="1"/>
    <col min="8" max="8" width="16.42578125" customWidth="1"/>
    <col min="9" max="9" width="15.7109375" customWidth="1"/>
    <col min="10" max="11" width="15.42578125" customWidth="1"/>
    <col min="12" max="12" width="22.85546875" customWidth="1"/>
    <col min="13" max="13" width="15.28515625" customWidth="1"/>
    <col min="14" max="14" width="15.7109375" customWidth="1"/>
    <col min="16" max="16" width="40.85546875" customWidth="1"/>
  </cols>
  <sheetData>
    <row r="1" spans="2:19" s="37" customFormat="1" ht="12.75" hidden="1" x14ac:dyDescent="0.2">
      <c r="G1" s="38"/>
      <c r="H1" s="38"/>
    </row>
    <row r="2" spans="2:19" s="37" customFormat="1" ht="12.75" hidden="1" x14ac:dyDescent="0.2">
      <c r="G2" s="38"/>
      <c r="H2" s="38"/>
    </row>
    <row r="3" spans="2:19" s="37" customFormat="1" ht="12.75" hidden="1" x14ac:dyDescent="0.2">
      <c r="G3" s="38"/>
      <c r="H3" s="38"/>
    </row>
    <row r="4" spans="2:19" s="37" customFormat="1" ht="12.75" hidden="1" x14ac:dyDescent="0.2">
      <c r="G4" s="38"/>
      <c r="H4" s="38"/>
    </row>
    <row r="5" spans="2:19" s="37" customFormat="1" ht="12.75" hidden="1" x14ac:dyDescent="0.2">
      <c r="G5" s="38"/>
      <c r="H5" s="38"/>
    </row>
    <row r="6" spans="2:19" s="37" customFormat="1" ht="12.75" x14ac:dyDescent="0.2">
      <c r="G6" s="38"/>
      <c r="H6" s="38"/>
    </row>
    <row r="7" spans="2:19" s="456" customFormat="1" ht="12.75" x14ac:dyDescent="0.2">
      <c r="B7" s="455" t="s">
        <v>884</v>
      </c>
    </row>
    <row r="8" spans="2:19" x14ac:dyDescent="0.25">
      <c r="B8" s="712" t="s">
        <v>885</v>
      </c>
    </row>
    <row r="9" spans="2:19" s="288" customFormat="1" x14ac:dyDescent="0.25"/>
    <row r="10" spans="2:19" ht="18.75" x14ac:dyDescent="0.3">
      <c r="B10" s="299" t="s">
        <v>886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</row>
    <row r="11" spans="2:19" ht="18.75" x14ac:dyDescent="0.25">
      <c r="B11" s="300" t="s">
        <v>887</v>
      </c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</row>
    <row r="12" spans="2:19" ht="15.75" thickBot="1" x14ac:dyDescent="0.3">
      <c r="K12" s="292"/>
    </row>
    <row r="13" spans="2:19" ht="15.75" customHeight="1" thickBot="1" x14ac:dyDescent="0.3">
      <c r="B13" s="1583" t="s">
        <v>888</v>
      </c>
      <c r="C13" s="1583" t="s">
        <v>889</v>
      </c>
      <c r="D13" s="1624" t="s">
        <v>890</v>
      </c>
      <c r="E13" s="1625"/>
      <c r="F13" s="1625"/>
      <c r="G13" s="1625"/>
      <c r="H13" s="1625"/>
      <c r="I13" s="1625"/>
      <c r="J13" s="1626"/>
      <c r="K13" s="1584" t="s">
        <v>891</v>
      </c>
      <c r="L13" s="292"/>
      <c r="M13" s="1584" t="s">
        <v>892</v>
      </c>
      <c r="N13" s="1584" t="s">
        <v>893</v>
      </c>
      <c r="P13" s="537" t="s">
        <v>894</v>
      </c>
      <c r="Q13" s="538" t="s">
        <v>895</v>
      </c>
      <c r="R13" s="538" t="s">
        <v>896</v>
      </c>
      <c r="S13" s="538" t="s">
        <v>28</v>
      </c>
    </row>
    <row r="14" spans="2:19" ht="45.75" thickBot="1" x14ac:dyDescent="0.3">
      <c r="B14" s="1583"/>
      <c r="C14" s="1583"/>
      <c r="D14" s="524" t="s">
        <v>897</v>
      </c>
      <c r="E14" s="524" t="s">
        <v>898</v>
      </c>
      <c r="F14" s="524" t="s">
        <v>899</v>
      </c>
      <c r="G14" s="524" t="s">
        <v>900</v>
      </c>
      <c r="H14" s="524" t="s">
        <v>901</v>
      </c>
      <c r="I14" s="524" t="s">
        <v>902</v>
      </c>
      <c r="J14" s="524" t="s">
        <v>903</v>
      </c>
      <c r="K14" s="1584"/>
      <c r="L14" s="292"/>
      <c r="M14" s="1584"/>
      <c r="N14" s="1584"/>
      <c r="P14" s="539" t="s">
        <v>904</v>
      </c>
      <c r="Q14" s="540">
        <v>44.11</v>
      </c>
      <c r="R14" s="540">
        <v>3.09</v>
      </c>
      <c r="S14" s="540">
        <v>47.2</v>
      </c>
    </row>
    <row r="15" spans="2:19" x14ac:dyDescent="0.25">
      <c r="B15" s="522" t="s">
        <v>905</v>
      </c>
      <c r="C15" s="522">
        <v>110</v>
      </c>
      <c r="D15" s="523">
        <v>47.56</v>
      </c>
      <c r="E15" s="523">
        <v>8.1</v>
      </c>
      <c r="F15" s="523">
        <v>4.78</v>
      </c>
      <c r="G15" s="523"/>
      <c r="H15" s="523"/>
      <c r="I15" s="523">
        <f>SUM(D15:H15)</f>
        <v>60.440000000000005</v>
      </c>
      <c r="J15" s="523">
        <f>I15*(1.07)</f>
        <v>64.670800000000014</v>
      </c>
      <c r="K15" s="523">
        <f>J15*0.16</f>
        <v>10.347328000000003</v>
      </c>
      <c r="L15" s="292"/>
      <c r="M15" s="294">
        <v>8.1199999999999992</v>
      </c>
      <c r="N15" s="294">
        <f>(7.726)-M15</f>
        <v>-0.39399999999999924</v>
      </c>
      <c r="P15" s="541" t="s">
        <v>906</v>
      </c>
      <c r="Q15" s="542">
        <v>6.27</v>
      </c>
      <c r="R15" s="542">
        <v>0.44</v>
      </c>
      <c r="S15" s="542">
        <v>6.71</v>
      </c>
    </row>
    <row r="16" spans="2:19" x14ac:dyDescent="0.25">
      <c r="B16" s="293" t="s">
        <v>907</v>
      </c>
      <c r="C16" s="293">
        <v>143</v>
      </c>
      <c r="D16" s="294">
        <v>61.82</v>
      </c>
      <c r="E16" s="294"/>
      <c r="F16" s="294">
        <v>4.78</v>
      </c>
      <c r="G16" s="294">
        <v>5.29</v>
      </c>
      <c r="H16" s="294"/>
      <c r="I16" s="294">
        <f t="shared" ref="I16:I17" si="0">SUM(D16:H16)</f>
        <v>71.89</v>
      </c>
      <c r="J16" s="294">
        <f t="shared" ref="J16:J17" si="1">I16*(1.07)</f>
        <v>76.922300000000007</v>
      </c>
      <c r="K16" s="294">
        <f t="shared" ref="K16:K17" si="2">J16*0.16</f>
        <v>12.307568000000002</v>
      </c>
      <c r="L16" s="292"/>
      <c r="M16" s="294">
        <v>6.74</v>
      </c>
      <c r="N16" s="294">
        <f>(45.724)-M16</f>
        <v>38.983999999999995</v>
      </c>
      <c r="P16" s="541" t="s">
        <v>826</v>
      </c>
      <c r="Q16" s="542">
        <v>17.37</v>
      </c>
      <c r="R16" s="542">
        <v>1.21</v>
      </c>
      <c r="S16" s="542">
        <v>18.579999999999998</v>
      </c>
    </row>
    <row r="17" spans="2:21" ht="15.75" thickBot="1" x14ac:dyDescent="0.3">
      <c r="B17" s="525" t="s">
        <v>908</v>
      </c>
      <c r="C17" s="525">
        <v>44</v>
      </c>
      <c r="D17" s="526">
        <v>19.02</v>
      </c>
      <c r="E17" s="526"/>
      <c r="F17" s="526"/>
      <c r="G17" s="526">
        <v>5.29</v>
      </c>
      <c r="H17" s="526">
        <v>4.5</v>
      </c>
      <c r="I17" s="526">
        <f t="shared" si="0"/>
        <v>28.81</v>
      </c>
      <c r="J17" s="526">
        <f t="shared" si="1"/>
        <v>30.826699999999999</v>
      </c>
      <c r="K17" s="526">
        <f t="shared" si="2"/>
        <v>4.9322720000000002</v>
      </c>
      <c r="L17" s="292"/>
      <c r="M17" s="294">
        <v>2.5099999999999998</v>
      </c>
      <c r="N17" s="294">
        <f>(6.683)-M17</f>
        <v>4.173</v>
      </c>
      <c r="P17" s="541" t="s">
        <v>909</v>
      </c>
      <c r="Q17" s="542">
        <v>128.38999999999999</v>
      </c>
      <c r="R17" s="542">
        <v>8.99</v>
      </c>
      <c r="S17" s="542">
        <v>137.38</v>
      </c>
    </row>
    <row r="18" spans="2:21" ht="15.75" thickBot="1" x14ac:dyDescent="0.3">
      <c r="B18" s="527" t="s">
        <v>325</v>
      </c>
      <c r="C18" s="527">
        <f>SUM(C15:C17)</f>
        <v>297</v>
      </c>
      <c r="D18" s="528">
        <f t="shared" ref="D18:G18" si="3">SUM(D15:D17)</f>
        <v>128.4</v>
      </c>
      <c r="E18" s="528">
        <f t="shared" si="3"/>
        <v>8.1</v>
      </c>
      <c r="F18" s="528">
        <f t="shared" si="3"/>
        <v>9.56</v>
      </c>
      <c r="G18" s="528">
        <f t="shared" si="3"/>
        <v>10.58</v>
      </c>
      <c r="H18" s="528">
        <f>SUM(H15:H17)</f>
        <v>4.5</v>
      </c>
      <c r="I18" s="528">
        <f>SUM(I15:I17)</f>
        <v>161.14000000000001</v>
      </c>
      <c r="J18" s="528">
        <f>SUM(J15:J17)</f>
        <v>172.41980000000001</v>
      </c>
      <c r="K18" s="528">
        <f>SUM(K15:K17)</f>
        <v>27.587168000000005</v>
      </c>
      <c r="L18" s="292"/>
      <c r="M18" s="536">
        <f t="shared" ref="M18" si="4">SUM(M15:M17)</f>
        <v>17.369999999999997</v>
      </c>
      <c r="N18" s="536">
        <f>SUM(N15:N17)</f>
        <v>42.762999999999998</v>
      </c>
      <c r="P18" s="541" t="s">
        <v>910</v>
      </c>
      <c r="Q18" s="542">
        <v>8.1</v>
      </c>
      <c r="R18" s="542">
        <v>0.56999999999999995</v>
      </c>
      <c r="S18" s="542">
        <v>8.67</v>
      </c>
    </row>
    <row r="19" spans="2:21" x14ac:dyDescent="0.25">
      <c r="J19" s="295"/>
      <c r="K19" s="292"/>
      <c r="M19" s="295"/>
      <c r="P19" s="541" t="s">
        <v>911</v>
      </c>
      <c r="Q19" s="542">
        <v>9.56</v>
      </c>
      <c r="R19" s="542">
        <v>0.67</v>
      </c>
      <c r="S19" s="542">
        <v>10.23</v>
      </c>
    </row>
    <row r="20" spans="2:21" ht="15.75" thickBot="1" x14ac:dyDescent="0.3">
      <c r="J20" s="295"/>
      <c r="K20" s="292"/>
      <c r="M20" s="295"/>
      <c r="P20" s="541" t="s">
        <v>912</v>
      </c>
      <c r="Q20" s="542">
        <v>10.58</v>
      </c>
      <c r="R20" s="542">
        <v>0.74</v>
      </c>
      <c r="S20" s="542">
        <v>11.32</v>
      </c>
    </row>
    <row r="21" spans="2:21" ht="64.5" customHeight="1" thickBot="1" x14ac:dyDescent="0.3">
      <c r="B21" s="469" t="s">
        <v>888</v>
      </c>
      <c r="C21" s="470" t="s">
        <v>913</v>
      </c>
      <c r="D21" s="470" t="s">
        <v>914</v>
      </c>
      <c r="E21" s="470" t="s">
        <v>896</v>
      </c>
      <c r="F21" s="470" t="s">
        <v>915</v>
      </c>
      <c r="G21" s="470" t="str">
        <f>+E21</f>
        <v>ITBMS</v>
      </c>
      <c r="H21" s="470" t="s">
        <v>916</v>
      </c>
      <c r="I21" s="470" t="s">
        <v>917</v>
      </c>
      <c r="J21" s="470" t="str">
        <f>+N13</f>
        <v>Servidumbre ETESA</v>
      </c>
      <c r="K21" s="470" t="s">
        <v>918</v>
      </c>
      <c r="L21" s="470" t="s">
        <v>919</v>
      </c>
      <c r="P21" s="543" t="s">
        <v>920</v>
      </c>
      <c r="Q21" s="544">
        <v>4.5</v>
      </c>
      <c r="R21" s="544">
        <v>0.31</v>
      </c>
      <c r="S21" s="544">
        <v>4.8099999999999996</v>
      </c>
      <c r="U21" s="803"/>
    </row>
    <row r="22" spans="2:21" ht="15.75" thickBot="1" x14ac:dyDescent="0.3">
      <c r="B22" s="522" t="s">
        <v>905</v>
      </c>
      <c r="C22" s="529">
        <v>42758</v>
      </c>
      <c r="D22" s="530">
        <f>103.08-F22</f>
        <v>88.31</v>
      </c>
      <c r="E22" s="530">
        <f>+D22*0.07</f>
        <v>6.1817000000000011</v>
      </c>
      <c r="F22" s="523">
        <f>37.83-23.06</f>
        <v>14.77</v>
      </c>
      <c r="G22" s="530">
        <f>F22*0.07</f>
        <v>1.0339</v>
      </c>
      <c r="H22" s="530">
        <f>SUM(D22:G22)</f>
        <v>110.29560000000001</v>
      </c>
      <c r="I22" s="530">
        <f>+K15</f>
        <v>10.347328000000003</v>
      </c>
      <c r="J22" s="530">
        <f>+N15</f>
        <v>-0.39399999999999924</v>
      </c>
      <c r="K22" s="530">
        <f>SUM(H22:J22)</f>
        <v>120.24892800000001</v>
      </c>
      <c r="L22" s="531">
        <v>1</v>
      </c>
      <c r="P22" s="536" t="s">
        <v>921</v>
      </c>
      <c r="Q22" s="536">
        <f>+SUM(Q14:Q21)</f>
        <v>228.88</v>
      </c>
      <c r="R22" s="536">
        <f>+SUM(R14:R21)</f>
        <v>16.02</v>
      </c>
      <c r="S22" s="536">
        <f>+SUM(S14:S21)</f>
        <v>244.89999999999998</v>
      </c>
    </row>
    <row r="23" spans="2:21" x14ac:dyDescent="0.25">
      <c r="B23" s="293" t="s">
        <v>907</v>
      </c>
      <c r="C23" s="297">
        <v>43009</v>
      </c>
      <c r="D23" s="296">
        <f>99.56-F23</f>
        <v>85.42</v>
      </c>
      <c r="E23" s="296">
        <f t="shared" ref="E23:E24" si="5">+D23*0.07</f>
        <v>5.9794000000000009</v>
      </c>
      <c r="F23" s="294">
        <v>14.14</v>
      </c>
      <c r="G23" s="296">
        <f t="shared" ref="G23:G24" si="6">F23*0.07</f>
        <v>0.98980000000000012</v>
      </c>
      <c r="H23" s="296">
        <f t="shared" ref="H23:H24" si="7">SUM(D23:G23)</f>
        <v>106.5292</v>
      </c>
      <c r="I23" s="296">
        <f>+K16</f>
        <v>12.307568000000002</v>
      </c>
      <c r="J23" s="296">
        <f>+N16</f>
        <v>38.983999999999995</v>
      </c>
      <c r="K23" s="296">
        <f>SUM(H23:J23)</f>
        <v>157.82076799999999</v>
      </c>
      <c r="L23" s="298">
        <v>1</v>
      </c>
      <c r="P23" s="539" t="s">
        <v>922</v>
      </c>
      <c r="Q23" s="540">
        <v>37.83</v>
      </c>
      <c r="R23" s="540">
        <v>2.65</v>
      </c>
      <c r="S23" s="540">
        <v>40.479999999999997</v>
      </c>
    </row>
    <row r="24" spans="2:21" ht="15.75" thickBot="1" x14ac:dyDescent="0.3">
      <c r="B24" s="525" t="s">
        <v>908</v>
      </c>
      <c r="C24" s="532">
        <v>42984</v>
      </c>
      <c r="D24" s="533">
        <f>64.06-F24</f>
        <v>55.14</v>
      </c>
      <c r="E24" s="533">
        <f t="shared" si="5"/>
        <v>3.8598000000000003</v>
      </c>
      <c r="F24" s="526">
        <f>23.06-F23</f>
        <v>8.9199999999999982</v>
      </c>
      <c r="G24" s="533">
        <f t="shared" si="6"/>
        <v>0.62439999999999996</v>
      </c>
      <c r="H24" s="533">
        <f t="shared" si="7"/>
        <v>68.544199999999989</v>
      </c>
      <c r="I24" s="533">
        <f>+K17</f>
        <v>4.9322720000000002</v>
      </c>
      <c r="J24" s="533">
        <f>+N17</f>
        <v>4.173</v>
      </c>
      <c r="K24" s="533">
        <f>SUM(H24:J24)</f>
        <v>77.649471999999989</v>
      </c>
      <c r="L24" s="534">
        <v>1</v>
      </c>
      <c r="P24" s="541" t="s">
        <v>923</v>
      </c>
      <c r="Q24" s="542">
        <v>42.76</v>
      </c>
      <c r="R24" s="545"/>
      <c r="S24" s="542">
        <v>42.8</v>
      </c>
    </row>
    <row r="25" spans="2:21" ht="15.75" thickBot="1" x14ac:dyDescent="0.3">
      <c r="B25" s="535" t="s">
        <v>325</v>
      </c>
      <c r="C25" s="535"/>
      <c r="D25" s="536">
        <f>SUM(D22:D24)</f>
        <v>228.87</v>
      </c>
      <c r="E25" s="536">
        <f t="shared" ref="E25:H25" si="8">SUM(E22:E24)</f>
        <v>16.020900000000001</v>
      </c>
      <c r="F25" s="536">
        <f>SUM(F22:F24)</f>
        <v>37.83</v>
      </c>
      <c r="G25" s="536">
        <f t="shared" si="8"/>
        <v>2.6481000000000003</v>
      </c>
      <c r="H25" s="536">
        <f t="shared" si="8"/>
        <v>285.36900000000003</v>
      </c>
      <c r="I25" s="536">
        <f>SUM(I22:I24)</f>
        <v>27.587168000000005</v>
      </c>
      <c r="J25" s="536">
        <f>SUM(J22:J24)</f>
        <v>42.762999999999998</v>
      </c>
      <c r="K25" s="536">
        <f>SUM(K22:K24)</f>
        <v>355.71916800000002</v>
      </c>
      <c r="L25" s="536">
        <f>+SUMPRODUCT(K22:K24,L22:L24)</f>
        <v>355.71916800000002</v>
      </c>
      <c r="P25" s="543" t="s">
        <v>924</v>
      </c>
      <c r="Q25" s="544">
        <f>K18</f>
        <v>27.587168000000005</v>
      </c>
      <c r="R25" s="546"/>
      <c r="S25" s="544">
        <f>Q25</f>
        <v>27.587168000000005</v>
      </c>
    </row>
    <row r="26" spans="2:21" ht="15.75" thickBot="1" x14ac:dyDescent="0.3">
      <c r="P26" s="536" t="s">
        <v>28</v>
      </c>
      <c r="Q26" s="536">
        <f>+SUM(Q22:Q25)</f>
        <v>337.05716799999999</v>
      </c>
      <c r="R26" s="536">
        <f>+SUM(R22:R25)</f>
        <v>18.669999999999998</v>
      </c>
      <c r="S26" s="536">
        <f>+SUM(S22:S25)</f>
        <v>355.76716800000003</v>
      </c>
    </row>
    <row r="27" spans="2:21" x14ac:dyDescent="0.25">
      <c r="L27" s="106"/>
    </row>
    <row r="28" spans="2:21" x14ac:dyDescent="0.25">
      <c r="B28" s="110" t="s">
        <v>925</v>
      </c>
      <c r="S28" s="803"/>
    </row>
    <row r="29" spans="2:21" ht="15.75" thickBot="1" x14ac:dyDescent="0.3"/>
    <row r="30" spans="2:21" ht="30.75" thickBot="1" x14ac:dyDescent="0.3">
      <c r="B30" s="614" t="s">
        <v>563</v>
      </c>
      <c r="C30" s="615" t="s">
        <v>564</v>
      </c>
      <c r="D30" s="615" t="s">
        <v>565</v>
      </c>
      <c r="E30" s="616" t="s">
        <v>566</v>
      </c>
      <c r="M30" s="295"/>
    </row>
    <row r="31" spans="2:21" ht="60.75" thickBot="1" x14ac:dyDescent="0.3">
      <c r="B31" s="617" t="s">
        <v>609</v>
      </c>
      <c r="C31" s="618" t="s">
        <v>926</v>
      </c>
      <c r="D31" s="619">
        <v>2019</v>
      </c>
      <c r="E31" s="627">
        <v>5417</v>
      </c>
    </row>
    <row r="32" spans="2:21" ht="30.75" thickBot="1" x14ac:dyDescent="0.3">
      <c r="B32" s="620" t="s">
        <v>685</v>
      </c>
      <c r="C32" s="621" t="s">
        <v>686</v>
      </c>
      <c r="D32" s="622">
        <v>2017</v>
      </c>
      <c r="E32" s="628">
        <v>12519883.529999999</v>
      </c>
    </row>
    <row r="33" spans="2:5" ht="45.75" thickBot="1" x14ac:dyDescent="0.3">
      <c r="B33" s="623" t="s">
        <v>625</v>
      </c>
      <c r="C33" s="624" t="s">
        <v>626</v>
      </c>
      <c r="D33" s="622">
        <v>2017</v>
      </c>
      <c r="E33" s="628">
        <v>82282045.430000007</v>
      </c>
    </row>
    <row r="34" spans="2:5" ht="30.75" thickBot="1" x14ac:dyDescent="0.3">
      <c r="B34" s="617" t="s">
        <v>694</v>
      </c>
      <c r="C34" s="618" t="s">
        <v>723</v>
      </c>
      <c r="D34" s="619">
        <v>2018</v>
      </c>
      <c r="E34" s="627">
        <v>39893878.880000003</v>
      </c>
    </row>
    <row r="35" spans="2:5" ht="60.75" customHeight="1" thickBot="1" x14ac:dyDescent="0.3">
      <c r="B35" s="617" t="s">
        <v>576</v>
      </c>
      <c r="C35" s="618" t="s">
        <v>577</v>
      </c>
      <c r="D35" s="619">
        <v>2018</v>
      </c>
      <c r="E35" s="627">
        <v>104466323.8</v>
      </c>
    </row>
    <row r="36" spans="2:5" ht="30.75" thickBot="1" x14ac:dyDescent="0.3">
      <c r="B36" s="625" t="s">
        <v>689</v>
      </c>
      <c r="C36" s="626" t="s">
        <v>690</v>
      </c>
      <c r="D36" s="619">
        <v>2017</v>
      </c>
      <c r="E36" s="627">
        <v>11331258.189999999</v>
      </c>
    </row>
    <row r="37" spans="2:5" ht="45.75" thickBot="1" x14ac:dyDescent="0.3">
      <c r="B37" s="625" t="s">
        <v>593</v>
      </c>
      <c r="C37" s="618" t="s">
        <v>594</v>
      </c>
      <c r="D37" s="619">
        <v>2017</v>
      </c>
      <c r="E37" s="627">
        <v>40431847.539999999</v>
      </c>
    </row>
    <row r="38" spans="2:5" ht="45.75" thickBot="1" x14ac:dyDescent="0.3">
      <c r="B38" s="620" t="s">
        <v>724</v>
      </c>
      <c r="C38" s="621" t="s">
        <v>782</v>
      </c>
      <c r="D38" s="622">
        <v>2017</v>
      </c>
      <c r="E38" s="628">
        <v>287366.82</v>
      </c>
    </row>
    <row r="39" spans="2:5" ht="45.75" thickBot="1" x14ac:dyDescent="0.3">
      <c r="B39" s="623" t="s">
        <v>600</v>
      </c>
      <c r="C39" s="624" t="s">
        <v>783</v>
      </c>
      <c r="D39" s="622">
        <v>2017</v>
      </c>
      <c r="E39" s="628">
        <v>12906180.119999999</v>
      </c>
    </row>
    <row r="40" spans="2:5" ht="30.75" thickBot="1" x14ac:dyDescent="0.3">
      <c r="B40" s="625" t="s">
        <v>727</v>
      </c>
      <c r="C40" s="626" t="s">
        <v>784</v>
      </c>
      <c r="D40" s="619">
        <v>2017</v>
      </c>
      <c r="E40" s="627">
        <v>390144.58</v>
      </c>
    </row>
    <row r="41" spans="2:5" ht="45.75" thickBot="1" x14ac:dyDescent="0.3">
      <c r="B41" s="617" t="s">
        <v>609</v>
      </c>
      <c r="C41" s="618" t="s">
        <v>785</v>
      </c>
      <c r="D41" s="619">
        <v>2017</v>
      </c>
      <c r="E41" s="627">
        <v>14716178.99</v>
      </c>
    </row>
    <row r="42" spans="2:5" ht="45.75" thickBot="1" x14ac:dyDescent="0.3">
      <c r="B42" s="625" t="s">
        <v>730</v>
      </c>
      <c r="C42" s="626" t="s">
        <v>786</v>
      </c>
      <c r="D42" s="619">
        <v>2017</v>
      </c>
      <c r="E42" s="627">
        <v>348683.62</v>
      </c>
    </row>
    <row r="43" spans="2:5" ht="45.75" thickBot="1" x14ac:dyDescent="0.3">
      <c r="B43" s="617" t="s">
        <v>617</v>
      </c>
      <c r="C43" s="618" t="s">
        <v>787</v>
      </c>
      <c r="D43" s="619">
        <v>2017</v>
      </c>
      <c r="E43" s="627">
        <v>15208248.15</v>
      </c>
    </row>
    <row r="44" spans="2:5" ht="45.75" thickBot="1" x14ac:dyDescent="0.3">
      <c r="B44" s="625" t="s">
        <v>733</v>
      </c>
      <c r="C44" s="626" t="s">
        <v>788</v>
      </c>
      <c r="D44" s="619">
        <v>2017</v>
      </c>
      <c r="E44" s="627">
        <v>255328.53</v>
      </c>
    </row>
    <row r="45" spans="2:5" ht="45.75" customHeight="1" thickBot="1" x14ac:dyDescent="0.3">
      <c r="B45" s="617" t="s">
        <v>585</v>
      </c>
      <c r="C45" s="618" t="s">
        <v>586</v>
      </c>
      <c r="D45" s="619">
        <v>2017</v>
      </c>
      <c r="E45" s="629">
        <v>6310875.7699999996</v>
      </c>
    </row>
    <row r="46" spans="2:5" ht="15.75" thickBot="1" x14ac:dyDescent="0.3">
      <c r="D46" t="s">
        <v>28</v>
      </c>
      <c r="E46" s="630">
        <f>+SUM(E31:E45)</f>
        <v>341353660.94999993</v>
      </c>
    </row>
  </sheetData>
  <mergeCells count="6">
    <mergeCell ref="N13:N14"/>
    <mergeCell ref="B13:B14"/>
    <mergeCell ref="C13:C14"/>
    <mergeCell ref="K13:K14"/>
    <mergeCell ref="M13:M14"/>
    <mergeCell ref="D13:J13"/>
  </mergeCells>
  <pageMargins left="0.7" right="0.7" top="0.75" bottom="0.75" header="0.3" footer="0.3"/>
  <pageSetup paperSize="5" scale="5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0">
    <tabColor theme="8" tint="0.59999389629810485"/>
  </sheetPr>
  <dimension ref="A1:L270"/>
  <sheetViews>
    <sheetView showGridLines="0" topLeftCell="A262" zoomScaleNormal="100" workbookViewId="0">
      <selection activeCell="F240" sqref="F240"/>
    </sheetView>
  </sheetViews>
  <sheetFormatPr baseColWidth="10" defaultColWidth="11.42578125" defaultRowHeight="12.75" outlineLevelRow="1" x14ac:dyDescent="0.2"/>
  <cols>
    <col min="1" max="1" width="3.140625" style="37" customWidth="1"/>
    <col min="2" max="2" width="2.5703125" style="37" customWidth="1"/>
    <col min="3" max="3" width="51" style="37" customWidth="1"/>
    <col min="4" max="4" width="17.28515625" style="37" customWidth="1"/>
    <col min="5" max="5" width="17.5703125" style="37" customWidth="1"/>
    <col min="6" max="6" width="15.42578125" style="37" customWidth="1"/>
    <col min="7" max="7" width="16.85546875" style="38" customWidth="1"/>
    <col min="8" max="8" width="40" style="38" customWidth="1"/>
    <col min="9" max="9" width="21.7109375" style="37" customWidth="1"/>
    <col min="10" max="10" width="15.42578125" style="37" bestFit="1" customWidth="1"/>
    <col min="11" max="11" width="12.7109375" style="37" bestFit="1" customWidth="1"/>
    <col min="12" max="12" width="17.28515625" style="37" bestFit="1" customWidth="1"/>
    <col min="13" max="250" width="11.42578125" style="37"/>
    <col min="251" max="251" width="4" style="37" customWidth="1"/>
    <col min="252" max="252" width="5" style="37" customWidth="1"/>
    <col min="253" max="253" width="50.5703125" style="37" customWidth="1"/>
    <col min="254" max="256" width="22.7109375" style="37" customWidth="1"/>
    <col min="257" max="257" width="18.85546875" style="37" customWidth="1"/>
    <col min="258" max="506" width="11.42578125" style="37"/>
    <col min="507" max="507" width="4" style="37" customWidth="1"/>
    <col min="508" max="508" width="5" style="37" customWidth="1"/>
    <col min="509" max="509" width="50.5703125" style="37" customWidth="1"/>
    <col min="510" max="512" width="22.7109375" style="37" customWidth="1"/>
    <col min="513" max="513" width="18.85546875" style="37" customWidth="1"/>
    <col min="514" max="762" width="11.42578125" style="37"/>
    <col min="763" max="763" width="4" style="37" customWidth="1"/>
    <col min="764" max="764" width="5" style="37" customWidth="1"/>
    <col min="765" max="765" width="50.5703125" style="37" customWidth="1"/>
    <col min="766" max="768" width="22.7109375" style="37" customWidth="1"/>
    <col min="769" max="769" width="18.85546875" style="37" customWidth="1"/>
    <col min="770" max="1018" width="11.42578125" style="37"/>
    <col min="1019" max="1019" width="4" style="37" customWidth="1"/>
    <col min="1020" max="1020" width="5" style="37" customWidth="1"/>
    <col min="1021" max="1021" width="50.5703125" style="37" customWidth="1"/>
    <col min="1022" max="1024" width="22.7109375" style="37" customWidth="1"/>
    <col min="1025" max="1025" width="18.85546875" style="37" customWidth="1"/>
    <col min="1026" max="1274" width="11.42578125" style="37"/>
    <col min="1275" max="1275" width="4" style="37" customWidth="1"/>
    <col min="1276" max="1276" width="5" style="37" customWidth="1"/>
    <col min="1277" max="1277" width="50.5703125" style="37" customWidth="1"/>
    <col min="1278" max="1280" width="22.7109375" style="37" customWidth="1"/>
    <col min="1281" max="1281" width="18.85546875" style="37" customWidth="1"/>
    <col min="1282" max="1530" width="11.42578125" style="37"/>
    <col min="1531" max="1531" width="4" style="37" customWidth="1"/>
    <col min="1532" max="1532" width="5" style="37" customWidth="1"/>
    <col min="1533" max="1533" width="50.5703125" style="37" customWidth="1"/>
    <col min="1534" max="1536" width="22.7109375" style="37" customWidth="1"/>
    <col min="1537" max="1537" width="18.85546875" style="37" customWidth="1"/>
    <col min="1538" max="1786" width="11.42578125" style="37"/>
    <col min="1787" max="1787" width="4" style="37" customWidth="1"/>
    <col min="1788" max="1788" width="5" style="37" customWidth="1"/>
    <col min="1789" max="1789" width="50.5703125" style="37" customWidth="1"/>
    <col min="1790" max="1792" width="22.7109375" style="37" customWidth="1"/>
    <col min="1793" max="1793" width="18.85546875" style="37" customWidth="1"/>
    <col min="1794" max="2042" width="11.42578125" style="37"/>
    <col min="2043" max="2043" width="4" style="37" customWidth="1"/>
    <col min="2044" max="2044" width="5" style="37" customWidth="1"/>
    <col min="2045" max="2045" width="50.5703125" style="37" customWidth="1"/>
    <col min="2046" max="2048" width="22.7109375" style="37" customWidth="1"/>
    <col min="2049" max="2049" width="18.85546875" style="37" customWidth="1"/>
    <col min="2050" max="2298" width="11.42578125" style="37"/>
    <col min="2299" max="2299" width="4" style="37" customWidth="1"/>
    <col min="2300" max="2300" width="5" style="37" customWidth="1"/>
    <col min="2301" max="2301" width="50.5703125" style="37" customWidth="1"/>
    <col min="2302" max="2304" width="22.7109375" style="37" customWidth="1"/>
    <col min="2305" max="2305" width="18.85546875" style="37" customWidth="1"/>
    <col min="2306" max="2554" width="11.42578125" style="37"/>
    <col min="2555" max="2555" width="4" style="37" customWidth="1"/>
    <col min="2556" max="2556" width="5" style="37" customWidth="1"/>
    <col min="2557" max="2557" width="50.5703125" style="37" customWidth="1"/>
    <col min="2558" max="2560" width="22.7109375" style="37" customWidth="1"/>
    <col min="2561" max="2561" width="18.85546875" style="37" customWidth="1"/>
    <col min="2562" max="2810" width="11.42578125" style="37"/>
    <col min="2811" max="2811" width="4" style="37" customWidth="1"/>
    <col min="2812" max="2812" width="5" style="37" customWidth="1"/>
    <col min="2813" max="2813" width="50.5703125" style="37" customWidth="1"/>
    <col min="2814" max="2816" width="22.7109375" style="37" customWidth="1"/>
    <col min="2817" max="2817" width="18.85546875" style="37" customWidth="1"/>
    <col min="2818" max="3066" width="11.42578125" style="37"/>
    <col min="3067" max="3067" width="4" style="37" customWidth="1"/>
    <col min="3068" max="3068" width="5" style="37" customWidth="1"/>
    <col min="3069" max="3069" width="50.5703125" style="37" customWidth="1"/>
    <col min="3070" max="3072" width="22.7109375" style="37" customWidth="1"/>
    <col min="3073" max="3073" width="18.85546875" style="37" customWidth="1"/>
    <col min="3074" max="3322" width="11.42578125" style="37"/>
    <col min="3323" max="3323" width="4" style="37" customWidth="1"/>
    <col min="3324" max="3324" width="5" style="37" customWidth="1"/>
    <col min="3325" max="3325" width="50.5703125" style="37" customWidth="1"/>
    <col min="3326" max="3328" width="22.7109375" style="37" customWidth="1"/>
    <col min="3329" max="3329" width="18.85546875" style="37" customWidth="1"/>
    <col min="3330" max="3578" width="11.42578125" style="37"/>
    <col min="3579" max="3579" width="4" style="37" customWidth="1"/>
    <col min="3580" max="3580" width="5" style="37" customWidth="1"/>
    <col min="3581" max="3581" width="50.5703125" style="37" customWidth="1"/>
    <col min="3582" max="3584" width="22.7109375" style="37" customWidth="1"/>
    <col min="3585" max="3585" width="18.85546875" style="37" customWidth="1"/>
    <col min="3586" max="3834" width="11.42578125" style="37"/>
    <col min="3835" max="3835" width="4" style="37" customWidth="1"/>
    <col min="3836" max="3836" width="5" style="37" customWidth="1"/>
    <col min="3837" max="3837" width="50.5703125" style="37" customWidth="1"/>
    <col min="3838" max="3840" width="22.7109375" style="37" customWidth="1"/>
    <col min="3841" max="3841" width="18.85546875" style="37" customWidth="1"/>
    <col min="3842" max="4090" width="11.42578125" style="37"/>
    <col min="4091" max="4091" width="4" style="37" customWidth="1"/>
    <col min="4092" max="4092" width="5" style="37" customWidth="1"/>
    <col min="4093" max="4093" width="50.5703125" style="37" customWidth="1"/>
    <col min="4094" max="4096" width="22.7109375" style="37" customWidth="1"/>
    <col min="4097" max="4097" width="18.85546875" style="37" customWidth="1"/>
    <col min="4098" max="4346" width="11.42578125" style="37"/>
    <col min="4347" max="4347" width="4" style="37" customWidth="1"/>
    <col min="4348" max="4348" width="5" style="37" customWidth="1"/>
    <col min="4349" max="4349" width="50.5703125" style="37" customWidth="1"/>
    <col min="4350" max="4352" width="22.7109375" style="37" customWidth="1"/>
    <col min="4353" max="4353" width="18.85546875" style="37" customWidth="1"/>
    <col min="4354" max="4602" width="11.42578125" style="37"/>
    <col min="4603" max="4603" width="4" style="37" customWidth="1"/>
    <col min="4604" max="4604" width="5" style="37" customWidth="1"/>
    <col min="4605" max="4605" width="50.5703125" style="37" customWidth="1"/>
    <col min="4606" max="4608" width="22.7109375" style="37" customWidth="1"/>
    <col min="4609" max="4609" width="18.85546875" style="37" customWidth="1"/>
    <col min="4610" max="4858" width="11.42578125" style="37"/>
    <col min="4859" max="4859" width="4" style="37" customWidth="1"/>
    <col min="4860" max="4860" width="5" style="37" customWidth="1"/>
    <col min="4861" max="4861" width="50.5703125" style="37" customWidth="1"/>
    <col min="4862" max="4864" width="22.7109375" style="37" customWidth="1"/>
    <col min="4865" max="4865" width="18.85546875" style="37" customWidth="1"/>
    <col min="4866" max="5114" width="11.42578125" style="37"/>
    <col min="5115" max="5115" width="4" style="37" customWidth="1"/>
    <col min="5116" max="5116" width="5" style="37" customWidth="1"/>
    <col min="5117" max="5117" width="50.5703125" style="37" customWidth="1"/>
    <col min="5118" max="5120" width="22.7109375" style="37" customWidth="1"/>
    <col min="5121" max="5121" width="18.85546875" style="37" customWidth="1"/>
    <col min="5122" max="5370" width="11.42578125" style="37"/>
    <col min="5371" max="5371" width="4" style="37" customWidth="1"/>
    <col min="5372" max="5372" width="5" style="37" customWidth="1"/>
    <col min="5373" max="5373" width="50.5703125" style="37" customWidth="1"/>
    <col min="5374" max="5376" width="22.7109375" style="37" customWidth="1"/>
    <col min="5377" max="5377" width="18.85546875" style="37" customWidth="1"/>
    <col min="5378" max="5626" width="11.42578125" style="37"/>
    <col min="5627" max="5627" width="4" style="37" customWidth="1"/>
    <col min="5628" max="5628" width="5" style="37" customWidth="1"/>
    <col min="5629" max="5629" width="50.5703125" style="37" customWidth="1"/>
    <col min="5630" max="5632" width="22.7109375" style="37" customWidth="1"/>
    <col min="5633" max="5633" width="18.85546875" style="37" customWidth="1"/>
    <col min="5634" max="5882" width="11.42578125" style="37"/>
    <col min="5883" max="5883" width="4" style="37" customWidth="1"/>
    <col min="5884" max="5884" width="5" style="37" customWidth="1"/>
    <col min="5885" max="5885" width="50.5703125" style="37" customWidth="1"/>
    <col min="5886" max="5888" width="22.7109375" style="37" customWidth="1"/>
    <col min="5889" max="5889" width="18.85546875" style="37" customWidth="1"/>
    <col min="5890" max="6138" width="11.42578125" style="37"/>
    <col min="6139" max="6139" width="4" style="37" customWidth="1"/>
    <col min="6140" max="6140" width="5" style="37" customWidth="1"/>
    <col min="6141" max="6141" width="50.5703125" style="37" customWidth="1"/>
    <col min="6142" max="6144" width="22.7109375" style="37" customWidth="1"/>
    <col min="6145" max="6145" width="18.85546875" style="37" customWidth="1"/>
    <col min="6146" max="6394" width="11.42578125" style="37"/>
    <col min="6395" max="6395" width="4" style="37" customWidth="1"/>
    <col min="6396" max="6396" width="5" style="37" customWidth="1"/>
    <col min="6397" max="6397" width="50.5703125" style="37" customWidth="1"/>
    <col min="6398" max="6400" width="22.7109375" style="37" customWidth="1"/>
    <col min="6401" max="6401" width="18.85546875" style="37" customWidth="1"/>
    <col min="6402" max="6650" width="11.42578125" style="37"/>
    <col min="6651" max="6651" width="4" style="37" customWidth="1"/>
    <col min="6652" max="6652" width="5" style="37" customWidth="1"/>
    <col min="6653" max="6653" width="50.5703125" style="37" customWidth="1"/>
    <col min="6654" max="6656" width="22.7109375" style="37" customWidth="1"/>
    <col min="6657" max="6657" width="18.85546875" style="37" customWidth="1"/>
    <col min="6658" max="6906" width="11.42578125" style="37"/>
    <col min="6907" max="6907" width="4" style="37" customWidth="1"/>
    <col min="6908" max="6908" width="5" style="37" customWidth="1"/>
    <col min="6909" max="6909" width="50.5703125" style="37" customWidth="1"/>
    <col min="6910" max="6912" width="22.7109375" style="37" customWidth="1"/>
    <col min="6913" max="6913" width="18.85546875" style="37" customWidth="1"/>
    <col min="6914" max="7162" width="11.42578125" style="37"/>
    <col min="7163" max="7163" width="4" style="37" customWidth="1"/>
    <col min="7164" max="7164" width="5" style="37" customWidth="1"/>
    <col min="7165" max="7165" width="50.5703125" style="37" customWidth="1"/>
    <col min="7166" max="7168" width="22.7109375" style="37" customWidth="1"/>
    <col min="7169" max="7169" width="18.85546875" style="37" customWidth="1"/>
    <col min="7170" max="7418" width="11.42578125" style="37"/>
    <col min="7419" max="7419" width="4" style="37" customWidth="1"/>
    <col min="7420" max="7420" width="5" style="37" customWidth="1"/>
    <col min="7421" max="7421" width="50.5703125" style="37" customWidth="1"/>
    <col min="7422" max="7424" width="22.7109375" style="37" customWidth="1"/>
    <col min="7425" max="7425" width="18.85546875" style="37" customWidth="1"/>
    <col min="7426" max="7674" width="11.42578125" style="37"/>
    <col min="7675" max="7675" width="4" style="37" customWidth="1"/>
    <col min="7676" max="7676" width="5" style="37" customWidth="1"/>
    <col min="7677" max="7677" width="50.5703125" style="37" customWidth="1"/>
    <col min="7678" max="7680" width="22.7109375" style="37" customWidth="1"/>
    <col min="7681" max="7681" width="18.85546875" style="37" customWidth="1"/>
    <col min="7682" max="7930" width="11.42578125" style="37"/>
    <col min="7931" max="7931" width="4" style="37" customWidth="1"/>
    <col min="7932" max="7932" width="5" style="37" customWidth="1"/>
    <col min="7933" max="7933" width="50.5703125" style="37" customWidth="1"/>
    <col min="7934" max="7936" width="22.7109375" style="37" customWidth="1"/>
    <col min="7937" max="7937" width="18.85546875" style="37" customWidth="1"/>
    <col min="7938" max="8186" width="11.42578125" style="37"/>
    <col min="8187" max="8187" width="4" style="37" customWidth="1"/>
    <col min="8188" max="8188" width="5" style="37" customWidth="1"/>
    <col min="8189" max="8189" width="50.5703125" style="37" customWidth="1"/>
    <col min="8190" max="8192" width="22.7109375" style="37" customWidth="1"/>
    <col min="8193" max="8193" width="18.85546875" style="37" customWidth="1"/>
    <col min="8194" max="8442" width="11.42578125" style="37"/>
    <col min="8443" max="8443" width="4" style="37" customWidth="1"/>
    <col min="8444" max="8444" width="5" style="37" customWidth="1"/>
    <col min="8445" max="8445" width="50.5703125" style="37" customWidth="1"/>
    <col min="8446" max="8448" width="22.7109375" style="37" customWidth="1"/>
    <col min="8449" max="8449" width="18.85546875" style="37" customWidth="1"/>
    <col min="8450" max="8698" width="11.42578125" style="37"/>
    <col min="8699" max="8699" width="4" style="37" customWidth="1"/>
    <col min="8700" max="8700" width="5" style="37" customWidth="1"/>
    <col min="8701" max="8701" width="50.5703125" style="37" customWidth="1"/>
    <col min="8702" max="8704" width="22.7109375" style="37" customWidth="1"/>
    <col min="8705" max="8705" width="18.85546875" style="37" customWidth="1"/>
    <col min="8706" max="8954" width="11.42578125" style="37"/>
    <col min="8955" max="8955" width="4" style="37" customWidth="1"/>
    <col min="8956" max="8956" width="5" style="37" customWidth="1"/>
    <col min="8957" max="8957" width="50.5703125" style="37" customWidth="1"/>
    <col min="8958" max="8960" width="22.7109375" style="37" customWidth="1"/>
    <col min="8961" max="8961" width="18.85546875" style="37" customWidth="1"/>
    <col min="8962" max="9210" width="11.42578125" style="37"/>
    <col min="9211" max="9211" width="4" style="37" customWidth="1"/>
    <col min="9212" max="9212" width="5" style="37" customWidth="1"/>
    <col min="9213" max="9213" width="50.5703125" style="37" customWidth="1"/>
    <col min="9214" max="9216" width="22.7109375" style="37" customWidth="1"/>
    <col min="9217" max="9217" width="18.85546875" style="37" customWidth="1"/>
    <col min="9218" max="9466" width="11.42578125" style="37"/>
    <col min="9467" max="9467" width="4" style="37" customWidth="1"/>
    <col min="9468" max="9468" width="5" style="37" customWidth="1"/>
    <col min="9469" max="9469" width="50.5703125" style="37" customWidth="1"/>
    <col min="9470" max="9472" width="22.7109375" style="37" customWidth="1"/>
    <col min="9473" max="9473" width="18.85546875" style="37" customWidth="1"/>
    <col min="9474" max="9722" width="11.42578125" style="37"/>
    <col min="9723" max="9723" width="4" style="37" customWidth="1"/>
    <col min="9724" max="9724" width="5" style="37" customWidth="1"/>
    <col min="9725" max="9725" width="50.5703125" style="37" customWidth="1"/>
    <col min="9726" max="9728" width="22.7109375" style="37" customWidth="1"/>
    <col min="9729" max="9729" width="18.85546875" style="37" customWidth="1"/>
    <col min="9730" max="9978" width="11.42578125" style="37"/>
    <col min="9979" max="9979" width="4" style="37" customWidth="1"/>
    <col min="9980" max="9980" width="5" style="37" customWidth="1"/>
    <col min="9981" max="9981" width="50.5703125" style="37" customWidth="1"/>
    <col min="9982" max="9984" width="22.7109375" style="37" customWidth="1"/>
    <col min="9985" max="9985" width="18.85546875" style="37" customWidth="1"/>
    <col min="9986" max="10234" width="11.42578125" style="37"/>
    <col min="10235" max="10235" width="4" style="37" customWidth="1"/>
    <col min="10236" max="10236" width="5" style="37" customWidth="1"/>
    <col min="10237" max="10237" width="50.5703125" style="37" customWidth="1"/>
    <col min="10238" max="10240" width="22.7109375" style="37" customWidth="1"/>
    <col min="10241" max="10241" width="18.85546875" style="37" customWidth="1"/>
    <col min="10242" max="10490" width="11.42578125" style="37"/>
    <col min="10491" max="10491" width="4" style="37" customWidth="1"/>
    <col min="10492" max="10492" width="5" style="37" customWidth="1"/>
    <col min="10493" max="10493" width="50.5703125" style="37" customWidth="1"/>
    <col min="10494" max="10496" width="22.7109375" style="37" customWidth="1"/>
    <col min="10497" max="10497" width="18.85546875" style="37" customWidth="1"/>
    <col min="10498" max="10746" width="11.42578125" style="37"/>
    <col min="10747" max="10747" width="4" style="37" customWidth="1"/>
    <col min="10748" max="10748" width="5" style="37" customWidth="1"/>
    <col min="10749" max="10749" width="50.5703125" style="37" customWidth="1"/>
    <col min="10750" max="10752" width="22.7109375" style="37" customWidth="1"/>
    <col min="10753" max="10753" width="18.85546875" style="37" customWidth="1"/>
    <col min="10754" max="11002" width="11.42578125" style="37"/>
    <col min="11003" max="11003" width="4" style="37" customWidth="1"/>
    <col min="11004" max="11004" width="5" style="37" customWidth="1"/>
    <col min="11005" max="11005" width="50.5703125" style="37" customWidth="1"/>
    <col min="11006" max="11008" width="22.7109375" style="37" customWidth="1"/>
    <col min="11009" max="11009" width="18.85546875" style="37" customWidth="1"/>
    <col min="11010" max="11258" width="11.42578125" style="37"/>
    <col min="11259" max="11259" width="4" style="37" customWidth="1"/>
    <col min="11260" max="11260" width="5" style="37" customWidth="1"/>
    <col min="11261" max="11261" width="50.5703125" style="37" customWidth="1"/>
    <col min="11262" max="11264" width="22.7109375" style="37" customWidth="1"/>
    <col min="11265" max="11265" width="18.85546875" style="37" customWidth="1"/>
    <col min="11266" max="11514" width="11.42578125" style="37"/>
    <col min="11515" max="11515" width="4" style="37" customWidth="1"/>
    <col min="11516" max="11516" width="5" style="37" customWidth="1"/>
    <col min="11517" max="11517" width="50.5703125" style="37" customWidth="1"/>
    <col min="11518" max="11520" width="22.7109375" style="37" customWidth="1"/>
    <col min="11521" max="11521" width="18.85546875" style="37" customWidth="1"/>
    <col min="11522" max="11770" width="11.42578125" style="37"/>
    <col min="11771" max="11771" width="4" style="37" customWidth="1"/>
    <col min="11772" max="11772" width="5" style="37" customWidth="1"/>
    <col min="11773" max="11773" width="50.5703125" style="37" customWidth="1"/>
    <col min="11774" max="11776" width="22.7109375" style="37" customWidth="1"/>
    <col min="11777" max="11777" width="18.85546875" style="37" customWidth="1"/>
    <col min="11778" max="12026" width="11.42578125" style="37"/>
    <col min="12027" max="12027" width="4" style="37" customWidth="1"/>
    <col min="12028" max="12028" width="5" style="37" customWidth="1"/>
    <col min="12029" max="12029" width="50.5703125" style="37" customWidth="1"/>
    <col min="12030" max="12032" width="22.7109375" style="37" customWidth="1"/>
    <col min="12033" max="12033" width="18.85546875" style="37" customWidth="1"/>
    <col min="12034" max="12282" width="11.42578125" style="37"/>
    <col min="12283" max="12283" width="4" style="37" customWidth="1"/>
    <col min="12284" max="12284" width="5" style="37" customWidth="1"/>
    <col min="12285" max="12285" width="50.5703125" style="37" customWidth="1"/>
    <col min="12286" max="12288" width="22.7109375" style="37" customWidth="1"/>
    <col min="12289" max="12289" width="18.85546875" style="37" customWidth="1"/>
    <col min="12290" max="12538" width="11.42578125" style="37"/>
    <col min="12539" max="12539" width="4" style="37" customWidth="1"/>
    <col min="12540" max="12540" width="5" style="37" customWidth="1"/>
    <col min="12541" max="12541" width="50.5703125" style="37" customWidth="1"/>
    <col min="12542" max="12544" width="22.7109375" style="37" customWidth="1"/>
    <col min="12545" max="12545" width="18.85546875" style="37" customWidth="1"/>
    <col min="12546" max="12794" width="11.42578125" style="37"/>
    <col min="12795" max="12795" width="4" style="37" customWidth="1"/>
    <col min="12796" max="12796" width="5" style="37" customWidth="1"/>
    <col min="12797" max="12797" width="50.5703125" style="37" customWidth="1"/>
    <col min="12798" max="12800" width="22.7109375" style="37" customWidth="1"/>
    <col min="12801" max="12801" width="18.85546875" style="37" customWidth="1"/>
    <col min="12802" max="13050" width="11.42578125" style="37"/>
    <col min="13051" max="13051" width="4" style="37" customWidth="1"/>
    <col min="13052" max="13052" width="5" style="37" customWidth="1"/>
    <col min="13053" max="13053" width="50.5703125" style="37" customWidth="1"/>
    <col min="13054" max="13056" width="22.7109375" style="37" customWidth="1"/>
    <col min="13057" max="13057" width="18.85546875" style="37" customWidth="1"/>
    <col min="13058" max="13306" width="11.42578125" style="37"/>
    <col min="13307" max="13307" width="4" style="37" customWidth="1"/>
    <col min="13308" max="13308" width="5" style="37" customWidth="1"/>
    <col min="13309" max="13309" width="50.5703125" style="37" customWidth="1"/>
    <col min="13310" max="13312" width="22.7109375" style="37" customWidth="1"/>
    <col min="13313" max="13313" width="18.85546875" style="37" customWidth="1"/>
    <col min="13314" max="13562" width="11.42578125" style="37"/>
    <col min="13563" max="13563" width="4" style="37" customWidth="1"/>
    <col min="13564" max="13564" width="5" style="37" customWidth="1"/>
    <col min="13565" max="13565" width="50.5703125" style="37" customWidth="1"/>
    <col min="13566" max="13568" width="22.7109375" style="37" customWidth="1"/>
    <col min="13569" max="13569" width="18.85546875" style="37" customWidth="1"/>
    <col min="13570" max="13818" width="11.42578125" style="37"/>
    <col min="13819" max="13819" width="4" style="37" customWidth="1"/>
    <col min="13820" max="13820" width="5" style="37" customWidth="1"/>
    <col min="13821" max="13821" width="50.5703125" style="37" customWidth="1"/>
    <col min="13822" max="13824" width="22.7109375" style="37" customWidth="1"/>
    <col min="13825" max="13825" width="18.85546875" style="37" customWidth="1"/>
    <col min="13826" max="14074" width="11.42578125" style="37"/>
    <col min="14075" max="14075" width="4" style="37" customWidth="1"/>
    <col min="14076" max="14076" width="5" style="37" customWidth="1"/>
    <col min="14077" max="14077" width="50.5703125" style="37" customWidth="1"/>
    <col min="14078" max="14080" width="22.7109375" style="37" customWidth="1"/>
    <col min="14081" max="14081" width="18.85546875" style="37" customWidth="1"/>
    <col min="14082" max="14330" width="11.42578125" style="37"/>
    <col min="14331" max="14331" width="4" style="37" customWidth="1"/>
    <col min="14332" max="14332" width="5" style="37" customWidth="1"/>
    <col min="14333" max="14333" width="50.5703125" style="37" customWidth="1"/>
    <col min="14334" max="14336" width="22.7109375" style="37" customWidth="1"/>
    <col min="14337" max="14337" width="18.85546875" style="37" customWidth="1"/>
    <col min="14338" max="14586" width="11.42578125" style="37"/>
    <col min="14587" max="14587" width="4" style="37" customWidth="1"/>
    <col min="14588" max="14588" width="5" style="37" customWidth="1"/>
    <col min="14589" max="14589" width="50.5703125" style="37" customWidth="1"/>
    <col min="14590" max="14592" width="22.7109375" style="37" customWidth="1"/>
    <col min="14593" max="14593" width="18.85546875" style="37" customWidth="1"/>
    <col min="14594" max="14842" width="11.42578125" style="37"/>
    <col min="14843" max="14843" width="4" style="37" customWidth="1"/>
    <col min="14844" max="14844" width="5" style="37" customWidth="1"/>
    <col min="14845" max="14845" width="50.5703125" style="37" customWidth="1"/>
    <col min="14846" max="14848" width="22.7109375" style="37" customWidth="1"/>
    <col min="14849" max="14849" width="18.85546875" style="37" customWidth="1"/>
    <col min="14850" max="15098" width="11.42578125" style="37"/>
    <col min="15099" max="15099" width="4" style="37" customWidth="1"/>
    <col min="15100" max="15100" width="5" style="37" customWidth="1"/>
    <col min="15101" max="15101" width="50.5703125" style="37" customWidth="1"/>
    <col min="15102" max="15104" width="22.7109375" style="37" customWidth="1"/>
    <col min="15105" max="15105" width="18.85546875" style="37" customWidth="1"/>
    <col min="15106" max="15354" width="11.42578125" style="37"/>
    <col min="15355" max="15355" width="4" style="37" customWidth="1"/>
    <col min="15356" max="15356" width="5" style="37" customWidth="1"/>
    <col min="15357" max="15357" width="50.5703125" style="37" customWidth="1"/>
    <col min="15358" max="15360" width="22.7109375" style="37" customWidth="1"/>
    <col min="15361" max="15361" width="18.85546875" style="37" customWidth="1"/>
    <col min="15362" max="15610" width="11.42578125" style="37"/>
    <col min="15611" max="15611" width="4" style="37" customWidth="1"/>
    <col min="15612" max="15612" width="5" style="37" customWidth="1"/>
    <col min="15613" max="15613" width="50.5703125" style="37" customWidth="1"/>
    <col min="15614" max="15616" width="22.7109375" style="37" customWidth="1"/>
    <col min="15617" max="15617" width="18.85546875" style="37" customWidth="1"/>
    <col min="15618" max="15866" width="11.42578125" style="37"/>
    <col min="15867" max="15867" width="4" style="37" customWidth="1"/>
    <col min="15868" max="15868" width="5" style="37" customWidth="1"/>
    <col min="15869" max="15869" width="50.5703125" style="37" customWidth="1"/>
    <col min="15870" max="15872" width="22.7109375" style="37" customWidth="1"/>
    <col min="15873" max="15873" width="18.85546875" style="37" customWidth="1"/>
    <col min="15874" max="16122" width="11.42578125" style="37"/>
    <col min="16123" max="16123" width="4" style="37" customWidth="1"/>
    <col min="16124" max="16124" width="5" style="37" customWidth="1"/>
    <col min="16125" max="16125" width="50.5703125" style="37" customWidth="1"/>
    <col min="16126" max="16128" width="22.7109375" style="37" customWidth="1"/>
    <col min="16129" max="16129" width="18.85546875" style="37" customWidth="1"/>
    <col min="16130" max="16384" width="11.42578125" style="37"/>
  </cols>
  <sheetData>
    <row r="1" spans="2:8" hidden="1" x14ac:dyDescent="0.2"/>
    <row r="2" spans="2:8" hidden="1" x14ac:dyDescent="0.2"/>
    <row r="3" spans="2:8" hidden="1" x14ac:dyDescent="0.2"/>
    <row r="4" spans="2:8" hidden="1" x14ac:dyDescent="0.2"/>
    <row r="5" spans="2:8" hidden="1" x14ac:dyDescent="0.2"/>
    <row r="6" spans="2:8" s="341" customFormat="1" x14ac:dyDescent="0.2">
      <c r="B6" s="340"/>
    </row>
    <row r="8" spans="2:8" ht="18.75" x14ac:dyDescent="0.3">
      <c r="B8" s="58" t="s">
        <v>927</v>
      </c>
      <c r="C8" s="58"/>
      <c r="D8" s="58"/>
      <c r="E8" s="58"/>
      <c r="F8" s="58"/>
    </row>
    <row r="9" spans="2:8" ht="15.75" x14ac:dyDescent="0.25">
      <c r="B9" s="59" t="s">
        <v>928</v>
      </c>
      <c r="C9" s="59"/>
      <c r="D9" s="59"/>
      <c r="E9" s="59"/>
      <c r="F9" s="59"/>
    </row>
    <row r="10" spans="2:8" ht="15.75" x14ac:dyDescent="0.25">
      <c r="B10" s="60" t="s">
        <v>929</v>
      </c>
      <c r="C10" s="60"/>
      <c r="D10" s="60"/>
      <c r="E10" s="60"/>
      <c r="F10" s="60"/>
      <c r="G10" s="39"/>
      <c r="H10" s="39"/>
    </row>
    <row r="11" spans="2:8" ht="15.75" x14ac:dyDescent="0.25">
      <c r="B11" s="60" t="s">
        <v>930</v>
      </c>
      <c r="C11" s="60"/>
      <c r="D11" s="60"/>
      <c r="E11" s="60"/>
      <c r="F11" s="60"/>
      <c r="G11" s="40"/>
      <c r="H11" s="40"/>
    </row>
    <row r="12" spans="2:8" ht="16.5" thickBot="1" x14ac:dyDescent="0.3">
      <c r="B12" s="41"/>
      <c r="C12" s="41"/>
      <c r="D12" s="41"/>
      <c r="E12" s="41"/>
      <c r="F12" s="41"/>
      <c r="G12" s="40"/>
      <c r="H12" s="40"/>
    </row>
    <row r="13" spans="2:8" s="42" customFormat="1" ht="16.5" thickBot="1" x14ac:dyDescent="0.3">
      <c r="B13" s="1636" t="s">
        <v>931</v>
      </c>
      <c r="C13" s="1636"/>
      <c r="D13" s="588" t="s">
        <v>895</v>
      </c>
      <c r="E13" s="588" t="s">
        <v>25</v>
      </c>
      <c r="F13" s="588" t="s">
        <v>932</v>
      </c>
      <c r="G13" s="43"/>
      <c r="H13" s="43"/>
    </row>
    <row r="14" spans="2:8" s="42" customFormat="1" ht="15.75" x14ac:dyDescent="0.25">
      <c r="B14" s="1637" t="s">
        <v>933</v>
      </c>
      <c r="C14" s="1637"/>
      <c r="D14" s="589">
        <f>+D15+D18</f>
        <v>1038062793.6899974</v>
      </c>
      <c r="E14" s="589">
        <f>+E15+E18</f>
        <v>322936388.27000016</v>
      </c>
      <c r="F14" s="589">
        <f>+F15+F18</f>
        <v>660709237.73999739</v>
      </c>
      <c r="G14" s="38"/>
      <c r="H14" s="38"/>
    </row>
    <row r="15" spans="2:8" ht="15" x14ac:dyDescent="0.25">
      <c r="B15" s="1638" t="s">
        <v>31</v>
      </c>
      <c r="C15" s="1638"/>
      <c r="D15" s="49">
        <f>SUM(D16:D17)</f>
        <v>33684180.000000007</v>
      </c>
      <c r="E15" s="49">
        <f>SUM(E16:E17)</f>
        <v>18928736.000000004</v>
      </c>
      <c r="F15" s="49">
        <f>SUM(F16:F17)</f>
        <v>14755444</v>
      </c>
    </row>
    <row r="16" spans="2:8" ht="15" outlineLevel="1" x14ac:dyDescent="0.25">
      <c r="B16" s="55"/>
      <c r="C16" s="55" t="s">
        <v>934</v>
      </c>
      <c r="D16" s="49">
        <f>+D31</f>
        <v>30484017.450000003</v>
      </c>
      <c r="E16" s="49">
        <f>+E31</f>
        <v>16506874.950000001</v>
      </c>
      <c r="F16" s="49">
        <f>+F31</f>
        <v>13977142.5</v>
      </c>
    </row>
    <row r="17" spans="2:12" ht="15" outlineLevel="1" x14ac:dyDescent="0.25">
      <c r="B17" s="55"/>
      <c r="C17" s="55" t="s">
        <v>935</v>
      </c>
      <c r="D17" s="49">
        <f>+D48</f>
        <v>3200162.5500000017</v>
      </c>
      <c r="E17" s="49">
        <f>+E48</f>
        <v>2421861.0500000017</v>
      </c>
      <c r="F17" s="49">
        <f>+F48</f>
        <v>778301.49999999977</v>
      </c>
    </row>
    <row r="18" spans="2:12" ht="15" x14ac:dyDescent="0.25">
      <c r="B18" s="1638" t="s">
        <v>752</v>
      </c>
      <c r="C18" s="1638"/>
      <c r="D18" s="49">
        <f>SUM(D19:D21)</f>
        <v>1004378613.6899974</v>
      </c>
      <c r="E18" s="49">
        <f>SUM(E19:E21)</f>
        <v>304007652.27000016</v>
      </c>
      <c r="F18" s="49">
        <f>SUM(F19:F21)</f>
        <v>645953793.73999739</v>
      </c>
    </row>
    <row r="19" spans="2:12" ht="15" hidden="1" outlineLevel="1" x14ac:dyDescent="0.25">
      <c r="B19" s="55"/>
      <c r="C19" s="55" t="s">
        <v>934</v>
      </c>
      <c r="D19" s="49">
        <f>+D94</f>
        <v>315731642.7700001</v>
      </c>
      <c r="E19" s="49">
        <f>+E94</f>
        <v>117576155.27999982</v>
      </c>
      <c r="F19" s="49">
        <f>+F94</f>
        <v>143738319.81000021</v>
      </c>
    </row>
    <row r="20" spans="2:12" ht="15" hidden="1" outlineLevel="1" x14ac:dyDescent="0.25">
      <c r="B20" s="55"/>
      <c r="C20" s="55" t="s">
        <v>935</v>
      </c>
      <c r="D20" s="49">
        <f>+D55</f>
        <v>644723459.2299974</v>
      </c>
      <c r="E20" s="49">
        <f>+E55</f>
        <v>152451281.72000057</v>
      </c>
      <c r="F20" s="49">
        <f>+F55</f>
        <v>492272177.50999695</v>
      </c>
    </row>
    <row r="21" spans="2:12" ht="15" hidden="1" outlineLevel="1" x14ac:dyDescent="0.25">
      <c r="B21" s="55"/>
      <c r="C21" s="55" t="s">
        <v>936</v>
      </c>
      <c r="D21" s="49">
        <f>+D123</f>
        <v>43923511.689999931</v>
      </c>
      <c r="E21" s="49">
        <f>+E123</f>
        <v>33980215.26999978</v>
      </c>
      <c r="F21" s="49">
        <f>+F123</f>
        <v>9943296.4200001489</v>
      </c>
    </row>
    <row r="22" spans="2:12" ht="15" collapsed="1" x14ac:dyDescent="0.25">
      <c r="B22" s="1639" t="s">
        <v>198</v>
      </c>
      <c r="C22" s="1639"/>
      <c r="D22" s="590">
        <f>+D135</f>
        <v>12619950.479999995</v>
      </c>
      <c r="E22" s="590">
        <f>+E135</f>
        <v>5169452.2900000019</v>
      </c>
      <c r="F22" s="590">
        <f>+F135</f>
        <v>7450498.1899999939</v>
      </c>
    </row>
    <row r="23" spans="2:12" ht="15" x14ac:dyDescent="0.25">
      <c r="B23" s="1639" t="s">
        <v>123</v>
      </c>
      <c r="C23" s="1639"/>
      <c r="D23" s="590">
        <f>+D145</f>
        <v>4039747.5600000005</v>
      </c>
      <c r="E23" s="590">
        <f>+E145</f>
        <v>3179633.3399999994</v>
      </c>
      <c r="F23" s="590">
        <f>+F145</f>
        <v>860114.22000000044</v>
      </c>
    </row>
    <row r="24" spans="2:12" ht="15.75" thickBot="1" x14ac:dyDescent="0.3">
      <c r="B24" s="1639" t="s">
        <v>937</v>
      </c>
      <c r="C24" s="1639"/>
      <c r="D24" s="590">
        <f>+D155</f>
        <v>6366084.5300000031</v>
      </c>
      <c r="E24" s="590">
        <f>+E155</f>
        <v>6272476.3800000064</v>
      </c>
      <c r="F24" s="590">
        <f>+F155</f>
        <v>93608.149999996647</v>
      </c>
    </row>
    <row r="25" spans="2:12" s="42" customFormat="1" ht="16.5" thickBot="1" x14ac:dyDescent="0.3">
      <c r="B25" s="1627" t="s">
        <v>938</v>
      </c>
      <c r="C25" s="1628"/>
      <c r="D25" s="591">
        <f>+D15+D18+D22+D23+D24</f>
        <v>1061088576.2599974</v>
      </c>
      <c r="E25" s="591">
        <f>+E15+E18+E22+E23+E24</f>
        <v>337557950.28000015</v>
      </c>
      <c r="F25" s="591">
        <f>+F15+F18+F22+F23+F24</f>
        <v>669113458.29999733</v>
      </c>
      <c r="G25" s="38"/>
      <c r="H25" s="38"/>
      <c r="I25" s="37"/>
      <c r="J25" s="37"/>
      <c r="K25" s="37"/>
      <c r="L25" s="37"/>
    </row>
    <row r="26" spans="2:12" ht="15" x14ac:dyDescent="0.25">
      <c r="B26" s="44" t="s">
        <v>939</v>
      </c>
      <c r="C26" s="44"/>
      <c r="D26" s="46"/>
      <c r="E26" s="46"/>
      <c r="F26" s="46"/>
    </row>
    <row r="27" spans="2:12" ht="15" x14ac:dyDescent="0.25">
      <c r="B27" s="45"/>
      <c r="D27" s="46"/>
      <c r="E27" s="46"/>
      <c r="F27" s="46"/>
    </row>
    <row r="28" spans="2:12" ht="15" x14ac:dyDescent="0.25">
      <c r="B28" s="45"/>
      <c r="C28" s="44"/>
      <c r="D28" s="46"/>
      <c r="E28" s="46"/>
      <c r="F28" s="46"/>
    </row>
    <row r="29" spans="2:12" ht="13.5" thickBot="1" x14ac:dyDescent="0.25">
      <c r="B29" s="1635" t="s">
        <v>940</v>
      </c>
      <c r="C29" s="1635"/>
      <c r="D29" s="1635"/>
      <c r="E29" s="1635"/>
      <c r="F29" s="1635"/>
    </row>
    <row r="30" spans="2:12" s="42" customFormat="1" ht="16.5" thickBot="1" x14ac:dyDescent="0.3">
      <c r="B30" s="1627" t="s">
        <v>31</v>
      </c>
      <c r="C30" s="1628"/>
      <c r="D30" s="591">
        <f>+D36+D40+D48+D32</f>
        <v>33684180</v>
      </c>
      <c r="E30" s="591">
        <f>+E36+E40+E48+E32</f>
        <v>18928736</v>
      </c>
      <c r="F30" s="591">
        <f>+F36+F40+F48+F32</f>
        <v>14755444</v>
      </c>
      <c r="G30" s="38"/>
      <c r="H30" s="38"/>
      <c r="I30" s="37"/>
      <c r="J30" s="37"/>
      <c r="K30" s="37"/>
      <c r="L30" s="37"/>
    </row>
    <row r="31" spans="2:12" ht="15" customHeight="1" x14ac:dyDescent="0.2">
      <c r="B31" s="1633" t="s">
        <v>934</v>
      </c>
      <c r="C31" s="1634"/>
      <c r="D31" s="84">
        <f>+D36+D40+D32</f>
        <v>30484017.450000003</v>
      </c>
      <c r="E31" s="84">
        <f>+E36+E40+E32</f>
        <v>16506874.950000001</v>
      </c>
      <c r="F31" s="84">
        <f>+F36+F40+F32</f>
        <v>13977142.5</v>
      </c>
    </row>
    <row r="32" spans="2:12" ht="15" customHeight="1" x14ac:dyDescent="0.2">
      <c r="B32" s="47"/>
      <c r="C32" s="48" t="s">
        <v>941</v>
      </c>
      <c r="D32" s="85">
        <f>SUM(D33:D35)</f>
        <v>12261841.189999999</v>
      </c>
      <c r="E32" s="85">
        <f>SUM(E33:E35)</f>
        <v>3040254.72</v>
      </c>
      <c r="F32" s="85">
        <f>SUM(F33:F35)</f>
        <v>9221586.4699999988</v>
      </c>
    </row>
    <row r="33" spans="1:9" ht="15" customHeight="1" x14ac:dyDescent="0.2">
      <c r="A33" s="37">
        <v>1</v>
      </c>
      <c r="B33" s="47"/>
      <c r="C33" s="86" t="s">
        <v>942</v>
      </c>
      <c r="D33" s="87">
        <f>5575314.25-200000</f>
        <v>5375314.25</v>
      </c>
      <c r="E33" s="55">
        <v>1270547.1500000001</v>
      </c>
      <c r="F33" s="55">
        <f>+D33-E33</f>
        <v>4104767.0999999996</v>
      </c>
      <c r="G33" s="38" t="s">
        <v>943</v>
      </c>
    </row>
    <row r="34" spans="1:9" ht="15" customHeight="1" x14ac:dyDescent="0.2">
      <c r="A34" s="37">
        <v>2</v>
      </c>
      <c r="B34" s="47"/>
      <c r="C34" s="86" t="s">
        <v>944</v>
      </c>
      <c r="D34" s="87">
        <f>5725231.18-149817.49</f>
        <v>5575413.6899999995</v>
      </c>
      <c r="E34" s="55">
        <v>1291456.6599999999</v>
      </c>
      <c r="F34" s="55">
        <f>+D34-E34</f>
        <v>4283957.0299999993</v>
      </c>
      <c r="G34" s="38" t="s">
        <v>943</v>
      </c>
    </row>
    <row r="35" spans="1:9" x14ac:dyDescent="0.2">
      <c r="B35" s="47"/>
      <c r="C35" s="86" t="s">
        <v>945</v>
      </c>
      <c r="D35" s="87">
        <v>1311113.25</v>
      </c>
      <c r="E35" s="55">
        <v>478250.91</v>
      </c>
      <c r="F35" s="55">
        <f>+D35-E35</f>
        <v>832862.34000000008</v>
      </c>
      <c r="G35" s="38" t="s">
        <v>943</v>
      </c>
    </row>
    <row r="36" spans="1:9" x14ac:dyDescent="0.2">
      <c r="A36" s="37">
        <v>3</v>
      </c>
      <c r="B36" s="47"/>
      <c r="C36" s="48" t="s">
        <v>196</v>
      </c>
      <c r="D36" s="85">
        <f>SUM(D37:D39)</f>
        <v>6958365.1800000006</v>
      </c>
      <c r="E36" s="85">
        <f>SUM(E37:E39)</f>
        <v>6498959.5999999987</v>
      </c>
      <c r="F36" s="85">
        <f>SUM(F37:F39)</f>
        <v>459405.58000000217</v>
      </c>
      <c r="G36" s="37"/>
      <c r="H36" s="37"/>
    </row>
    <row r="37" spans="1:9" x14ac:dyDescent="0.2">
      <c r="A37" s="37">
        <v>4</v>
      </c>
      <c r="B37" s="47"/>
      <c r="C37" s="45" t="s">
        <v>946</v>
      </c>
      <c r="D37" s="55">
        <v>1366156.63</v>
      </c>
      <c r="E37" s="55">
        <v>1337435.6400000006</v>
      </c>
      <c r="F37" s="55">
        <f>+D37-E37</f>
        <v>28720.989999999292</v>
      </c>
      <c r="G37" s="37"/>
      <c r="H37" s="37"/>
    </row>
    <row r="38" spans="1:9" x14ac:dyDescent="0.2">
      <c r="A38" s="37">
        <v>5</v>
      </c>
      <c r="B38" s="47"/>
      <c r="C38" s="45" t="s">
        <v>947</v>
      </c>
      <c r="D38" s="317">
        <v>4622687.1800000006</v>
      </c>
      <c r="E38" s="55">
        <v>4201066.879999998</v>
      </c>
      <c r="F38" s="55">
        <f>+D38-E38</f>
        <v>421620.30000000261</v>
      </c>
      <c r="G38" s="37"/>
      <c r="H38" s="37"/>
    </row>
    <row r="39" spans="1:9" x14ac:dyDescent="0.2">
      <c r="A39" s="37">
        <v>6</v>
      </c>
      <c r="B39" s="47"/>
      <c r="C39" s="45" t="s">
        <v>948</v>
      </c>
      <c r="D39" s="55">
        <v>969521.37000000034</v>
      </c>
      <c r="E39" s="55">
        <v>960457.08000000007</v>
      </c>
      <c r="F39" s="55">
        <f>+D39-E39</f>
        <v>9064.2900000002701</v>
      </c>
      <c r="G39" s="37"/>
      <c r="H39" s="37"/>
    </row>
    <row r="40" spans="1:9" x14ac:dyDescent="0.2">
      <c r="A40" s="37">
        <v>7</v>
      </c>
      <c r="B40" s="47"/>
      <c r="C40" s="48" t="s">
        <v>949</v>
      </c>
      <c r="D40" s="88">
        <f>SUM(D41:D46)</f>
        <v>11263811.08</v>
      </c>
      <c r="E40" s="88">
        <f>SUM(E41:E46)</f>
        <v>6967660.6300000008</v>
      </c>
      <c r="F40" s="88">
        <f>SUM(F41:F46)</f>
        <v>4296150.4499999993</v>
      </c>
      <c r="G40" s="37"/>
      <c r="H40" s="37"/>
    </row>
    <row r="41" spans="1:9" x14ac:dyDescent="0.2">
      <c r="A41" s="37">
        <v>8</v>
      </c>
      <c r="B41" s="47"/>
      <c r="C41" s="45" t="s">
        <v>950</v>
      </c>
      <c r="D41" s="55">
        <v>266716.19</v>
      </c>
      <c r="E41" s="55">
        <v>41489.159999999996</v>
      </c>
      <c r="F41" s="55">
        <f t="shared" ref="F41:F46" si="0">+D41-E41</f>
        <v>225227.03</v>
      </c>
      <c r="G41" s="37"/>
      <c r="H41" s="37" t="s">
        <v>951</v>
      </c>
      <c r="I41" s="37">
        <v>5198137.3499999894</v>
      </c>
    </row>
    <row r="42" spans="1:9" x14ac:dyDescent="0.2">
      <c r="A42" s="37">
        <v>9</v>
      </c>
      <c r="B42" s="47"/>
      <c r="C42" s="45" t="s">
        <v>952</v>
      </c>
      <c r="D42" s="55">
        <v>904919.12</v>
      </c>
      <c r="E42" s="55">
        <v>267164.86000000004</v>
      </c>
      <c r="F42" s="55">
        <f t="shared" si="0"/>
        <v>637754.26</v>
      </c>
      <c r="G42" s="37"/>
      <c r="H42" s="37" t="s">
        <v>953</v>
      </c>
      <c r="I42" s="37">
        <v>899070.5</v>
      </c>
    </row>
    <row r="43" spans="1:9" x14ac:dyDescent="0.2">
      <c r="B43" s="47"/>
      <c r="C43" s="45" t="s">
        <v>951</v>
      </c>
      <c r="D43" s="317">
        <v>5972643.6299999999</v>
      </c>
      <c r="E43" s="55">
        <v>4995793.74</v>
      </c>
      <c r="F43" s="55">
        <f t="shared" si="0"/>
        <v>976849.88999999966</v>
      </c>
      <c r="G43" s="37"/>
      <c r="H43" s="37"/>
    </row>
    <row r="44" spans="1:9" x14ac:dyDescent="0.2">
      <c r="A44" s="37">
        <v>10</v>
      </c>
      <c r="B44" s="47"/>
      <c r="C44" s="45" t="s">
        <v>953</v>
      </c>
      <c r="D44" s="55">
        <v>899070.50000000035</v>
      </c>
      <c r="E44" s="55">
        <v>726776.03000000026</v>
      </c>
      <c r="F44" s="55">
        <f t="shared" si="0"/>
        <v>172294.47000000009</v>
      </c>
      <c r="G44" s="37"/>
      <c r="H44" s="37" t="s">
        <v>954</v>
      </c>
      <c r="I44" s="37">
        <v>567109.08000000007</v>
      </c>
    </row>
    <row r="45" spans="1:9" x14ac:dyDescent="0.2">
      <c r="A45" s="37">
        <v>11</v>
      </c>
      <c r="B45" s="47"/>
      <c r="C45" s="45" t="s">
        <v>954</v>
      </c>
      <c r="D45" s="317">
        <v>2165468.31</v>
      </c>
      <c r="E45" s="55">
        <v>430960.69000000018</v>
      </c>
      <c r="F45" s="55">
        <f t="shared" si="0"/>
        <v>1734507.6199999999</v>
      </c>
      <c r="G45" s="37"/>
      <c r="H45" s="37" t="s">
        <v>955</v>
      </c>
      <c r="I45" s="37">
        <v>476977.20000000007</v>
      </c>
    </row>
    <row r="46" spans="1:9" x14ac:dyDescent="0.2">
      <c r="A46" s="37">
        <v>12</v>
      </c>
      <c r="B46" s="47"/>
      <c r="C46" s="45" t="s">
        <v>955</v>
      </c>
      <c r="D46" s="317">
        <v>1054993.3299999998</v>
      </c>
      <c r="E46" s="55">
        <v>505476.15000000014</v>
      </c>
      <c r="F46" s="55">
        <f t="shared" si="0"/>
        <v>549517.1799999997</v>
      </c>
      <c r="G46" s="37"/>
      <c r="H46" s="37" t="s">
        <v>952</v>
      </c>
      <c r="I46" s="37">
        <v>904919.12</v>
      </c>
    </row>
    <row r="47" spans="1:9" x14ac:dyDescent="0.2">
      <c r="A47" s="37">
        <v>13</v>
      </c>
      <c r="B47" s="47"/>
      <c r="C47" s="44" t="s">
        <v>935</v>
      </c>
      <c r="D47" s="89"/>
      <c r="E47" s="90"/>
      <c r="F47" s="55"/>
      <c r="G47" s="37"/>
      <c r="H47" s="37"/>
    </row>
    <row r="48" spans="1:9" x14ac:dyDescent="0.2">
      <c r="A48" s="37">
        <v>14</v>
      </c>
      <c r="B48" s="47"/>
      <c r="C48" s="48" t="s">
        <v>196</v>
      </c>
      <c r="D48" s="91">
        <f>SUM(D49:D52)</f>
        <v>3200162.5500000017</v>
      </c>
      <c r="E48" s="91">
        <f>SUM(E49:E52)</f>
        <v>2421861.0500000017</v>
      </c>
      <c r="F48" s="91">
        <f>SUM(F49:F52)</f>
        <v>778301.49999999977</v>
      </c>
      <c r="G48" s="37"/>
      <c r="H48" s="37"/>
    </row>
    <row r="49" spans="1:12" x14ac:dyDescent="0.2">
      <c r="A49" s="37">
        <v>15</v>
      </c>
      <c r="B49" s="47"/>
      <c r="C49" s="45" t="s">
        <v>956</v>
      </c>
      <c r="D49" s="55">
        <v>562710</v>
      </c>
      <c r="E49" s="55">
        <v>443310.77</v>
      </c>
      <c r="F49" s="55">
        <f>+D49-E49</f>
        <v>119399.22999999998</v>
      </c>
      <c r="G49" s="37"/>
      <c r="H49" s="37"/>
    </row>
    <row r="50" spans="1:12" x14ac:dyDescent="0.2">
      <c r="A50" s="37">
        <v>16</v>
      </c>
      <c r="B50" s="47"/>
      <c r="C50" s="45" t="s">
        <v>957</v>
      </c>
      <c r="D50" s="55">
        <v>787489.69</v>
      </c>
      <c r="E50" s="55">
        <v>132100.01</v>
      </c>
      <c r="F50" s="55">
        <f>+D50-E50</f>
        <v>655389.67999999993</v>
      </c>
      <c r="G50" s="37"/>
      <c r="H50" s="37"/>
    </row>
    <row r="51" spans="1:12" x14ac:dyDescent="0.2">
      <c r="A51" s="37">
        <v>17</v>
      </c>
      <c r="B51" s="47"/>
      <c r="C51" s="45" t="s">
        <v>958</v>
      </c>
      <c r="D51" s="55">
        <v>41700</v>
      </c>
      <c r="E51" s="55">
        <v>41700</v>
      </c>
      <c r="F51" s="55">
        <f>+D51-E51</f>
        <v>0</v>
      </c>
      <c r="G51" s="37"/>
      <c r="H51" s="37"/>
    </row>
    <row r="52" spans="1:12" x14ac:dyDescent="0.2">
      <c r="A52" s="37">
        <v>18</v>
      </c>
      <c r="B52" s="47"/>
      <c r="C52" s="45" t="s">
        <v>959</v>
      </c>
      <c r="D52" s="317">
        <v>1808262.8600000015</v>
      </c>
      <c r="E52" s="55">
        <v>1804750.2700000016</v>
      </c>
      <c r="F52" s="55">
        <f>+D52-E52</f>
        <v>3512.589999999851</v>
      </c>
      <c r="G52" s="37"/>
      <c r="H52" s="37"/>
    </row>
    <row r="53" spans="1:12" ht="13.5" thickBot="1" x14ac:dyDescent="0.25">
      <c r="A53" s="37">
        <v>19</v>
      </c>
      <c r="B53" s="47"/>
      <c r="C53" s="45"/>
      <c r="D53" s="55"/>
      <c r="E53" s="55"/>
      <c r="F53" s="55"/>
      <c r="H53" s="37"/>
    </row>
    <row r="54" spans="1:12" s="42" customFormat="1" ht="16.5" thickBot="1" x14ac:dyDescent="0.3">
      <c r="A54" s="37">
        <v>20</v>
      </c>
      <c r="B54" s="1627" t="s">
        <v>752</v>
      </c>
      <c r="C54" s="1628"/>
      <c r="D54" s="591">
        <f>+D55+D94</f>
        <v>960455101.9999975</v>
      </c>
      <c r="E54" s="591">
        <f>+E55+E94</f>
        <v>270027437.00000036</v>
      </c>
      <c r="F54" s="591">
        <f>+F55+F94</f>
        <v>636010497.31999719</v>
      </c>
      <c r="G54" s="38"/>
      <c r="H54" s="37"/>
      <c r="I54" s="37"/>
      <c r="J54" s="37"/>
      <c r="K54" s="37"/>
      <c r="L54" s="37"/>
    </row>
    <row r="55" spans="1:12" ht="15" customHeight="1" x14ac:dyDescent="0.2">
      <c r="A55" s="37">
        <v>21</v>
      </c>
      <c r="B55" s="1629" t="s">
        <v>935</v>
      </c>
      <c r="C55" s="1630"/>
      <c r="D55" s="95">
        <f>+D56+D85</f>
        <v>644723459.2299974</v>
      </c>
      <c r="E55" s="95">
        <f>+E56+E85</f>
        <v>152451281.72000057</v>
      </c>
      <c r="F55" s="97">
        <f>+F56+F85</f>
        <v>492272177.50999695</v>
      </c>
    </row>
    <row r="56" spans="1:12" x14ac:dyDescent="0.2">
      <c r="A56" s="37">
        <v>22</v>
      </c>
      <c r="B56" s="47"/>
      <c r="C56" s="48" t="s">
        <v>941</v>
      </c>
      <c r="D56" s="91">
        <f>SUM(D57:D84)</f>
        <v>618686831.42999744</v>
      </c>
      <c r="E56" s="91">
        <f>SUM(E57:E84)</f>
        <v>143561765.84000057</v>
      </c>
      <c r="F56" s="91">
        <f>SUM(F57:F84)</f>
        <v>475125065.58999693</v>
      </c>
    </row>
    <row r="57" spans="1:12" x14ac:dyDescent="0.2">
      <c r="B57" s="47"/>
      <c r="C57" s="50" t="s">
        <v>960</v>
      </c>
      <c r="D57" s="55">
        <v>656866.83000000007</v>
      </c>
      <c r="E57" s="55">
        <v>0</v>
      </c>
      <c r="F57" s="92">
        <f t="shared" ref="F57:F66" si="1">+D57-E57</f>
        <v>656866.83000000007</v>
      </c>
      <c r="G57" s="38" t="s">
        <v>943</v>
      </c>
    </row>
    <row r="58" spans="1:12" x14ac:dyDescent="0.2">
      <c r="B58" s="47"/>
      <c r="C58" s="50" t="s">
        <v>961</v>
      </c>
      <c r="D58" s="317">
        <v>0</v>
      </c>
      <c r="E58" s="55">
        <v>0</v>
      </c>
      <c r="F58" s="92">
        <f t="shared" si="1"/>
        <v>0</v>
      </c>
    </row>
    <row r="59" spans="1:12" x14ac:dyDescent="0.2">
      <c r="B59" s="47"/>
      <c r="C59" s="50" t="s">
        <v>962</v>
      </c>
      <c r="D59" s="317">
        <v>8048581.4400000032</v>
      </c>
      <c r="E59" s="55">
        <v>2380301.560000001</v>
      </c>
      <c r="F59" s="92">
        <f t="shared" si="1"/>
        <v>5668279.8800000027</v>
      </c>
    </row>
    <row r="60" spans="1:12" x14ac:dyDescent="0.2">
      <c r="B60" s="47"/>
      <c r="C60" s="50" t="s">
        <v>963</v>
      </c>
      <c r="D60" s="317">
        <v>38015913.430000015</v>
      </c>
      <c r="E60" s="55">
        <v>11144689.880000016</v>
      </c>
      <c r="F60" s="92">
        <f t="shared" si="1"/>
        <v>26871223.549999997</v>
      </c>
    </row>
    <row r="61" spans="1:12" x14ac:dyDescent="0.2">
      <c r="B61" s="47"/>
      <c r="C61" s="50" t="s">
        <v>964</v>
      </c>
      <c r="D61" s="317">
        <v>1011127.14</v>
      </c>
      <c r="E61" s="55">
        <v>124727.52</v>
      </c>
      <c r="F61" s="92">
        <f t="shared" si="1"/>
        <v>886399.62</v>
      </c>
    </row>
    <row r="62" spans="1:12" x14ac:dyDescent="0.2">
      <c r="B62" s="47"/>
      <c r="C62" s="50" t="s">
        <v>965</v>
      </c>
      <c r="D62" s="317">
        <v>2591165.2500000005</v>
      </c>
      <c r="E62" s="55">
        <v>1154092.0999999999</v>
      </c>
      <c r="F62" s="92">
        <f t="shared" si="1"/>
        <v>1437073.1500000006</v>
      </c>
    </row>
    <row r="63" spans="1:12" x14ac:dyDescent="0.2">
      <c r="B63" s="47"/>
      <c r="C63" s="50" t="s">
        <v>966</v>
      </c>
      <c r="D63" s="55">
        <v>1479169.7899999998</v>
      </c>
      <c r="E63" s="55">
        <v>185364.54</v>
      </c>
      <c r="F63" s="92">
        <f t="shared" si="1"/>
        <v>1293805.2499999998</v>
      </c>
    </row>
    <row r="64" spans="1:12" x14ac:dyDescent="0.2">
      <c r="B64" s="47"/>
      <c r="C64" s="50" t="s">
        <v>967</v>
      </c>
      <c r="D64" s="55">
        <v>1993987.3099999998</v>
      </c>
      <c r="E64" s="55">
        <v>1588203.0199999996</v>
      </c>
      <c r="F64" s="92">
        <f t="shared" si="1"/>
        <v>405784.29000000027</v>
      </c>
    </row>
    <row r="65" spans="1:9" x14ac:dyDescent="0.2">
      <c r="B65" s="47"/>
      <c r="C65" s="50" t="s">
        <v>968</v>
      </c>
      <c r="D65" s="317">
        <v>4164417.99</v>
      </c>
      <c r="E65" s="55">
        <v>54182.18</v>
      </c>
      <c r="F65" s="92">
        <f t="shared" si="1"/>
        <v>4110235.81</v>
      </c>
    </row>
    <row r="66" spans="1:9" x14ac:dyDescent="0.2">
      <c r="B66" s="47"/>
      <c r="C66" s="50" t="s">
        <v>969</v>
      </c>
      <c r="D66" s="317">
        <v>29571780.069999993</v>
      </c>
      <c r="E66" s="55">
        <v>967225.77000000083</v>
      </c>
      <c r="F66" s="92">
        <f t="shared" si="1"/>
        <v>28604554.299999993</v>
      </c>
      <c r="H66" s="38" t="s">
        <v>970</v>
      </c>
      <c r="I66" s="37">
        <v>5479673.2900000131</v>
      </c>
    </row>
    <row r="67" spans="1:9" x14ac:dyDescent="0.2">
      <c r="A67" s="37">
        <v>23</v>
      </c>
      <c r="B67" s="47"/>
      <c r="C67" s="50" t="s">
        <v>971</v>
      </c>
      <c r="D67" s="55">
        <v>45064679</v>
      </c>
      <c r="E67" s="55">
        <v>2923005.6400000034</v>
      </c>
      <c r="F67" s="92">
        <f t="shared" ref="F67:F84" si="2">+D67-E67</f>
        <v>42141673.359999999</v>
      </c>
      <c r="G67" s="38" t="s">
        <v>943</v>
      </c>
      <c r="H67" s="38" t="s">
        <v>972</v>
      </c>
      <c r="I67" s="37">
        <v>15382217.730000161</v>
      </c>
    </row>
    <row r="68" spans="1:9" x14ac:dyDescent="0.2">
      <c r="A68" s="37">
        <v>24</v>
      </c>
      <c r="B68" s="47"/>
      <c r="C68" s="50" t="s">
        <v>973</v>
      </c>
      <c r="D68" s="55">
        <v>875766.71000000043</v>
      </c>
      <c r="E68" s="55">
        <v>5623.1799999999903</v>
      </c>
      <c r="F68" s="92">
        <f t="shared" si="2"/>
        <v>870143.53000000049</v>
      </c>
      <c r="G68" s="38" t="s">
        <v>943</v>
      </c>
      <c r="H68" s="38" t="s">
        <v>974</v>
      </c>
      <c r="I68" s="37">
        <v>17678038.319999702</v>
      </c>
    </row>
    <row r="69" spans="1:9" x14ac:dyDescent="0.2">
      <c r="A69" s="37">
        <v>25</v>
      </c>
      <c r="B69" s="47"/>
      <c r="C69" s="50" t="s">
        <v>975</v>
      </c>
      <c r="D69" s="55">
        <v>641050.14000000048</v>
      </c>
      <c r="E69" s="55">
        <v>4152.0100000000093</v>
      </c>
      <c r="F69" s="92">
        <f t="shared" si="2"/>
        <v>636898.13000000047</v>
      </c>
      <c r="G69" s="38" t="s">
        <v>943</v>
      </c>
      <c r="H69" s="38" t="s">
        <v>976</v>
      </c>
      <c r="I69" s="37">
        <v>20814874.85000021</v>
      </c>
    </row>
    <row r="70" spans="1:9" x14ac:dyDescent="0.2">
      <c r="A70" s="37">
        <v>26</v>
      </c>
      <c r="B70" s="47"/>
      <c r="C70" s="50" t="s">
        <v>977</v>
      </c>
      <c r="D70" s="55">
        <v>0</v>
      </c>
      <c r="E70" s="55">
        <v>0</v>
      </c>
      <c r="F70" s="92">
        <f t="shared" si="2"/>
        <v>0</v>
      </c>
      <c r="H70" s="38" t="s">
        <v>978</v>
      </c>
      <c r="I70" s="37">
        <v>5017483.4300000062</v>
      </c>
    </row>
    <row r="71" spans="1:9" x14ac:dyDescent="0.2">
      <c r="A71" s="37">
        <v>27</v>
      </c>
      <c r="B71" s="47"/>
      <c r="C71" s="50" t="s">
        <v>979</v>
      </c>
      <c r="D71" s="55">
        <v>104744906.27999978</v>
      </c>
      <c r="E71" s="55">
        <v>11015596.909999983</v>
      </c>
      <c r="F71" s="92">
        <f t="shared" si="2"/>
        <v>93729309.369999796</v>
      </c>
      <c r="G71" s="38" t="s">
        <v>943</v>
      </c>
      <c r="H71" s="38" t="s">
        <v>980</v>
      </c>
      <c r="I71" s="37">
        <v>54855161.380000539</v>
      </c>
    </row>
    <row r="72" spans="1:9" x14ac:dyDescent="0.2">
      <c r="A72" s="37">
        <v>28</v>
      </c>
      <c r="B72" s="47"/>
      <c r="C72" s="50" t="s">
        <v>970</v>
      </c>
      <c r="D72" s="317">
        <v>5318508.5399999991</v>
      </c>
      <c r="E72" s="55">
        <v>4811134.4499999993</v>
      </c>
      <c r="F72" s="92">
        <f t="shared" si="2"/>
        <v>507374.08999999985</v>
      </c>
      <c r="H72" s="38" t="s">
        <v>981</v>
      </c>
      <c r="I72" s="37">
        <v>3463510.84</v>
      </c>
    </row>
    <row r="73" spans="1:9" x14ac:dyDescent="0.2">
      <c r="A73" s="37">
        <v>29</v>
      </c>
      <c r="B73" s="47"/>
      <c r="C73" s="50" t="s">
        <v>972</v>
      </c>
      <c r="D73" s="317">
        <v>15270018.949999971</v>
      </c>
      <c r="E73" s="55">
        <v>14663395.81999997</v>
      </c>
      <c r="F73" s="92">
        <f t="shared" si="2"/>
        <v>606623.13000000082</v>
      </c>
      <c r="H73" s="38" t="s">
        <v>982</v>
      </c>
      <c r="I73" s="37">
        <v>4901324.7499999944</v>
      </c>
    </row>
    <row r="74" spans="1:9" x14ac:dyDescent="0.2">
      <c r="A74" s="37">
        <v>30</v>
      </c>
      <c r="B74" s="47"/>
      <c r="C74" s="50" t="s">
        <v>983</v>
      </c>
      <c r="D74" s="55">
        <v>60980952.839999758</v>
      </c>
      <c r="E74" s="55">
        <v>5260638.2400000114</v>
      </c>
      <c r="F74" s="92">
        <f t="shared" si="2"/>
        <v>55720314.599999748</v>
      </c>
      <c r="G74" s="38" t="s">
        <v>943</v>
      </c>
      <c r="H74" s="38" t="s">
        <v>984</v>
      </c>
      <c r="I74" s="37">
        <v>2055550.2199999983</v>
      </c>
    </row>
    <row r="75" spans="1:9" x14ac:dyDescent="0.2">
      <c r="A75" s="37">
        <v>31</v>
      </c>
      <c r="B75" s="47"/>
      <c r="C75" s="50" t="s">
        <v>985</v>
      </c>
      <c r="D75" s="55">
        <v>165114169.86999765</v>
      </c>
      <c r="E75" s="55">
        <v>14282214.210000146</v>
      </c>
      <c r="F75" s="92">
        <f t="shared" si="2"/>
        <v>150831955.65999749</v>
      </c>
      <c r="G75" s="38" t="s">
        <v>943</v>
      </c>
      <c r="H75" s="38" t="s">
        <v>967</v>
      </c>
      <c r="I75" s="37">
        <v>1993987.309999998</v>
      </c>
    </row>
    <row r="76" spans="1:9" x14ac:dyDescent="0.2">
      <c r="A76" s="37">
        <v>32</v>
      </c>
      <c r="B76" s="47"/>
      <c r="C76" s="93" t="s">
        <v>974</v>
      </c>
      <c r="D76" s="317">
        <v>17898880.280000042</v>
      </c>
      <c r="E76" s="55">
        <v>7921333.2000002302</v>
      </c>
      <c r="F76" s="92">
        <f t="shared" si="2"/>
        <v>9977547.0799998119</v>
      </c>
      <c r="H76" s="38" t="s">
        <v>968</v>
      </c>
      <c r="I76" s="37">
        <v>155866.59</v>
      </c>
    </row>
    <row r="77" spans="1:9" x14ac:dyDescent="0.2">
      <c r="A77" s="37">
        <v>33</v>
      </c>
      <c r="B77" s="47"/>
      <c r="C77" s="8" t="s">
        <v>976</v>
      </c>
      <c r="D77" s="317">
        <v>20639386.669999938</v>
      </c>
      <c r="E77" s="55">
        <v>20409489.819999933</v>
      </c>
      <c r="F77" s="92">
        <f t="shared" si="2"/>
        <v>229896.85000000522</v>
      </c>
      <c r="H77" s="38" t="s">
        <v>986</v>
      </c>
      <c r="I77" s="37">
        <v>14009147.400000095</v>
      </c>
    </row>
    <row r="78" spans="1:9" x14ac:dyDescent="0.2">
      <c r="A78" s="37">
        <v>34</v>
      </c>
      <c r="B78" s="47"/>
      <c r="C78" s="50" t="s">
        <v>987</v>
      </c>
      <c r="D78" s="317">
        <v>5986665.4299999895</v>
      </c>
      <c r="E78" s="55">
        <v>4348868.5499999961</v>
      </c>
      <c r="F78" s="92">
        <f t="shared" si="2"/>
        <v>1637796.8799999934</v>
      </c>
      <c r="H78" s="38" t="s">
        <v>965</v>
      </c>
      <c r="I78" s="37">
        <v>6002319.8400000064</v>
      </c>
    </row>
    <row r="79" spans="1:9" x14ac:dyDescent="0.2">
      <c r="A79" s="37">
        <v>35</v>
      </c>
      <c r="B79" s="47"/>
      <c r="C79" s="45" t="s">
        <v>978</v>
      </c>
      <c r="D79" s="317">
        <v>4895241.089999998</v>
      </c>
      <c r="E79" s="55">
        <v>3655479.4100000006</v>
      </c>
      <c r="F79" s="92">
        <f t="shared" si="2"/>
        <v>1239761.6799999974</v>
      </c>
      <c r="H79" s="38" t="s">
        <v>963</v>
      </c>
      <c r="I79" s="37">
        <v>34500912.640000001</v>
      </c>
    </row>
    <row r="80" spans="1:9" x14ac:dyDescent="0.2">
      <c r="A80" s="37">
        <v>36</v>
      </c>
      <c r="B80" s="47"/>
      <c r="C80" s="9" t="s">
        <v>984</v>
      </c>
      <c r="D80" s="317">
        <v>1859809.35</v>
      </c>
      <c r="E80" s="55">
        <v>1859213.2300000002</v>
      </c>
      <c r="F80" s="92">
        <f t="shared" si="2"/>
        <v>596.11999999987893</v>
      </c>
      <c r="H80" s="38" t="s">
        <v>962</v>
      </c>
      <c r="I80" s="37">
        <v>5533569.5899999999</v>
      </c>
    </row>
    <row r="81" spans="1:9" x14ac:dyDescent="0.2">
      <c r="A81" s="37">
        <v>37</v>
      </c>
      <c r="B81" s="47"/>
      <c r="C81" s="9" t="s">
        <v>980</v>
      </c>
      <c r="D81" s="317">
        <v>55030966.390000299</v>
      </c>
      <c r="E81" s="55">
        <v>22689414.750000298</v>
      </c>
      <c r="F81" s="92">
        <f t="shared" si="2"/>
        <v>32341551.640000001</v>
      </c>
      <c r="H81" s="38" t="s">
        <v>987</v>
      </c>
      <c r="I81" s="37">
        <v>5788685.8799999906</v>
      </c>
    </row>
    <row r="82" spans="1:9" x14ac:dyDescent="0.2">
      <c r="A82" s="37">
        <v>38</v>
      </c>
      <c r="B82" s="47"/>
      <c r="C82" s="51" t="s">
        <v>981</v>
      </c>
      <c r="D82" s="317">
        <v>3328289.879999999</v>
      </c>
      <c r="E82" s="55">
        <v>1757359.9499999995</v>
      </c>
      <c r="F82" s="92">
        <f t="shared" si="2"/>
        <v>1570929.9299999995</v>
      </c>
      <c r="H82" s="38" t="s">
        <v>969</v>
      </c>
      <c r="I82" s="37">
        <v>190182.39999999999</v>
      </c>
    </row>
    <row r="83" spans="1:9" x14ac:dyDescent="0.2">
      <c r="A83" s="37">
        <v>39</v>
      </c>
      <c r="B83" s="47"/>
      <c r="C83" s="10" t="s">
        <v>982</v>
      </c>
      <c r="D83" s="317">
        <v>5398995.9199999981</v>
      </c>
      <c r="E83" s="55">
        <v>4221005.8099999996</v>
      </c>
      <c r="F83" s="92">
        <f t="shared" si="2"/>
        <v>1177990.1099999985</v>
      </c>
      <c r="H83" s="38" t="s">
        <v>966</v>
      </c>
      <c r="I83" s="37">
        <v>1479169.79</v>
      </c>
    </row>
    <row r="84" spans="1:9" x14ac:dyDescent="0.2">
      <c r="B84" s="47"/>
      <c r="C84" s="45" t="s">
        <v>986</v>
      </c>
      <c r="D84" s="317">
        <v>18105534.84000003</v>
      </c>
      <c r="E84" s="55">
        <v>6135054.0899999598</v>
      </c>
      <c r="F84" s="92">
        <f t="shared" si="2"/>
        <v>11970480.750000071</v>
      </c>
      <c r="H84" s="38" t="s">
        <v>961</v>
      </c>
      <c r="I84" s="37">
        <v>1011127.14</v>
      </c>
    </row>
    <row r="85" spans="1:9" x14ac:dyDescent="0.2">
      <c r="A85" s="37">
        <v>40</v>
      </c>
      <c r="B85" s="47"/>
      <c r="C85" s="48" t="s">
        <v>196</v>
      </c>
      <c r="D85" s="91">
        <f>SUM(D86:D93)</f>
        <v>26036627.800000008</v>
      </c>
      <c r="E85" s="91">
        <f>SUM(E86:E93)</f>
        <v>8889515.879999999</v>
      </c>
      <c r="F85" s="91">
        <f>SUM(F86:F93)</f>
        <v>17147111.920000002</v>
      </c>
    </row>
    <row r="86" spans="1:9" x14ac:dyDescent="0.2">
      <c r="B86" s="47"/>
      <c r="C86" s="50" t="s">
        <v>988</v>
      </c>
      <c r="D86" s="55">
        <v>0</v>
      </c>
      <c r="E86" s="55">
        <v>0</v>
      </c>
      <c r="F86" s="92">
        <v>0</v>
      </c>
      <c r="G86" s="38" t="s">
        <v>943</v>
      </c>
      <c r="H86" s="38" t="s">
        <v>988</v>
      </c>
      <c r="I86" s="37">
        <v>0</v>
      </c>
    </row>
    <row r="87" spans="1:9" x14ac:dyDescent="0.2">
      <c r="A87" s="37">
        <v>41</v>
      </c>
      <c r="B87" s="47"/>
      <c r="C87" s="50" t="s">
        <v>989</v>
      </c>
      <c r="D87" s="317">
        <v>7588062.2899999991</v>
      </c>
      <c r="E87" s="55">
        <v>1159429.9600000002</v>
      </c>
      <c r="F87" s="92">
        <f t="shared" ref="F87:F93" si="3">+D87-E87</f>
        <v>6428632.3299999991</v>
      </c>
      <c r="H87" s="38" t="s">
        <v>990</v>
      </c>
      <c r="I87" s="37">
        <v>2032630.8099999996</v>
      </c>
    </row>
    <row r="88" spans="1:9" x14ac:dyDescent="0.2">
      <c r="A88" s="37">
        <v>42</v>
      </c>
      <c r="B88" s="47"/>
      <c r="C88" s="50" t="s">
        <v>991</v>
      </c>
      <c r="D88" s="317">
        <v>5738065.3099999996</v>
      </c>
      <c r="E88" s="55">
        <v>2348981.2699999996</v>
      </c>
      <c r="F88" s="92">
        <f t="shared" si="3"/>
        <v>3389084.04</v>
      </c>
      <c r="H88" s="38" t="s">
        <v>992</v>
      </c>
      <c r="I88" s="37">
        <v>2962163.64</v>
      </c>
    </row>
    <row r="89" spans="1:9" x14ac:dyDescent="0.2">
      <c r="A89" s="37">
        <v>43</v>
      </c>
      <c r="B89" s="47"/>
      <c r="C89" s="50" t="s">
        <v>992</v>
      </c>
      <c r="D89" s="317">
        <v>3005386.7900000005</v>
      </c>
      <c r="E89" s="55">
        <v>603445.19000000018</v>
      </c>
      <c r="F89" s="92">
        <f t="shared" si="3"/>
        <v>2401941.6000000006</v>
      </c>
      <c r="H89" s="38" t="s">
        <v>993</v>
      </c>
      <c r="I89" s="37">
        <v>4313901.0299999993</v>
      </c>
    </row>
    <row r="90" spans="1:9" x14ac:dyDescent="0.2">
      <c r="A90" s="37">
        <v>44</v>
      </c>
      <c r="B90" s="47"/>
      <c r="C90" s="50" t="s">
        <v>994</v>
      </c>
      <c r="D90" s="317">
        <v>3451704.4900000026</v>
      </c>
      <c r="E90" s="55">
        <v>2581201.2999999993</v>
      </c>
      <c r="F90" s="92">
        <f t="shared" si="3"/>
        <v>870503.1900000032</v>
      </c>
      <c r="H90" s="38" t="s">
        <v>994</v>
      </c>
      <c r="I90" s="37">
        <v>5766682.9100000001</v>
      </c>
    </row>
    <row r="91" spans="1:9" x14ac:dyDescent="0.2">
      <c r="A91" s="37">
        <v>45</v>
      </c>
      <c r="B91" s="47"/>
      <c r="C91" s="50" t="s">
        <v>995</v>
      </c>
      <c r="D91" s="317">
        <v>269818.46000000002</v>
      </c>
      <c r="E91" s="55">
        <v>178615.96999999994</v>
      </c>
      <c r="F91" s="92">
        <f t="shared" si="3"/>
        <v>91202.490000000078</v>
      </c>
      <c r="H91" s="38" t="s">
        <v>995</v>
      </c>
      <c r="I91" s="37">
        <v>199901.93</v>
      </c>
    </row>
    <row r="92" spans="1:9" x14ac:dyDescent="0.2">
      <c r="A92" s="37">
        <v>46</v>
      </c>
      <c r="B92" s="47"/>
      <c r="C92" s="50" t="s">
        <v>996</v>
      </c>
      <c r="D92" s="317">
        <v>849114.22999999986</v>
      </c>
      <c r="E92" s="55">
        <v>273517.71999999991</v>
      </c>
      <c r="F92" s="92">
        <f t="shared" si="3"/>
        <v>575596.51</v>
      </c>
      <c r="H92" s="38" t="s">
        <v>996</v>
      </c>
      <c r="I92" s="37">
        <v>779197.70000000007</v>
      </c>
    </row>
    <row r="93" spans="1:9" x14ac:dyDescent="0.2">
      <c r="A93" s="37">
        <v>47</v>
      </c>
      <c r="B93" s="47"/>
      <c r="C93" s="45" t="s">
        <v>997</v>
      </c>
      <c r="D93" s="317">
        <v>5134476.2300000032</v>
      </c>
      <c r="E93" s="55">
        <v>1744324.4700000014</v>
      </c>
      <c r="F93" s="92">
        <f t="shared" si="3"/>
        <v>3390151.7600000016</v>
      </c>
      <c r="H93" s="38" t="s">
        <v>997</v>
      </c>
      <c r="I93" s="37">
        <v>6455340.370000001</v>
      </c>
    </row>
    <row r="94" spans="1:9" ht="15" customHeight="1" x14ac:dyDescent="0.2">
      <c r="A94" s="37">
        <v>48</v>
      </c>
      <c r="B94" s="1631" t="s">
        <v>934</v>
      </c>
      <c r="C94" s="1632"/>
      <c r="D94" s="95">
        <f>+D95+D115</f>
        <v>315731642.7700001</v>
      </c>
      <c r="E94" s="95">
        <f>+E95+E115</f>
        <v>117576155.27999982</v>
      </c>
      <c r="F94" s="95">
        <f>+F95+F115</f>
        <v>143738319.81000021</v>
      </c>
      <c r="G94" s="37"/>
    </row>
    <row r="95" spans="1:9" x14ac:dyDescent="0.2">
      <c r="A95" s="37">
        <v>49</v>
      </c>
      <c r="B95" s="47"/>
      <c r="C95" s="48" t="s">
        <v>941</v>
      </c>
      <c r="D95" s="91">
        <f>SUM(D96:D114)</f>
        <v>272379123.23000002</v>
      </c>
      <c r="E95" s="91">
        <f>SUM(E96:E114)</f>
        <v>98329611.469999894</v>
      </c>
      <c r="F95" s="91">
        <f>SUM(F96:F114)</f>
        <v>119632344.08000004</v>
      </c>
      <c r="G95" s="37"/>
    </row>
    <row r="96" spans="1:9" x14ac:dyDescent="0.2">
      <c r="A96" s="37">
        <v>50</v>
      </c>
      <c r="B96" s="47"/>
      <c r="C96" s="8" t="s">
        <v>961</v>
      </c>
      <c r="D96" s="55">
        <v>0</v>
      </c>
      <c r="E96" s="55">
        <v>0</v>
      </c>
      <c r="F96" s="92">
        <f t="shared" ref="F96:F107" si="4">+D96-E96</f>
        <v>0</v>
      </c>
      <c r="G96" s="37"/>
      <c r="H96" s="38" t="s">
        <v>998</v>
      </c>
      <c r="I96" s="37">
        <v>7925306.71</v>
      </c>
    </row>
    <row r="97" spans="1:9" x14ac:dyDescent="0.2">
      <c r="A97" s="37">
        <v>51</v>
      </c>
      <c r="B97" s="47"/>
      <c r="C97" s="45" t="s">
        <v>999</v>
      </c>
      <c r="D97" s="317">
        <v>7586507.5599999893</v>
      </c>
      <c r="E97" s="55">
        <v>1219152.0199999972</v>
      </c>
      <c r="F97" s="92">
        <f t="shared" si="4"/>
        <v>6367355.5399999917</v>
      </c>
      <c r="G97" s="37"/>
      <c r="H97" s="38" t="s">
        <v>1000</v>
      </c>
      <c r="I97" s="37">
        <v>8193828.6599999797</v>
      </c>
    </row>
    <row r="98" spans="1:9" x14ac:dyDescent="0.2">
      <c r="A98" s="37">
        <v>52</v>
      </c>
      <c r="B98" s="47"/>
      <c r="C98" s="45" t="s">
        <v>1001</v>
      </c>
      <c r="D98" s="55">
        <v>122666.72</v>
      </c>
      <c r="E98" s="55">
        <v>0</v>
      </c>
      <c r="F98" s="92">
        <f t="shared" si="4"/>
        <v>122666.72</v>
      </c>
      <c r="G98" s="37" t="s">
        <v>943</v>
      </c>
      <c r="H98" s="38" t="s">
        <v>1002</v>
      </c>
      <c r="I98" s="37">
        <v>8329526.1399999931</v>
      </c>
    </row>
    <row r="99" spans="1:9" x14ac:dyDescent="0.2">
      <c r="A99" s="37">
        <v>53</v>
      </c>
      <c r="B99" s="47"/>
      <c r="C99" s="45" t="s">
        <v>998</v>
      </c>
      <c r="D99" s="317">
        <v>7930169.4600000065</v>
      </c>
      <c r="E99" s="55">
        <v>3472175.7800000054</v>
      </c>
      <c r="F99" s="92">
        <f t="shared" si="4"/>
        <v>4457993.6800000016</v>
      </c>
      <c r="G99" s="37"/>
      <c r="H99" s="38" t="s">
        <v>1003</v>
      </c>
      <c r="I99" s="37">
        <v>21841324.699999999</v>
      </c>
    </row>
    <row r="100" spans="1:9" x14ac:dyDescent="0.2">
      <c r="A100" s="37">
        <v>54</v>
      </c>
      <c r="B100" s="47"/>
      <c r="C100" s="45" t="s">
        <v>1000</v>
      </c>
      <c r="D100" s="317">
        <v>29201877.830000009</v>
      </c>
      <c r="E100" s="55">
        <v>9312948.459999999</v>
      </c>
      <c r="F100" s="92">
        <f t="shared" si="4"/>
        <v>19888929.370000012</v>
      </c>
      <c r="G100" s="37"/>
      <c r="H100" s="38" t="s">
        <v>1004</v>
      </c>
      <c r="I100" s="37">
        <v>15607907.409999998</v>
      </c>
    </row>
    <row r="101" spans="1:9" x14ac:dyDescent="0.2">
      <c r="A101" s="37">
        <v>55</v>
      </c>
      <c r="B101" s="47"/>
      <c r="C101" s="45" t="s">
        <v>1002</v>
      </c>
      <c r="D101" s="317">
        <v>8306474.4699999969</v>
      </c>
      <c r="E101" s="55">
        <v>4290500.7999999961</v>
      </c>
      <c r="F101" s="92">
        <f t="shared" si="4"/>
        <v>4015973.6700000009</v>
      </c>
      <c r="G101" s="37"/>
      <c r="H101" s="38" t="s">
        <v>1005</v>
      </c>
      <c r="I101" s="37">
        <v>21007561.18</v>
      </c>
    </row>
    <row r="102" spans="1:9" x14ac:dyDescent="0.2">
      <c r="A102" s="37">
        <v>56</v>
      </c>
      <c r="B102" s="47"/>
      <c r="C102" s="45" t="s">
        <v>1003</v>
      </c>
      <c r="D102" s="317">
        <v>46014552.989999942</v>
      </c>
      <c r="E102" s="55">
        <v>15758655.750000034</v>
      </c>
      <c r="F102" s="92">
        <f t="shared" si="4"/>
        <v>30255897.239999909</v>
      </c>
      <c r="H102" s="38" t="s">
        <v>1006</v>
      </c>
      <c r="I102" s="37">
        <v>20346531.880000003</v>
      </c>
    </row>
    <row r="103" spans="1:9" x14ac:dyDescent="0.2">
      <c r="A103" s="37">
        <v>57</v>
      </c>
      <c r="B103" s="47"/>
      <c r="C103" s="45" t="s">
        <v>1004</v>
      </c>
      <c r="D103" s="317">
        <v>18455369.469999991</v>
      </c>
      <c r="E103" s="55">
        <v>13656907.249999976</v>
      </c>
      <c r="F103" s="92">
        <f t="shared" si="4"/>
        <v>4798462.2200000156</v>
      </c>
      <c r="H103" s="38" t="s">
        <v>1007</v>
      </c>
      <c r="I103" s="37">
        <v>5094809.9200000009</v>
      </c>
    </row>
    <row r="104" spans="1:9" x14ac:dyDescent="0.2">
      <c r="A104" s="37">
        <v>58</v>
      </c>
      <c r="B104" s="47"/>
      <c r="C104" s="45" t="s">
        <v>1008</v>
      </c>
      <c r="D104" s="317">
        <v>5338170.1900000013</v>
      </c>
      <c r="E104" s="55">
        <v>756607.77999999991</v>
      </c>
      <c r="F104" s="92">
        <f t="shared" si="4"/>
        <v>4581562.4100000011</v>
      </c>
      <c r="H104" s="38" t="s">
        <v>1009</v>
      </c>
      <c r="I104" s="37">
        <v>10892534.149999991</v>
      </c>
    </row>
    <row r="105" spans="1:9" x14ac:dyDescent="0.2">
      <c r="A105" s="37">
        <v>59</v>
      </c>
      <c r="B105" s="47"/>
      <c r="C105" s="45" t="s">
        <v>1010</v>
      </c>
      <c r="D105" s="317">
        <v>2153121.8200000008</v>
      </c>
      <c r="E105" s="55">
        <v>1078404.1600000004</v>
      </c>
      <c r="F105" s="92">
        <f t="shared" si="4"/>
        <v>1074717.6600000004</v>
      </c>
      <c r="H105" s="38" t="s">
        <v>1010</v>
      </c>
      <c r="I105" s="37">
        <v>2153121.8199999994</v>
      </c>
    </row>
    <row r="106" spans="1:9" x14ac:dyDescent="0.2">
      <c r="B106" s="47"/>
      <c r="C106" s="45" t="s">
        <v>1005</v>
      </c>
      <c r="D106" s="317">
        <v>40210468.069999933</v>
      </c>
      <c r="E106" s="55">
        <v>20107359.719999909</v>
      </c>
      <c r="F106" s="92">
        <f t="shared" si="4"/>
        <v>20103108.350000024</v>
      </c>
      <c r="H106" s="38" t="s">
        <v>1008</v>
      </c>
      <c r="I106" s="37">
        <v>5333569.1900000004</v>
      </c>
    </row>
    <row r="107" spans="1:9" x14ac:dyDescent="0.2">
      <c r="B107" s="47"/>
      <c r="C107" s="45" t="s">
        <v>1006</v>
      </c>
      <c r="D107" s="317">
        <v>32729561.970000099</v>
      </c>
      <c r="E107" s="55">
        <v>8763884.7499999888</v>
      </c>
      <c r="F107" s="92">
        <f t="shared" si="4"/>
        <v>23965677.220000111</v>
      </c>
      <c r="G107" s="38" t="s">
        <v>1011</v>
      </c>
      <c r="H107" s="38" t="s">
        <v>1012</v>
      </c>
      <c r="I107" s="37">
        <v>2828058.17</v>
      </c>
    </row>
    <row r="108" spans="1:9" x14ac:dyDescent="0.2">
      <c r="B108" s="47"/>
      <c r="C108" s="45" t="s">
        <v>1013</v>
      </c>
      <c r="D108" s="55">
        <v>6089786.7000000002</v>
      </c>
      <c r="E108" s="55">
        <v>0</v>
      </c>
      <c r="F108" s="92"/>
      <c r="G108" s="38" t="s">
        <v>943</v>
      </c>
    </row>
    <row r="109" spans="1:9" x14ac:dyDescent="0.2">
      <c r="B109" s="47"/>
      <c r="C109" s="45" t="s">
        <v>1007</v>
      </c>
      <c r="D109" s="317">
        <v>5831309.1400000025</v>
      </c>
      <c r="E109" s="55">
        <v>3925441.8300000005</v>
      </c>
      <c r="F109" s="92"/>
    </row>
    <row r="110" spans="1:9" x14ac:dyDescent="0.2">
      <c r="B110" s="47"/>
      <c r="C110" s="45" t="s">
        <v>1009</v>
      </c>
      <c r="D110" s="317">
        <v>24482403.930000037</v>
      </c>
      <c r="E110" s="55">
        <v>8147808.9899999853</v>
      </c>
      <c r="F110" s="92"/>
    </row>
    <row r="111" spans="1:9" x14ac:dyDescent="0.2">
      <c r="B111" s="47"/>
      <c r="C111" s="45" t="s">
        <v>950</v>
      </c>
      <c r="D111" s="317">
        <v>11706839.59</v>
      </c>
      <c r="E111" s="55">
        <v>3627438.7600000058</v>
      </c>
      <c r="F111" s="92"/>
    </row>
    <row r="112" spans="1:9" x14ac:dyDescent="0.2">
      <c r="B112" s="47"/>
      <c r="C112" s="45" t="s">
        <v>1014</v>
      </c>
      <c r="D112" s="55">
        <v>10967252.23</v>
      </c>
      <c r="E112" s="55">
        <v>2320597.7500000009</v>
      </c>
      <c r="F112" s="92"/>
      <c r="G112" s="38" t="s">
        <v>943</v>
      </c>
    </row>
    <row r="113" spans="1:9" x14ac:dyDescent="0.2">
      <c r="B113" s="47"/>
      <c r="C113" s="45" t="s">
        <v>1015</v>
      </c>
      <c r="D113" s="55">
        <v>12201836.849999996</v>
      </c>
      <c r="E113" s="55">
        <v>1860922.9000000029</v>
      </c>
      <c r="F113" s="92"/>
      <c r="G113" s="38" t="s">
        <v>943</v>
      </c>
    </row>
    <row r="114" spans="1:9" x14ac:dyDescent="0.2">
      <c r="B114" s="47"/>
      <c r="C114" s="45" t="s">
        <v>1016</v>
      </c>
      <c r="D114" s="55">
        <v>3050754.239999997</v>
      </c>
      <c r="E114" s="55">
        <v>30804.76999999999</v>
      </c>
      <c r="F114" s="92"/>
      <c r="G114" s="38" t="s">
        <v>943</v>
      </c>
    </row>
    <row r="115" spans="1:9" x14ac:dyDescent="0.2">
      <c r="A115" s="37">
        <v>60</v>
      </c>
      <c r="B115" s="47"/>
      <c r="C115" s="48" t="s">
        <v>1017</v>
      </c>
      <c r="D115" s="91">
        <f>SUM(D116:D121)</f>
        <v>43352519.540000111</v>
      </c>
      <c r="E115" s="91">
        <f>SUM(E116:E121)</f>
        <v>19246543.809999932</v>
      </c>
      <c r="F115" s="94">
        <f>SUM(F116:F121)</f>
        <v>24105975.730000179</v>
      </c>
    </row>
    <row r="116" spans="1:9" x14ac:dyDescent="0.2">
      <c r="A116" s="37">
        <v>61</v>
      </c>
      <c r="B116" s="47"/>
      <c r="C116" s="45" t="s">
        <v>1018</v>
      </c>
      <c r="D116" s="317">
        <v>6932616.0400000317</v>
      </c>
      <c r="E116" s="55">
        <v>5040143.6199999601</v>
      </c>
      <c r="F116" s="92">
        <f t="shared" ref="F116:F121" si="5">+D116-E116</f>
        <v>1892472.4200000716</v>
      </c>
      <c r="H116" s="38" t="s">
        <v>1018</v>
      </c>
      <c r="I116" s="37">
        <v>6547037.1999999965</v>
      </c>
    </row>
    <row r="117" spans="1:9" x14ac:dyDescent="0.2">
      <c r="A117" s="37">
        <v>62</v>
      </c>
      <c r="B117" s="47"/>
      <c r="C117" s="45" t="s">
        <v>1019</v>
      </c>
      <c r="D117" s="317">
        <v>7595396.8800000027</v>
      </c>
      <c r="E117" s="55">
        <v>4255919.3699999973</v>
      </c>
      <c r="F117" s="92">
        <f t="shared" si="5"/>
        <v>3339477.5100000054</v>
      </c>
      <c r="H117" s="38" t="s">
        <v>1019</v>
      </c>
      <c r="I117" s="37">
        <v>3532168.7600000007</v>
      </c>
    </row>
    <row r="118" spans="1:9" x14ac:dyDescent="0.2">
      <c r="A118" s="37">
        <v>63</v>
      </c>
      <c r="B118" s="47"/>
      <c r="C118" s="45" t="s">
        <v>1020</v>
      </c>
      <c r="D118" s="317">
        <v>490791.08</v>
      </c>
      <c r="E118" s="55">
        <v>99326.750000000015</v>
      </c>
      <c r="F118" s="92">
        <f t="shared" si="5"/>
        <v>391464.33</v>
      </c>
      <c r="G118" s="38" t="s">
        <v>943</v>
      </c>
      <c r="H118" s="38" t="s">
        <v>1020</v>
      </c>
      <c r="I118" s="37">
        <v>1099317.24</v>
      </c>
    </row>
    <row r="119" spans="1:9" x14ac:dyDescent="0.2">
      <c r="A119" s="37">
        <v>64</v>
      </c>
      <c r="B119" s="47"/>
      <c r="C119" s="45" t="s">
        <v>1021</v>
      </c>
      <c r="D119" s="317">
        <v>6687076.2600000501</v>
      </c>
      <c r="E119" s="55">
        <v>1879815.9599999944</v>
      </c>
      <c r="F119" s="92">
        <f t="shared" si="5"/>
        <v>4807260.3000000557</v>
      </c>
      <c r="H119" s="38" t="s">
        <v>1021</v>
      </c>
      <c r="I119" s="37">
        <v>5384869.3099999996</v>
      </c>
    </row>
    <row r="120" spans="1:9" x14ac:dyDescent="0.2">
      <c r="A120" s="37">
        <v>65</v>
      </c>
      <c r="B120" s="47"/>
      <c r="C120" s="45" t="s">
        <v>1022</v>
      </c>
      <c r="D120" s="317">
        <v>14532011.140000032</v>
      </c>
      <c r="E120" s="55">
        <v>5300467.7299999781</v>
      </c>
      <c r="F120" s="92">
        <f t="shared" si="5"/>
        <v>9231543.4100000542</v>
      </c>
      <c r="G120" s="38" t="s">
        <v>1023</v>
      </c>
      <c r="H120" s="38" t="s">
        <v>1022</v>
      </c>
      <c r="I120" s="37">
        <v>12693046.850000001</v>
      </c>
    </row>
    <row r="121" spans="1:9" x14ac:dyDescent="0.2">
      <c r="A121" s="37">
        <v>66</v>
      </c>
      <c r="B121" s="47"/>
      <c r="C121" s="45" t="s">
        <v>1024</v>
      </c>
      <c r="D121" s="55">
        <v>7114628.1399999969</v>
      </c>
      <c r="E121" s="55">
        <v>2670870.3800000027</v>
      </c>
      <c r="F121" s="92">
        <f t="shared" si="5"/>
        <v>4443757.7599999942</v>
      </c>
      <c r="H121" s="38" t="s">
        <v>1024</v>
      </c>
      <c r="I121" s="37">
        <v>7114628.1400000006</v>
      </c>
    </row>
    <row r="122" spans="1:9" ht="13.5" thickBot="1" x14ac:dyDescent="0.25">
      <c r="A122" s="37">
        <v>67</v>
      </c>
      <c r="B122" s="47"/>
      <c r="C122" s="8"/>
      <c r="D122" s="55"/>
      <c r="E122" s="55"/>
      <c r="F122" s="92"/>
    </row>
    <row r="123" spans="1:9" ht="15" customHeight="1" thickBot="1" x14ac:dyDescent="0.3">
      <c r="A123" s="37">
        <v>68</v>
      </c>
      <c r="B123" s="1627" t="s">
        <v>1025</v>
      </c>
      <c r="C123" s="1628"/>
      <c r="D123" s="591">
        <f>SUM(D124:D133)</f>
        <v>43923511.689999931</v>
      </c>
      <c r="E123" s="591">
        <f>SUM(E124:E133)</f>
        <v>33980215.26999978</v>
      </c>
      <c r="F123" s="591">
        <f>SUM(F124:F133)</f>
        <v>9943296.4200001489</v>
      </c>
    </row>
    <row r="124" spans="1:9" x14ac:dyDescent="0.2">
      <c r="A124" s="37">
        <v>69</v>
      </c>
      <c r="B124" s="52"/>
      <c r="C124" s="45" t="s">
        <v>303</v>
      </c>
      <c r="D124" s="317">
        <v>1638653.7699999977</v>
      </c>
      <c r="E124" s="55">
        <v>492239.49</v>
      </c>
      <c r="F124" s="96">
        <f t="shared" ref="F124:F133" si="6">+D124-E124</f>
        <v>1146414.2799999977</v>
      </c>
      <c r="H124" s="38" t="s">
        <v>303</v>
      </c>
      <c r="I124" s="37">
        <v>981996.18</v>
      </c>
    </row>
    <row r="125" spans="1:9" x14ac:dyDescent="0.2">
      <c r="A125" s="37">
        <v>70</v>
      </c>
      <c r="B125" s="54"/>
      <c r="C125" s="45" t="s">
        <v>812</v>
      </c>
      <c r="D125" s="317">
        <v>17229864.73999995</v>
      </c>
      <c r="E125" s="55">
        <v>15148263.999999885</v>
      </c>
      <c r="F125" s="96">
        <f t="shared" si="6"/>
        <v>2081600.7400000654</v>
      </c>
      <c r="H125" s="38" t="s">
        <v>812</v>
      </c>
      <c r="I125" s="37">
        <v>16759306.11999991</v>
      </c>
    </row>
    <row r="126" spans="1:9" x14ac:dyDescent="0.2">
      <c r="A126" s="37">
        <v>71</v>
      </c>
      <c r="B126" s="54"/>
      <c r="C126" s="45" t="s">
        <v>324</v>
      </c>
      <c r="D126" s="317">
        <v>9308411.6699999813</v>
      </c>
      <c r="E126" s="55">
        <v>7022309.8999999091</v>
      </c>
      <c r="F126" s="96">
        <f t="shared" si="6"/>
        <v>2286101.7700000722</v>
      </c>
      <c r="H126" s="38" t="s">
        <v>324</v>
      </c>
      <c r="I126" s="37">
        <v>15851735.370000295</v>
      </c>
    </row>
    <row r="127" spans="1:9" x14ac:dyDescent="0.2">
      <c r="A127" s="37">
        <v>72</v>
      </c>
      <c r="B127" s="54"/>
      <c r="C127" s="45" t="s">
        <v>323</v>
      </c>
      <c r="D127" s="55">
        <v>1286786.2100000004</v>
      </c>
      <c r="E127" s="55">
        <v>1286786.2100000004</v>
      </c>
      <c r="F127" s="96">
        <f t="shared" si="6"/>
        <v>0</v>
      </c>
      <c r="H127" s="38" t="s">
        <v>323</v>
      </c>
      <c r="I127" s="37">
        <v>1286786.2100000004</v>
      </c>
    </row>
    <row r="128" spans="1:9" x14ac:dyDescent="0.2">
      <c r="A128" s="37">
        <v>73</v>
      </c>
      <c r="B128" s="54"/>
      <c r="C128" s="45" t="s">
        <v>322</v>
      </c>
      <c r="D128" s="317">
        <v>8796504.3299999889</v>
      </c>
      <c r="E128" s="55">
        <v>5802731.4799999921</v>
      </c>
      <c r="F128" s="96">
        <f t="shared" si="6"/>
        <v>2993772.8499999968</v>
      </c>
      <c r="H128" s="38" t="s">
        <v>322</v>
      </c>
      <c r="I128" s="37">
        <v>4797534.8700000038</v>
      </c>
    </row>
    <row r="129" spans="1:9" x14ac:dyDescent="0.2">
      <c r="A129" s="37">
        <v>74</v>
      </c>
      <c r="B129" s="54"/>
      <c r="C129" s="45" t="s">
        <v>815</v>
      </c>
      <c r="D129" s="317">
        <v>900887.26999999979</v>
      </c>
      <c r="E129" s="55">
        <v>622610.74000000104</v>
      </c>
      <c r="F129" s="96">
        <f t="shared" si="6"/>
        <v>278276.52999999875</v>
      </c>
      <c r="H129" s="38" t="s">
        <v>815</v>
      </c>
      <c r="I129" s="37">
        <v>554147.74999999977</v>
      </c>
    </row>
    <row r="130" spans="1:9" x14ac:dyDescent="0.2">
      <c r="A130" s="37">
        <v>75</v>
      </c>
      <c r="B130" s="54"/>
      <c r="C130" s="45" t="s">
        <v>311</v>
      </c>
      <c r="D130" s="55">
        <v>316816.07999999996</v>
      </c>
      <c r="E130" s="55">
        <v>173770.04000000004</v>
      </c>
      <c r="F130" s="96">
        <f t="shared" si="6"/>
        <v>143046.03999999992</v>
      </c>
      <c r="H130" s="38" t="s">
        <v>311</v>
      </c>
      <c r="I130" s="37">
        <v>316816.07999999996</v>
      </c>
    </row>
    <row r="131" spans="1:9" x14ac:dyDescent="0.2">
      <c r="A131" s="37">
        <v>76</v>
      </c>
      <c r="B131" s="54"/>
      <c r="C131" s="45" t="s">
        <v>321</v>
      </c>
      <c r="D131" s="317">
        <v>3794983.7700000098</v>
      </c>
      <c r="E131" s="55">
        <v>2985589.9599999916</v>
      </c>
      <c r="F131" s="96">
        <f t="shared" si="6"/>
        <v>809393.81000001822</v>
      </c>
      <c r="H131" s="38" t="s">
        <v>321</v>
      </c>
      <c r="I131" s="37">
        <v>2994645.980000033</v>
      </c>
    </row>
    <row r="132" spans="1:9" x14ac:dyDescent="0.2">
      <c r="A132" s="37">
        <v>77</v>
      </c>
      <c r="B132" s="54"/>
      <c r="C132" s="8" t="s">
        <v>316</v>
      </c>
      <c r="D132" s="317">
        <v>452970.9599999999</v>
      </c>
      <c r="E132" s="55">
        <v>445913.4499999999</v>
      </c>
      <c r="F132" s="96">
        <f t="shared" si="6"/>
        <v>7057.5100000000093</v>
      </c>
      <c r="G132" s="38" t="s">
        <v>1023</v>
      </c>
      <c r="H132" s="38" t="s">
        <v>316</v>
      </c>
      <c r="I132" s="37">
        <v>1828909.3900000001</v>
      </c>
    </row>
    <row r="133" spans="1:9" x14ac:dyDescent="0.2">
      <c r="A133" s="37">
        <v>78</v>
      </c>
      <c r="B133" s="54"/>
      <c r="C133" s="45" t="s">
        <v>302</v>
      </c>
      <c r="D133" s="317">
        <v>197632.88999999998</v>
      </c>
      <c r="E133" s="55">
        <v>0</v>
      </c>
      <c r="F133" s="96">
        <f t="shared" si="6"/>
        <v>197632.88999999998</v>
      </c>
      <c r="H133" s="38" t="s">
        <v>302</v>
      </c>
      <c r="I133" s="37">
        <v>272474.58999999997</v>
      </c>
    </row>
    <row r="134" spans="1:9" ht="15.75" thickBot="1" x14ac:dyDescent="0.3">
      <c r="A134" s="37">
        <v>79</v>
      </c>
      <c r="B134" s="98"/>
      <c r="C134" s="99"/>
      <c r="D134" s="100"/>
      <c r="E134" s="101"/>
      <c r="F134" s="100"/>
    </row>
    <row r="135" spans="1:9" ht="16.5" thickBot="1" x14ac:dyDescent="0.3">
      <c r="A135" s="37">
        <v>80</v>
      </c>
      <c r="B135" s="1627" t="s">
        <v>753</v>
      </c>
      <c r="C135" s="1628"/>
      <c r="D135" s="591">
        <f>SUM(D136:D143)</f>
        <v>12619950.479999995</v>
      </c>
      <c r="E135" s="591">
        <f>SUM(E136:E143)</f>
        <v>5169452.2900000019</v>
      </c>
      <c r="F135" s="591">
        <f>SUM(F136:F143)</f>
        <v>7450498.1899999939</v>
      </c>
    </row>
    <row r="136" spans="1:9" ht="15" x14ac:dyDescent="0.25">
      <c r="A136" s="37">
        <v>81</v>
      </c>
      <c r="B136" s="52"/>
      <c r="C136" s="45" t="s">
        <v>812</v>
      </c>
      <c r="D136" s="49">
        <v>181033.55000000002</v>
      </c>
      <c r="E136" s="49">
        <v>181033.55000000002</v>
      </c>
      <c r="F136" s="53">
        <f t="shared" ref="F136:F143" si="7">+D136-E136</f>
        <v>0</v>
      </c>
      <c r="H136" s="38" t="s">
        <v>812</v>
      </c>
      <c r="I136" s="37">
        <v>181033.55</v>
      </c>
    </row>
    <row r="137" spans="1:9" ht="15" x14ac:dyDescent="0.25">
      <c r="A137" s="37">
        <v>82</v>
      </c>
      <c r="B137" s="52"/>
      <c r="C137" s="45" t="s">
        <v>813</v>
      </c>
      <c r="D137" s="318">
        <v>4983356.7</v>
      </c>
      <c r="E137" s="49">
        <v>1073589.8600000045</v>
      </c>
      <c r="F137" s="53">
        <f t="shared" si="7"/>
        <v>3909766.8399999957</v>
      </c>
      <c r="H137" s="38" t="s">
        <v>813</v>
      </c>
      <c r="I137" s="37">
        <v>2172465.3000000021</v>
      </c>
    </row>
    <row r="138" spans="1:9" ht="15" x14ac:dyDescent="0.25">
      <c r="A138" s="37">
        <v>83</v>
      </c>
      <c r="B138" s="52"/>
      <c r="C138" s="45" t="s">
        <v>324</v>
      </c>
      <c r="D138" s="318">
        <v>875789.90999999992</v>
      </c>
      <c r="E138" s="49">
        <v>844115.59</v>
      </c>
      <c r="F138" s="53">
        <f t="shared" si="7"/>
        <v>31674.319999999949</v>
      </c>
      <c r="H138" s="38" t="s">
        <v>324</v>
      </c>
      <c r="I138" s="37">
        <v>1018439.2400000001</v>
      </c>
    </row>
    <row r="139" spans="1:9" ht="15" x14ac:dyDescent="0.25">
      <c r="A139" s="37">
        <v>84</v>
      </c>
      <c r="B139" s="52"/>
      <c r="C139" s="45" t="s">
        <v>322</v>
      </c>
      <c r="D139" s="318">
        <v>267839.97000000003</v>
      </c>
      <c r="E139" s="49">
        <v>267839.97000000003</v>
      </c>
      <c r="F139" s="53">
        <f t="shared" si="7"/>
        <v>0</v>
      </c>
      <c r="H139" s="38" t="s">
        <v>322</v>
      </c>
      <c r="I139" s="37">
        <v>286839.97000000003</v>
      </c>
    </row>
    <row r="140" spans="1:9" ht="15" x14ac:dyDescent="0.25">
      <c r="A140" s="37">
        <v>85</v>
      </c>
      <c r="B140" s="52"/>
      <c r="C140" s="45" t="s">
        <v>815</v>
      </c>
      <c r="D140" s="49">
        <v>72250.740000000063</v>
      </c>
      <c r="E140" s="49">
        <v>70623.160000000018</v>
      </c>
      <c r="F140" s="53">
        <f t="shared" si="7"/>
        <v>1627.5800000000454</v>
      </c>
      <c r="H140" s="38" t="s">
        <v>815</v>
      </c>
      <c r="I140" s="37">
        <v>72250.739999999991</v>
      </c>
    </row>
    <row r="141" spans="1:9" ht="15" x14ac:dyDescent="0.25">
      <c r="A141" s="37">
        <v>86</v>
      </c>
      <c r="B141" s="52"/>
      <c r="C141" s="45" t="s">
        <v>321</v>
      </c>
      <c r="D141" s="49">
        <v>140338.68999999992</v>
      </c>
      <c r="E141" s="49">
        <v>138507.00999999998</v>
      </c>
      <c r="F141" s="53">
        <f t="shared" si="7"/>
        <v>1831.6799999999348</v>
      </c>
      <c r="H141" s="38" t="s">
        <v>321</v>
      </c>
      <c r="I141" s="37">
        <v>140338.68999999983</v>
      </c>
    </row>
    <row r="142" spans="1:9" ht="15" x14ac:dyDescent="0.25">
      <c r="A142" s="37">
        <v>87</v>
      </c>
      <c r="B142" s="52"/>
      <c r="C142" s="45" t="s">
        <v>817</v>
      </c>
      <c r="D142" s="318">
        <v>1965172.5699999961</v>
      </c>
      <c r="E142" s="49">
        <v>1424531.5600000017</v>
      </c>
      <c r="F142" s="53">
        <f t="shared" si="7"/>
        <v>540641.00999999442</v>
      </c>
      <c r="H142" s="38" t="s">
        <v>817</v>
      </c>
      <c r="I142" s="37">
        <v>1677314.1699999964</v>
      </c>
    </row>
    <row r="143" spans="1:9" ht="15" x14ac:dyDescent="0.25">
      <c r="A143" s="37">
        <v>88</v>
      </c>
      <c r="B143" s="52"/>
      <c r="C143" s="45" t="s">
        <v>819</v>
      </c>
      <c r="D143" s="318">
        <v>4134168.35</v>
      </c>
      <c r="E143" s="49">
        <v>1169211.5899999954</v>
      </c>
      <c r="F143" s="53">
        <f t="shared" si="7"/>
        <v>2964956.7600000044</v>
      </c>
      <c r="H143" s="38" t="s">
        <v>819</v>
      </c>
      <c r="I143" s="37">
        <v>2479494.6199999982</v>
      </c>
    </row>
    <row r="144" spans="1:9" ht="13.5" thickBot="1" x14ac:dyDescent="0.25">
      <c r="A144" s="37">
        <v>89</v>
      </c>
      <c r="B144" s="47"/>
      <c r="C144" s="45"/>
      <c r="D144" s="55"/>
      <c r="E144" s="45"/>
      <c r="F144" s="55"/>
      <c r="G144" s="37"/>
    </row>
    <row r="145" spans="1:9" ht="16.5" thickBot="1" x14ac:dyDescent="0.3">
      <c r="A145" s="37">
        <v>90</v>
      </c>
      <c r="B145" s="1627" t="s">
        <v>123</v>
      </c>
      <c r="C145" s="1628"/>
      <c r="D145" s="591">
        <f>SUM(D146:D152)</f>
        <v>4039747.5600000005</v>
      </c>
      <c r="E145" s="591">
        <f>SUM(E146:E152)</f>
        <v>3179633.3399999994</v>
      </c>
      <c r="F145" s="591">
        <f>SUM(F146:F152)</f>
        <v>860114.22000000044</v>
      </c>
      <c r="G145" s="37"/>
    </row>
    <row r="146" spans="1:9" ht="15" x14ac:dyDescent="0.25">
      <c r="A146" s="37">
        <v>91</v>
      </c>
      <c r="B146" s="47"/>
      <c r="C146" s="45" t="s">
        <v>303</v>
      </c>
      <c r="D146" s="318">
        <v>1967631.6400000004</v>
      </c>
      <c r="E146" s="49">
        <v>1487533.0400000003</v>
      </c>
      <c r="F146" s="49">
        <f t="shared" ref="F146:F152" si="8">+D146-E146</f>
        <v>480098.60000000009</v>
      </c>
      <c r="G146" s="37"/>
      <c r="H146" s="38" t="s">
        <v>303</v>
      </c>
      <c r="I146" s="37">
        <v>1722671.1900000004</v>
      </c>
    </row>
    <row r="147" spans="1:9" ht="15" x14ac:dyDescent="0.25">
      <c r="A147" s="37">
        <v>92</v>
      </c>
      <c r="B147" s="47"/>
      <c r="C147" s="45" t="s">
        <v>812</v>
      </c>
      <c r="D147" s="49">
        <v>704605.16000000027</v>
      </c>
      <c r="E147" s="49">
        <v>615781.61000000022</v>
      </c>
      <c r="F147" s="49">
        <f t="shared" si="8"/>
        <v>88823.550000000047</v>
      </c>
      <c r="G147" s="37"/>
      <c r="H147" s="38" t="s">
        <v>812</v>
      </c>
      <c r="I147" s="37">
        <v>704605.16000000027</v>
      </c>
    </row>
    <row r="148" spans="1:9" ht="15" x14ac:dyDescent="0.25">
      <c r="A148" s="37">
        <v>93</v>
      </c>
      <c r="B148" s="47"/>
      <c r="C148" s="45" t="s">
        <v>324</v>
      </c>
      <c r="D148" s="318">
        <v>255633.75999999986</v>
      </c>
      <c r="E148" s="49">
        <v>255633.75999999986</v>
      </c>
      <c r="F148" s="49">
        <f t="shared" si="8"/>
        <v>0</v>
      </c>
      <c r="G148" s="37"/>
      <c r="H148" s="38" t="s">
        <v>324</v>
      </c>
      <c r="I148" s="37">
        <v>5729231.7799999975</v>
      </c>
    </row>
    <row r="149" spans="1:9" ht="15" x14ac:dyDescent="0.25">
      <c r="A149" s="37">
        <v>94</v>
      </c>
      <c r="B149" s="47"/>
      <c r="C149" s="45" t="s">
        <v>322</v>
      </c>
      <c r="D149" s="318">
        <v>114723.1</v>
      </c>
      <c r="E149" s="49">
        <v>107884.01000000001</v>
      </c>
      <c r="F149" s="49">
        <f t="shared" si="8"/>
        <v>6839.0899999999965</v>
      </c>
      <c r="G149" s="37"/>
      <c r="H149" s="38" t="s">
        <v>322</v>
      </c>
      <c r="I149" s="37">
        <v>129888.1</v>
      </c>
    </row>
    <row r="150" spans="1:9" ht="15" x14ac:dyDescent="0.25">
      <c r="A150" s="37">
        <v>95</v>
      </c>
      <c r="B150" s="47"/>
      <c r="C150" s="45" t="s">
        <v>319</v>
      </c>
      <c r="D150" s="318">
        <v>84290.95</v>
      </c>
      <c r="E150" s="49">
        <v>35250.75</v>
      </c>
      <c r="F150" s="49">
        <f t="shared" si="8"/>
        <v>49040.2</v>
      </c>
      <c r="G150" s="37"/>
      <c r="H150" s="38" t="s">
        <v>319</v>
      </c>
      <c r="I150" s="37">
        <v>129178.45</v>
      </c>
    </row>
    <row r="151" spans="1:9" ht="15" x14ac:dyDescent="0.25">
      <c r="A151" s="37">
        <v>96</v>
      </c>
      <c r="B151" s="47"/>
      <c r="C151" s="45" t="s">
        <v>815</v>
      </c>
      <c r="D151" s="318">
        <v>513280.96999999968</v>
      </c>
      <c r="E151" s="49">
        <v>381101.21999999956</v>
      </c>
      <c r="F151" s="49">
        <f t="shared" si="8"/>
        <v>132179.75000000012</v>
      </c>
      <c r="G151" s="37"/>
      <c r="H151" s="38" t="s">
        <v>815</v>
      </c>
      <c r="I151" s="37">
        <v>375891.7900000001</v>
      </c>
    </row>
    <row r="152" spans="1:9" ht="15" x14ac:dyDescent="0.25">
      <c r="A152" s="37">
        <v>97</v>
      </c>
      <c r="B152" s="47"/>
      <c r="C152" s="45" t="s">
        <v>321</v>
      </c>
      <c r="D152" s="318">
        <v>399581.98000000016</v>
      </c>
      <c r="E152" s="49">
        <v>296448.94999999984</v>
      </c>
      <c r="F152" s="49">
        <f t="shared" si="8"/>
        <v>103133.03000000032</v>
      </c>
      <c r="G152" s="37"/>
      <c r="H152" s="38" t="s">
        <v>321</v>
      </c>
      <c r="I152" s="37">
        <v>288124.58000000019</v>
      </c>
    </row>
    <row r="153" spans="1:9" ht="13.5" thickBot="1" x14ac:dyDescent="0.25">
      <c r="A153" s="37">
        <v>98</v>
      </c>
      <c r="B153" s="47"/>
      <c r="C153" s="45"/>
      <c r="D153" s="55"/>
      <c r="E153" s="45"/>
      <c r="F153" s="55"/>
      <c r="G153" s="37"/>
    </row>
    <row r="154" spans="1:9" ht="16.5" thickBot="1" x14ac:dyDescent="0.3">
      <c r="A154" s="37">
        <v>99</v>
      </c>
      <c r="B154" s="1627" t="s">
        <v>1026</v>
      </c>
      <c r="C154" s="1628"/>
      <c r="D154" s="591">
        <f>+D155</f>
        <v>6366084.5300000031</v>
      </c>
      <c r="E154" s="591">
        <f>+E155</f>
        <v>6272476.3800000064</v>
      </c>
      <c r="F154" s="591">
        <f>+F155</f>
        <v>93608.149999996647</v>
      </c>
      <c r="G154" s="37"/>
    </row>
    <row r="155" spans="1:9" ht="15.75" thickBot="1" x14ac:dyDescent="0.3">
      <c r="A155" s="37">
        <v>100</v>
      </c>
      <c r="B155" s="47"/>
      <c r="C155" s="45" t="s">
        <v>303</v>
      </c>
      <c r="D155" s="49">
        <v>6366084.5300000031</v>
      </c>
      <c r="E155" s="49">
        <v>6272476.3800000064</v>
      </c>
      <c r="F155" s="49">
        <f>+D155-E155</f>
        <v>93608.149999996647</v>
      </c>
      <c r="G155" s="37"/>
    </row>
    <row r="156" spans="1:9" ht="16.5" thickBot="1" x14ac:dyDescent="0.3">
      <c r="B156" s="1627" t="s">
        <v>325</v>
      </c>
      <c r="C156" s="1628"/>
      <c r="D156" s="591">
        <f>+D30+D54+D123+D135+D145+D155</f>
        <v>1061088576.2599974</v>
      </c>
      <c r="E156" s="591">
        <f>+E30+E54+E123+E135+E145+E155</f>
        <v>337557950.28000015</v>
      </c>
      <c r="F156" s="591">
        <f>+F30+F54+F123+F135+F145+F155</f>
        <v>669113458.29999733</v>
      </c>
      <c r="G156" s="37"/>
    </row>
    <row r="158" spans="1:9" x14ac:dyDescent="0.2">
      <c r="D158" s="45"/>
      <c r="G158" s="37"/>
    </row>
    <row r="159" spans="1:9" x14ac:dyDescent="0.2">
      <c r="B159" s="37" t="s">
        <v>1027</v>
      </c>
      <c r="F159" s="56"/>
      <c r="G159" s="37"/>
    </row>
    <row r="160" spans="1:9" x14ac:dyDescent="0.2">
      <c r="C160" s="37" t="s">
        <v>1028</v>
      </c>
      <c r="D160" s="56">
        <v>497519807.61000001</v>
      </c>
      <c r="E160" s="56">
        <v>248345090.86000001</v>
      </c>
      <c r="F160" s="56">
        <f>+D160-E160</f>
        <v>249174716.75</v>
      </c>
      <c r="G160" s="37"/>
    </row>
    <row r="161" spans="3:7" x14ac:dyDescent="0.2">
      <c r="C161" s="57" t="s">
        <v>1029</v>
      </c>
      <c r="D161" s="56">
        <f>+D156-D160</f>
        <v>563568768.64999735</v>
      </c>
      <c r="E161" s="56">
        <f>+E156-E160</f>
        <v>89212859.420000136</v>
      </c>
      <c r="F161" s="56">
        <f>+F156-F160</f>
        <v>419938741.54999733</v>
      </c>
      <c r="G161" s="37"/>
    </row>
    <row r="167" spans="3:7" ht="13.5" thickBot="1" x14ac:dyDescent="0.25"/>
    <row r="168" spans="3:7" ht="16.5" thickBot="1" x14ac:dyDescent="0.3">
      <c r="C168" s="784" t="s">
        <v>752</v>
      </c>
      <c r="D168" s="782" t="s">
        <v>1030</v>
      </c>
      <c r="E168" s="659" t="s">
        <v>25</v>
      </c>
      <c r="F168" s="660" t="s">
        <v>932</v>
      </c>
    </row>
    <row r="169" spans="3:7" ht="15.75" thickBot="1" x14ac:dyDescent="0.3">
      <c r="C169" s="783" t="s">
        <v>935</v>
      </c>
      <c r="D169" s="656" t="s">
        <v>1031</v>
      </c>
      <c r="E169" s="656" t="s">
        <v>1032</v>
      </c>
      <c r="F169" s="661" t="s">
        <v>1033</v>
      </c>
    </row>
    <row r="170" spans="3:7" ht="15.75" thickBot="1" x14ac:dyDescent="0.3">
      <c r="C170" s="662" t="s">
        <v>941</v>
      </c>
      <c r="D170" s="657" t="s">
        <v>1034</v>
      </c>
      <c r="E170" s="657" t="s">
        <v>1035</v>
      </c>
      <c r="F170" s="663" t="s">
        <v>1036</v>
      </c>
    </row>
    <row r="171" spans="3:7" ht="15" thickBot="1" x14ac:dyDescent="0.25">
      <c r="C171" s="664" t="s">
        <v>960</v>
      </c>
      <c r="D171" s="658">
        <v>656.86699999999996</v>
      </c>
      <c r="E171" s="658">
        <v>0</v>
      </c>
      <c r="F171" s="665">
        <v>656.86699999999996</v>
      </c>
    </row>
    <row r="172" spans="3:7" ht="15" thickBot="1" x14ac:dyDescent="0.25">
      <c r="C172" s="664" t="s">
        <v>961</v>
      </c>
      <c r="D172" s="658">
        <v>0</v>
      </c>
      <c r="E172" s="658">
        <v>0</v>
      </c>
      <c r="F172" s="665">
        <v>0</v>
      </c>
    </row>
    <row r="173" spans="3:7" ht="15" thickBot="1" x14ac:dyDescent="0.25">
      <c r="C173" s="664" t="s">
        <v>962</v>
      </c>
      <c r="D173" s="658" t="s">
        <v>1037</v>
      </c>
      <c r="E173" s="658" t="s">
        <v>1038</v>
      </c>
      <c r="F173" s="665" t="s">
        <v>1039</v>
      </c>
    </row>
    <row r="174" spans="3:7" ht="15" thickBot="1" x14ac:dyDescent="0.25">
      <c r="C174" s="664" t="s">
        <v>963</v>
      </c>
      <c r="D174" s="658" t="s">
        <v>1040</v>
      </c>
      <c r="E174" s="658" t="s">
        <v>1041</v>
      </c>
      <c r="F174" s="665" t="s">
        <v>1042</v>
      </c>
    </row>
    <row r="175" spans="3:7" ht="15" thickBot="1" x14ac:dyDescent="0.25">
      <c r="C175" s="666" t="s">
        <v>964</v>
      </c>
      <c r="D175" s="658" t="s">
        <v>1043</v>
      </c>
      <c r="E175" s="658">
        <v>124.72799999999999</v>
      </c>
      <c r="F175" s="665">
        <v>886.4</v>
      </c>
    </row>
    <row r="176" spans="3:7" ht="15" thickBot="1" x14ac:dyDescent="0.25">
      <c r="C176" s="666" t="s">
        <v>965</v>
      </c>
      <c r="D176" s="658" t="s">
        <v>1044</v>
      </c>
      <c r="E176" s="658" t="s">
        <v>1045</v>
      </c>
      <c r="F176" s="665" t="s">
        <v>1046</v>
      </c>
    </row>
    <row r="177" spans="3:6" ht="15" thickBot="1" x14ac:dyDescent="0.25">
      <c r="C177" s="664" t="s">
        <v>966</v>
      </c>
      <c r="D177" s="658" t="s">
        <v>1047</v>
      </c>
      <c r="E177" s="658">
        <v>185.36500000000001</v>
      </c>
      <c r="F177" s="665" t="s">
        <v>1048</v>
      </c>
    </row>
    <row r="178" spans="3:6" ht="15" thickBot="1" x14ac:dyDescent="0.25">
      <c r="C178" s="667" t="s">
        <v>967</v>
      </c>
      <c r="D178" s="658" t="s">
        <v>1049</v>
      </c>
      <c r="E178" s="658" t="s">
        <v>1050</v>
      </c>
      <c r="F178" s="665">
        <v>405.78399999999999</v>
      </c>
    </row>
    <row r="179" spans="3:6" ht="15" thickBot="1" x14ac:dyDescent="0.25">
      <c r="C179" s="664" t="s">
        <v>968</v>
      </c>
      <c r="D179" s="658" t="s">
        <v>1051</v>
      </c>
      <c r="E179" s="658">
        <v>54.182000000000002</v>
      </c>
      <c r="F179" s="665" t="s">
        <v>1052</v>
      </c>
    </row>
    <row r="180" spans="3:6" ht="15" thickBot="1" x14ac:dyDescent="0.25">
      <c r="C180" s="664" t="s">
        <v>969</v>
      </c>
      <c r="D180" s="658" t="s">
        <v>1053</v>
      </c>
      <c r="E180" s="658">
        <v>967.226</v>
      </c>
      <c r="F180" s="665" t="s">
        <v>1054</v>
      </c>
    </row>
    <row r="181" spans="3:6" ht="15" thickBot="1" x14ac:dyDescent="0.25">
      <c r="C181" s="664" t="s">
        <v>971</v>
      </c>
      <c r="D181" s="658" t="s">
        <v>1055</v>
      </c>
      <c r="E181" s="658" t="s">
        <v>1056</v>
      </c>
      <c r="F181" s="665" t="s">
        <v>1057</v>
      </c>
    </row>
    <row r="182" spans="3:6" ht="15" thickBot="1" x14ac:dyDescent="0.25">
      <c r="C182" s="664" t="s">
        <v>1058</v>
      </c>
      <c r="D182" s="658">
        <v>875.76700000000005</v>
      </c>
      <c r="E182" s="658">
        <v>5.6230000000000002</v>
      </c>
      <c r="F182" s="665">
        <v>870.14400000000001</v>
      </c>
    </row>
    <row r="183" spans="3:6" ht="15" thickBot="1" x14ac:dyDescent="0.25">
      <c r="C183" s="664" t="s">
        <v>975</v>
      </c>
      <c r="D183" s="658">
        <v>641.04999999999995</v>
      </c>
      <c r="E183" s="658">
        <v>4.1520000000000001</v>
      </c>
      <c r="F183" s="665">
        <v>636.89800000000002</v>
      </c>
    </row>
    <row r="184" spans="3:6" ht="15" thickBot="1" x14ac:dyDescent="0.25">
      <c r="C184" s="664" t="s">
        <v>977</v>
      </c>
      <c r="D184" s="658">
        <v>0</v>
      </c>
      <c r="E184" s="658">
        <v>0</v>
      </c>
      <c r="F184" s="665">
        <v>0</v>
      </c>
    </row>
    <row r="185" spans="3:6" ht="15" thickBot="1" x14ac:dyDescent="0.25">
      <c r="C185" s="664" t="s">
        <v>979</v>
      </c>
      <c r="D185" s="658" t="s">
        <v>1059</v>
      </c>
      <c r="E185" s="658" t="s">
        <v>1060</v>
      </c>
      <c r="F185" s="665" t="s">
        <v>1061</v>
      </c>
    </row>
    <row r="186" spans="3:6" ht="15" thickBot="1" x14ac:dyDescent="0.25">
      <c r="C186" s="668" t="s">
        <v>970</v>
      </c>
      <c r="D186" s="658" t="s">
        <v>1062</v>
      </c>
      <c r="E186" s="658" t="s">
        <v>1063</v>
      </c>
      <c r="F186" s="665">
        <v>507.37400000000002</v>
      </c>
    </row>
    <row r="187" spans="3:6" ht="15" thickBot="1" x14ac:dyDescent="0.25">
      <c r="C187" s="668" t="s">
        <v>972</v>
      </c>
      <c r="D187" s="658" t="s">
        <v>1064</v>
      </c>
      <c r="E187" s="658" t="s">
        <v>1065</v>
      </c>
      <c r="F187" s="665">
        <v>606.62300000000005</v>
      </c>
    </row>
    <row r="188" spans="3:6" ht="15" thickBot="1" x14ac:dyDescent="0.25">
      <c r="C188" s="664" t="s">
        <v>983</v>
      </c>
      <c r="D188" s="658" t="s">
        <v>1066</v>
      </c>
      <c r="E188" s="658" t="s">
        <v>1067</v>
      </c>
      <c r="F188" s="665" t="s">
        <v>1068</v>
      </c>
    </row>
    <row r="189" spans="3:6" ht="15" thickBot="1" x14ac:dyDescent="0.25">
      <c r="C189" s="664" t="s">
        <v>985</v>
      </c>
      <c r="D189" s="658" t="s">
        <v>1069</v>
      </c>
      <c r="E189" s="658" t="s">
        <v>1070</v>
      </c>
      <c r="F189" s="665" t="s">
        <v>1071</v>
      </c>
    </row>
    <row r="190" spans="3:6" ht="15" thickBot="1" x14ac:dyDescent="0.25">
      <c r="C190" s="668" t="s">
        <v>974</v>
      </c>
      <c r="D190" s="658" t="s">
        <v>1072</v>
      </c>
      <c r="E190" s="658" t="s">
        <v>1073</v>
      </c>
      <c r="F190" s="665" t="s">
        <v>1074</v>
      </c>
    </row>
    <row r="191" spans="3:6" ht="15" thickBot="1" x14ac:dyDescent="0.25">
      <c r="C191" s="668" t="s">
        <v>976</v>
      </c>
      <c r="D191" s="658" t="s">
        <v>1075</v>
      </c>
      <c r="E191" s="658" t="s">
        <v>1076</v>
      </c>
      <c r="F191" s="665">
        <v>229.89699999999999</v>
      </c>
    </row>
    <row r="192" spans="3:6" ht="15" thickBot="1" x14ac:dyDescent="0.25">
      <c r="C192" s="668" t="s">
        <v>987</v>
      </c>
      <c r="D192" s="658" t="s">
        <v>1077</v>
      </c>
      <c r="E192" s="658" t="s">
        <v>1078</v>
      </c>
      <c r="F192" s="665" t="s">
        <v>1079</v>
      </c>
    </row>
    <row r="193" spans="3:6" ht="15" thickBot="1" x14ac:dyDescent="0.25">
      <c r="C193" s="668" t="s">
        <v>978</v>
      </c>
      <c r="D193" s="658" t="s">
        <v>1080</v>
      </c>
      <c r="E193" s="658" t="s">
        <v>1081</v>
      </c>
      <c r="F193" s="665" t="s">
        <v>1082</v>
      </c>
    </row>
    <row r="194" spans="3:6" ht="15" thickBot="1" x14ac:dyDescent="0.25">
      <c r="C194" s="668" t="s">
        <v>984</v>
      </c>
      <c r="D194" s="658" t="s">
        <v>1083</v>
      </c>
      <c r="E194" s="658" t="s">
        <v>1084</v>
      </c>
      <c r="F194" s="665">
        <v>596</v>
      </c>
    </row>
    <row r="195" spans="3:6" ht="15" thickBot="1" x14ac:dyDescent="0.25">
      <c r="C195" s="668" t="s">
        <v>980</v>
      </c>
      <c r="D195" s="658" t="s">
        <v>1085</v>
      </c>
      <c r="E195" s="658" t="s">
        <v>1086</v>
      </c>
      <c r="F195" s="665" t="s">
        <v>1087</v>
      </c>
    </row>
    <row r="196" spans="3:6" ht="15" thickBot="1" x14ac:dyDescent="0.25">
      <c r="C196" s="668" t="s">
        <v>981</v>
      </c>
      <c r="D196" s="658" t="s">
        <v>1088</v>
      </c>
      <c r="E196" s="658" t="s">
        <v>1089</v>
      </c>
      <c r="F196" s="665" t="s">
        <v>1090</v>
      </c>
    </row>
    <row r="197" spans="3:6" ht="15" thickBot="1" x14ac:dyDescent="0.25">
      <c r="C197" s="668" t="s">
        <v>982</v>
      </c>
      <c r="D197" s="658" t="s">
        <v>1091</v>
      </c>
      <c r="E197" s="658" t="s">
        <v>1092</v>
      </c>
      <c r="F197" s="665" t="s">
        <v>1093</v>
      </c>
    </row>
    <row r="198" spans="3:6" ht="15" thickBot="1" x14ac:dyDescent="0.25">
      <c r="C198" s="668" t="s">
        <v>986</v>
      </c>
      <c r="D198" s="658" t="s">
        <v>1094</v>
      </c>
      <c r="E198" s="658" t="s">
        <v>1095</v>
      </c>
      <c r="F198" s="665" t="s">
        <v>1096</v>
      </c>
    </row>
    <row r="199" spans="3:6" ht="15" thickBot="1" x14ac:dyDescent="0.25">
      <c r="C199" s="668"/>
      <c r="D199" s="658"/>
      <c r="E199" s="658"/>
      <c r="F199" s="665"/>
    </row>
    <row r="200" spans="3:6" ht="15.75" thickBot="1" x14ac:dyDescent="0.3">
      <c r="C200" s="662" t="s">
        <v>196</v>
      </c>
      <c r="D200" s="657" t="s">
        <v>1097</v>
      </c>
      <c r="E200" s="657" t="s">
        <v>1098</v>
      </c>
      <c r="F200" s="663" t="s">
        <v>1099</v>
      </c>
    </row>
    <row r="201" spans="3:6" ht="15" thickBot="1" x14ac:dyDescent="0.25">
      <c r="C201" s="669" t="s">
        <v>988</v>
      </c>
      <c r="D201" s="658">
        <v>0</v>
      </c>
      <c r="E201" s="658">
        <v>0</v>
      </c>
      <c r="F201" s="665">
        <v>0</v>
      </c>
    </row>
    <row r="202" spans="3:6" ht="15" thickBot="1" x14ac:dyDescent="0.25">
      <c r="C202" s="668" t="s">
        <v>989</v>
      </c>
      <c r="D202" s="658" t="s">
        <v>1100</v>
      </c>
      <c r="E202" s="658" t="s">
        <v>1101</v>
      </c>
      <c r="F202" s="665" t="s">
        <v>1102</v>
      </c>
    </row>
    <row r="203" spans="3:6" ht="15" thickBot="1" x14ac:dyDescent="0.25">
      <c r="C203" s="668" t="s">
        <v>991</v>
      </c>
      <c r="D203" s="658" t="s">
        <v>1103</v>
      </c>
      <c r="E203" s="658" t="s">
        <v>1104</v>
      </c>
      <c r="F203" s="665" t="s">
        <v>1105</v>
      </c>
    </row>
    <row r="204" spans="3:6" ht="15" thickBot="1" x14ac:dyDescent="0.25">
      <c r="C204" s="668" t="s">
        <v>992</v>
      </c>
      <c r="D204" s="658" t="s">
        <v>1106</v>
      </c>
      <c r="E204" s="658">
        <v>603.44500000000005</v>
      </c>
      <c r="F204" s="665" t="s">
        <v>1107</v>
      </c>
    </row>
    <row r="205" spans="3:6" ht="15" thickBot="1" x14ac:dyDescent="0.25">
      <c r="C205" s="668" t="s">
        <v>994</v>
      </c>
      <c r="D205" s="658" t="s">
        <v>1108</v>
      </c>
      <c r="E205" s="658" t="s">
        <v>1109</v>
      </c>
      <c r="F205" s="665">
        <v>870.50300000000004</v>
      </c>
    </row>
    <row r="206" spans="3:6" ht="15" thickBot="1" x14ac:dyDescent="0.25">
      <c r="C206" s="668" t="s">
        <v>995</v>
      </c>
      <c r="D206" s="658">
        <v>269.81799999999998</v>
      </c>
      <c r="E206" s="658">
        <v>178.61600000000001</v>
      </c>
      <c r="F206" s="665">
        <v>91.201999999999998</v>
      </c>
    </row>
    <row r="207" spans="3:6" ht="15" thickBot="1" x14ac:dyDescent="0.25">
      <c r="C207" s="668" t="s">
        <v>996</v>
      </c>
      <c r="D207" s="658">
        <v>849.11400000000003</v>
      </c>
      <c r="E207" s="658">
        <v>273.51799999999997</v>
      </c>
      <c r="F207" s="665">
        <v>575.59699999999998</v>
      </c>
    </row>
    <row r="208" spans="3:6" ht="15" thickBot="1" x14ac:dyDescent="0.25">
      <c r="C208" s="668" t="s">
        <v>1110</v>
      </c>
      <c r="D208" s="658" t="s">
        <v>1111</v>
      </c>
      <c r="E208" s="658" t="s">
        <v>1112</v>
      </c>
      <c r="F208" s="665" t="s">
        <v>1113</v>
      </c>
    </row>
    <row r="209" spans="3:6" ht="15" thickBot="1" x14ac:dyDescent="0.25">
      <c r="C209" s="668"/>
      <c r="D209" s="658"/>
      <c r="E209" s="658"/>
      <c r="F209" s="665"/>
    </row>
    <row r="210" spans="3:6" ht="15.75" thickBot="1" x14ac:dyDescent="0.3">
      <c r="C210" s="670" t="s">
        <v>934</v>
      </c>
      <c r="D210" s="656" t="s">
        <v>1114</v>
      </c>
      <c r="E210" s="656" t="s">
        <v>1115</v>
      </c>
      <c r="F210" s="661" t="s">
        <v>1116</v>
      </c>
    </row>
    <row r="211" spans="3:6" ht="15.75" thickBot="1" x14ac:dyDescent="0.3">
      <c r="C211" s="662" t="s">
        <v>941</v>
      </c>
      <c r="D211" s="657" t="s">
        <v>1117</v>
      </c>
      <c r="E211" s="657" t="s">
        <v>1118</v>
      </c>
      <c r="F211" s="663" t="s">
        <v>1119</v>
      </c>
    </row>
    <row r="212" spans="3:6" ht="15" thickBot="1" x14ac:dyDescent="0.25">
      <c r="C212" s="666" t="s">
        <v>961</v>
      </c>
      <c r="D212" s="658">
        <v>0</v>
      </c>
      <c r="E212" s="658">
        <v>0</v>
      </c>
      <c r="F212" s="665">
        <v>0</v>
      </c>
    </row>
    <row r="213" spans="3:6" ht="15" thickBot="1" x14ac:dyDescent="0.25">
      <c r="C213" s="666" t="s">
        <v>999</v>
      </c>
      <c r="D213" s="658" t="s">
        <v>1120</v>
      </c>
      <c r="E213" s="658" t="s">
        <v>1121</v>
      </c>
      <c r="F213" s="665" t="s">
        <v>1122</v>
      </c>
    </row>
    <row r="214" spans="3:6" ht="15" thickBot="1" x14ac:dyDescent="0.25">
      <c r="C214" s="666" t="s">
        <v>1001</v>
      </c>
      <c r="D214" s="658">
        <v>122.667</v>
      </c>
      <c r="E214" s="658">
        <v>0</v>
      </c>
      <c r="F214" s="665">
        <v>122.667</v>
      </c>
    </row>
    <row r="215" spans="3:6" ht="15.75" thickBot="1" x14ac:dyDescent="0.3">
      <c r="C215" s="671" t="s">
        <v>998</v>
      </c>
      <c r="D215" s="658" t="s">
        <v>1123</v>
      </c>
      <c r="E215" s="658" t="s">
        <v>1124</v>
      </c>
      <c r="F215" s="665" t="s">
        <v>1125</v>
      </c>
    </row>
    <row r="216" spans="3:6" ht="15" thickBot="1" x14ac:dyDescent="0.25">
      <c r="C216" s="666" t="s">
        <v>1000</v>
      </c>
      <c r="D216" s="658" t="s">
        <v>1126</v>
      </c>
      <c r="E216" s="658" t="s">
        <v>1127</v>
      </c>
      <c r="F216" s="665" t="s">
        <v>1128</v>
      </c>
    </row>
    <row r="217" spans="3:6" ht="15" thickBot="1" x14ac:dyDescent="0.25">
      <c r="C217" s="666" t="s">
        <v>1002</v>
      </c>
      <c r="D217" s="658" t="s">
        <v>1129</v>
      </c>
      <c r="E217" s="658" t="s">
        <v>1130</v>
      </c>
      <c r="F217" s="665" t="s">
        <v>1131</v>
      </c>
    </row>
    <row r="218" spans="3:6" ht="15" thickBot="1" x14ac:dyDescent="0.25">
      <c r="C218" s="666" t="s">
        <v>1003</v>
      </c>
      <c r="D218" s="658" t="s">
        <v>1132</v>
      </c>
      <c r="E218" s="658" t="s">
        <v>1133</v>
      </c>
      <c r="F218" s="665" t="s">
        <v>1134</v>
      </c>
    </row>
    <row r="219" spans="3:6" ht="15" thickBot="1" x14ac:dyDescent="0.25">
      <c r="C219" s="666" t="s">
        <v>1004</v>
      </c>
      <c r="D219" s="658" t="s">
        <v>1135</v>
      </c>
      <c r="E219" s="658" t="s">
        <v>1136</v>
      </c>
      <c r="F219" s="665" t="s">
        <v>1137</v>
      </c>
    </row>
    <row r="220" spans="3:6" ht="15" thickBot="1" x14ac:dyDescent="0.25">
      <c r="C220" s="666" t="s">
        <v>1008</v>
      </c>
      <c r="D220" s="658" t="s">
        <v>1138</v>
      </c>
      <c r="E220" s="658">
        <v>756.60799999999995</v>
      </c>
      <c r="F220" s="665" t="s">
        <v>1139</v>
      </c>
    </row>
    <row r="221" spans="3:6" ht="15" thickBot="1" x14ac:dyDescent="0.25">
      <c r="C221" s="666" t="s">
        <v>1010</v>
      </c>
      <c r="D221" s="658" t="s">
        <v>1140</v>
      </c>
      <c r="E221" s="658" t="s">
        <v>1141</v>
      </c>
      <c r="F221" s="665" t="s">
        <v>1142</v>
      </c>
    </row>
    <row r="222" spans="3:6" ht="15" thickBot="1" x14ac:dyDescent="0.25">
      <c r="C222" s="666" t="s">
        <v>1005</v>
      </c>
      <c r="D222" s="658" t="s">
        <v>1143</v>
      </c>
      <c r="E222" s="658" t="s">
        <v>1144</v>
      </c>
      <c r="F222" s="665" t="s">
        <v>1145</v>
      </c>
    </row>
    <row r="223" spans="3:6" ht="15" thickBot="1" x14ac:dyDescent="0.25">
      <c r="C223" s="666" t="s">
        <v>1006</v>
      </c>
      <c r="D223" s="658" t="s">
        <v>1146</v>
      </c>
      <c r="E223" s="658" t="s">
        <v>1147</v>
      </c>
      <c r="F223" s="665" t="s">
        <v>1148</v>
      </c>
    </row>
    <row r="224" spans="3:6" ht="15" thickBot="1" x14ac:dyDescent="0.25">
      <c r="C224" s="666" t="s">
        <v>1149</v>
      </c>
      <c r="D224" s="658" t="s">
        <v>1150</v>
      </c>
      <c r="E224" s="658">
        <v>0</v>
      </c>
      <c r="F224" s="665" t="s">
        <v>1150</v>
      </c>
    </row>
    <row r="225" spans="3:6" ht="15" thickBot="1" x14ac:dyDescent="0.25">
      <c r="C225" s="666" t="s">
        <v>1007</v>
      </c>
      <c r="D225" s="658" t="s">
        <v>1151</v>
      </c>
      <c r="E225" s="658" t="s">
        <v>1152</v>
      </c>
      <c r="F225" s="665" t="s">
        <v>1153</v>
      </c>
    </row>
    <row r="226" spans="3:6" ht="15" thickBot="1" x14ac:dyDescent="0.25">
      <c r="C226" s="666" t="s">
        <v>1009</v>
      </c>
      <c r="D226" s="658" t="s">
        <v>1154</v>
      </c>
      <c r="E226" s="658" t="s">
        <v>1155</v>
      </c>
      <c r="F226" s="665" t="s">
        <v>1156</v>
      </c>
    </row>
    <row r="227" spans="3:6" ht="15" thickBot="1" x14ac:dyDescent="0.25">
      <c r="C227" s="666" t="s">
        <v>950</v>
      </c>
      <c r="D227" s="658" t="s">
        <v>1157</v>
      </c>
      <c r="E227" s="658" t="s">
        <v>1158</v>
      </c>
      <c r="F227" s="665" t="s">
        <v>1159</v>
      </c>
    </row>
    <row r="228" spans="3:6" ht="15" thickBot="1" x14ac:dyDescent="0.25">
      <c r="C228" s="666" t="s">
        <v>1014</v>
      </c>
      <c r="D228" s="658" t="s">
        <v>1160</v>
      </c>
      <c r="E228" s="658" t="s">
        <v>1161</v>
      </c>
      <c r="F228" s="665" t="s">
        <v>1162</v>
      </c>
    </row>
    <row r="229" spans="3:6" ht="15" thickBot="1" x14ac:dyDescent="0.25">
      <c r="C229" s="666" t="s">
        <v>1015</v>
      </c>
      <c r="D229" s="658" t="s">
        <v>1163</v>
      </c>
      <c r="E229" s="658" t="s">
        <v>1164</v>
      </c>
      <c r="F229" s="665" t="s">
        <v>1165</v>
      </c>
    </row>
    <row r="230" spans="3:6" ht="15" thickBot="1" x14ac:dyDescent="0.25">
      <c r="C230" s="666" t="s">
        <v>1016</v>
      </c>
      <c r="D230" s="658" t="s">
        <v>1166</v>
      </c>
      <c r="E230" s="658">
        <v>30.805</v>
      </c>
      <c r="F230" s="665" t="s">
        <v>1167</v>
      </c>
    </row>
    <row r="231" spans="3:6" ht="15" thickBot="1" x14ac:dyDescent="0.25">
      <c r="C231" s="666"/>
      <c r="D231" s="658"/>
      <c r="E231" s="658"/>
      <c r="F231" s="665"/>
    </row>
    <row r="232" spans="3:6" ht="15.75" thickBot="1" x14ac:dyDescent="0.3">
      <c r="C232" s="662" t="s">
        <v>1017</v>
      </c>
      <c r="D232" s="657" t="s">
        <v>1168</v>
      </c>
      <c r="E232" s="657" t="s">
        <v>1169</v>
      </c>
      <c r="F232" s="663" t="s">
        <v>1170</v>
      </c>
    </row>
    <row r="233" spans="3:6" ht="15" thickBot="1" x14ac:dyDescent="0.25">
      <c r="C233" s="666" t="s">
        <v>1018</v>
      </c>
      <c r="D233" s="658" t="s">
        <v>1171</v>
      </c>
      <c r="E233" s="658" t="s">
        <v>1172</v>
      </c>
      <c r="F233" s="665" t="s">
        <v>1173</v>
      </c>
    </row>
    <row r="234" spans="3:6" ht="15" thickBot="1" x14ac:dyDescent="0.25">
      <c r="C234" s="666" t="s">
        <v>1019</v>
      </c>
      <c r="D234" s="658" t="s">
        <v>1174</v>
      </c>
      <c r="E234" s="658" t="s">
        <v>1175</v>
      </c>
      <c r="F234" s="665" t="s">
        <v>1176</v>
      </c>
    </row>
    <row r="235" spans="3:6" ht="15" thickBot="1" x14ac:dyDescent="0.25">
      <c r="C235" s="666" t="s">
        <v>1020</v>
      </c>
      <c r="D235" s="658">
        <v>490.791</v>
      </c>
      <c r="E235" s="658">
        <v>99.326999999999998</v>
      </c>
      <c r="F235" s="665">
        <v>391.464</v>
      </c>
    </row>
    <row r="236" spans="3:6" ht="15" thickBot="1" x14ac:dyDescent="0.25">
      <c r="C236" s="666" t="s">
        <v>1021</v>
      </c>
      <c r="D236" s="658" t="s">
        <v>1177</v>
      </c>
      <c r="E236" s="658" t="s">
        <v>1178</v>
      </c>
      <c r="F236" s="665" t="s">
        <v>1179</v>
      </c>
    </row>
    <row r="237" spans="3:6" ht="15" thickBot="1" x14ac:dyDescent="0.25">
      <c r="C237" s="666" t="s">
        <v>1022</v>
      </c>
      <c r="D237" s="658" t="s">
        <v>1180</v>
      </c>
      <c r="E237" s="658" t="s">
        <v>1181</v>
      </c>
      <c r="F237" s="665" t="s">
        <v>1182</v>
      </c>
    </row>
    <row r="238" spans="3:6" ht="15" thickBot="1" x14ac:dyDescent="0.25">
      <c r="C238" s="666" t="s">
        <v>1024</v>
      </c>
      <c r="D238" s="658" t="s">
        <v>1183</v>
      </c>
      <c r="E238" s="658" t="s">
        <v>1184</v>
      </c>
      <c r="F238" s="665" t="s">
        <v>1185</v>
      </c>
    </row>
    <row r="239" spans="3:6" ht="13.5" thickBot="1" x14ac:dyDescent="0.25">
      <c r="C239" s="672"/>
      <c r="F239" s="673"/>
    </row>
    <row r="240" spans="3:6" ht="16.5" thickBot="1" x14ac:dyDescent="0.3">
      <c r="C240" s="674" t="s">
        <v>1186</v>
      </c>
      <c r="D240" s="785" t="s">
        <v>1187</v>
      </c>
      <c r="E240" s="785" t="s">
        <v>1188</v>
      </c>
      <c r="F240" s="786" t="s">
        <v>1189</v>
      </c>
    </row>
    <row r="245" spans="3:6" ht="13.5" thickBot="1" x14ac:dyDescent="0.25"/>
    <row r="246" spans="3:6" ht="16.5" thickBot="1" x14ac:dyDescent="0.3">
      <c r="C246" s="784" t="s">
        <v>1190</v>
      </c>
      <c r="D246" s="782" t="s">
        <v>1030</v>
      </c>
      <c r="E246" s="659" t="s">
        <v>25</v>
      </c>
      <c r="F246" s="660" t="s">
        <v>932</v>
      </c>
    </row>
    <row r="247" spans="3:6" ht="15.75" thickBot="1" x14ac:dyDescent="0.3">
      <c r="C247" s="670" t="s">
        <v>934</v>
      </c>
      <c r="D247" s="670"/>
      <c r="E247" s="670"/>
      <c r="F247" s="670"/>
    </row>
    <row r="248" spans="3:6" ht="15.75" thickBot="1" x14ac:dyDescent="0.3">
      <c r="C248" s="662" t="s">
        <v>941</v>
      </c>
      <c r="D248" s="787">
        <f>SUM(D249:D251)</f>
        <v>12261841.189999999</v>
      </c>
      <c r="E248" s="787">
        <f>SUM(E249:E251)</f>
        <v>3040254.72</v>
      </c>
      <c r="F248" s="788">
        <f>SUM(F249:F251)</f>
        <v>9221586.4699999988</v>
      </c>
    </row>
    <row r="249" spans="3:6" ht="26.25" thickBot="1" x14ac:dyDescent="0.25">
      <c r="C249" s="666" t="s">
        <v>942</v>
      </c>
      <c r="D249" s="789">
        <f>5575314.25-200000</f>
        <v>5375314.25</v>
      </c>
      <c r="E249" s="789">
        <v>1270547.1500000001</v>
      </c>
      <c r="F249" s="790">
        <f>+D249-E249</f>
        <v>4104767.0999999996</v>
      </c>
    </row>
    <row r="250" spans="3:6" ht="26.25" thickBot="1" x14ac:dyDescent="0.25">
      <c r="C250" s="666" t="s">
        <v>944</v>
      </c>
      <c r="D250" s="789">
        <f>5725231.18-149817.49</f>
        <v>5575413.6899999995</v>
      </c>
      <c r="E250" s="789">
        <v>1291456.6599999999</v>
      </c>
      <c r="F250" s="790">
        <f>+D250-E250</f>
        <v>4283957.0299999993</v>
      </c>
    </row>
    <row r="251" spans="3:6" ht="15" thickBot="1" x14ac:dyDescent="0.25">
      <c r="C251" s="666" t="s">
        <v>945</v>
      </c>
      <c r="D251" s="789">
        <v>1311113.25</v>
      </c>
      <c r="E251" s="789">
        <v>478250.91</v>
      </c>
      <c r="F251" s="790">
        <f>+D251-E251</f>
        <v>832862.34000000008</v>
      </c>
    </row>
    <row r="252" spans="3:6" ht="15.75" thickBot="1" x14ac:dyDescent="0.3">
      <c r="C252" s="662" t="s">
        <v>196</v>
      </c>
      <c r="D252" s="787">
        <f>SUM(D253:D255)</f>
        <v>6958365.1800000006</v>
      </c>
      <c r="E252" s="787">
        <f>SUM(E253:E255)</f>
        <v>6498959.5999999987</v>
      </c>
      <c r="F252" s="788">
        <f>SUM(F253:F255)</f>
        <v>459405.58000000217</v>
      </c>
    </row>
    <row r="253" spans="3:6" ht="15" thickBot="1" x14ac:dyDescent="0.25">
      <c r="C253" s="666" t="s">
        <v>946</v>
      </c>
      <c r="D253" s="789">
        <v>1366156.63</v>
      </c>
      <c r="E253" s="789">
        <v>1337435.6400000006</v>
      </c>
      <c r="F253" s="790">
        <f>+D253-E253</f>
        <v>28720.989999999292</v>
      </c>
    </row>
    <row r="254" spans="3:6" ht="15" thickBot="1" x14ac:dyDescent="0.25">
      <c r="C254" s="666" t="s">
        <v>947</v>
      </c>
      <c r="D254" s="789">
        <v>4622687.1800000006</v>
      </c>
      <c r="E254" s="789">
        <v>4201066.879999998</v>
      </c>
      <c r="F254" s="790">
        <f>+D254-E254</f>
        <v>421620.30000000261</v>
      </c>
    </row>
    <row r="255" spans="3:6" ht="15" thickBot="1" x14ac:dyDescent="0.25">
      <c r="C255" s="666" t="s">
        <v>948</v>
      </c>
      <c r="D255" s="789">
        <v>969521.37000000034</v>
      </c>
      <c r="E255" s="789">
        <v>960457.08000000007</v>
      </c>
      <c r="F255" s="790">
        <f>+D255-E255</f>
        <v>9064.2900000002701</v>
      </c>
    </row>
    <row r="256" spans="3:6" ht="15.75" thickBot="1" x14ac:dyDescent="0.3">
      <c r="C256" s="662" t="s">
        <v>949</v>
      </c>
      <c r="D256" s="787">
        <f>SUM(D257:D262)</f>
        <v>11263811.08</v>
      </c>
      <c r="E256" s="787">
        <f>SUM(E257:E262)</f>
        <v>6967660.6300000008</v>
      </c>
      <c r="F256" s="788">
        <f>SUM(F257:F262)</f>
        <v>4296150.4499999993</v>
      </c>
    </row>
    <row r="257" spans="3:6" ht="15" thickBot="1" x14ac:dyDescent="0.25">
      <c r="C257" s="666" t="s">
        <v>950</v>
      </c>
      <c r="D257" s="789">
        <v>266716.19</v>
      </c>
      <c r="E257" s="789">
        <v>41489.159999999996</v>
      </c>
      <c r="F257" s="790">
        <f t="shared" ref="F257:F262" si="9">+D257-E257</f>
        <v>225227.03</v>
      </c>
    </row>
    <row r="258" spans="3:6" ht="15" thickBot="1" x14ac:dyDescent="0.25">
      <c r="C258" s="666" t="s">
        <v>952</v>
      </c>
      <c r="D258" s="789">
        <v>904919.12</v>
      </c>
      <c r="E258" s="789">
        <v>267164.86000000004</v>
      </c>
      <c r="F258" s="790">
        <f t="shared" si="9"/>
        <v>637754.26</v>
      </c>
    </row>
    <row r="259" spans="3:6" ht="15" thickBot="1" x14ac:dyDescent="0.25">
      <c r="C259" s="666" t="s">
        <v>951</v>
      </c>
      <c r="D259" s="789">
        <v>5972643.6299999999</v>
      </c>
      <c r="E259" s="789">
        <v>4995793.74</v>
      </c>
      <c r="F259" s="790">
        <f t="shared" si="9"/>
        <v>976849.88999999966</v>
      </c>
    </row>
    <row r="260" spans="3:6" ht="15" thickBot="1" x14ac:dyDescent="0.25">
      <c r="C260" s="666" t="s">
        <v>953</v>
      </c>
      <c r="D260" s="789">
        <v>899070.50000000035</v>
      </c>
      <c r="E260" s="789">
        <v>726776.03000000026</v>
      </c>
      <c r="F260" s="790">
        <f t="shared" si="9"/>
        <v>172294.47000000009</v>
      </c>
    </row>
    <row r="261" spans="3:6" ht="15" thickBot="1" x14ac:dyDescent="0.25">
      <c r="C261" s="666" t="s">
        <v>954</v>
      </c>
      <c r="D261" s="789">
        <v>2165468.31</v>
      </c>
      <c r="E261" s="789">
        <v>430960.69000000018</v>
      </c>
      <c r="F261" s="790">
        <f t="shared" si="9"/>
        <v>1734507.6199999999</v>
      </c>
    </row>
    <row r="262" spans="3:6" ht="15" thickBot="1" x14ac:dyDescent="0.25">
      <c r="C262" s="666" t="s">
        <v>955</v>
      </c>
      <c r="D262" s="789">
        <v>1054993.3299999998</v>
      </c>
      <c r="E262" s="789">
        <v>505476.15000000014</v>
      </c>
      <c r="F262" s="790">
        <f t="shared" si="9"/>
        <v>549517.1799999997</v>
      </c>
    </row>
    <row r="263" spans="3:6" ht="15.75" thickBot="1" x14ac:dyDescent="0.3">
      <c r="C263" s="670" t="s">
        <v>935</v>
      </c>
      <c r="D263" s="89"/>
      <c r="E263" s="90"/>
      <c r="F263" s="55"/>
    </row>
    <row r="264" spans="3:6" ht="15.75" thickBot="1" x14ac:dyDescent="0.3">
      <c r="C264" s="662" t="s">
        <v>196</v>
      </c>
      <c r="D264" s="787">
        <f>SUM(D265:D268)</f>
        <v>3200162.5500000017</v>
      </c>
      <c r="E264" s="787">
        <f>SUM(E265:E268)</f>
        <v>2421861.0500000017</v>
      </c>
      <c r="F264" s="788">
        <f>SUM(F265:F268)</f>
        <v>778301.49999999977</v>
      </c>
    </row>
    <row r="265" spans="3:6" ht="15" thickBot="1" x14ac:dyDescent="0.25">
      <c r="C265" s="666" t="s">
        <v>956</v>
      </c>
      <c r="D265" s="789">
        <v>562710</v>
      </c>
      <c r="E265" s="789">
        <v>443310.77</v>
      </c>
      <c r="F265" s="790">
        <f>+D265-E265</f>
        <v>119399.22999999998</v>
      </c>
    </row>
    <row r="266" spans="3:6" ht="15" thickBot="1" x14ac:dyDescent="0.25">
      <c r="C266" s="666" t="s">
        <v>957</v>
      </c>
      <c r="D266" s="789">
        <v>787489.69</v>
      </c>
      <c r="E266" s="789">
        <v>132100.01</v>
      </c>
      <c r="F266" s="790">
        <f>+D266-E266</f>
        <v>655389.67999999993</v>
      </c>
    </row>
    <row r="267" spans="3:6" ht="15" thickBot="1" x14ac:dyDescent="0.25">
      <c r="C267" s="666" t="s">
        <v>958</v>
      </c>
      <c r="D267" s="789">
        <v>41700</v>
      </c>
      <c r="E267" s="789">
        <v>41700</v>
      </c>
      <c r="F267" s="790">
        <f>+D267-E267</f>
        <v>0</v>
      </c>
    </row>
    <row r="268" spans="3:6" ht="15" thickBot="1" x14ac:dyDescent="0.25">
      <c r="C268" s="666" t="s">
        <v>959</v>
      </c>
      <c r="D268" s="789">
        <v>1808262.8600000015</v>
      </c>
      <c r="E268" s="789">
        <v>1804750.2700000016</v>
      </c>
      <c r="F268" s="790">
        <f>+D268-E268</f>
        <v>3512.589999999851</v>
      </c>
    </row>
    <row r="269" spans="3:6" ht="13.5" thickBot="1" x14ac:dyDescent="0.25">
      <c r="C269" s="672"/>
      <c r="F269" s="673"/>
    </row>
    <row r="270" spans="3:6" ht="16.5" thickBot="1" x14ac:dyDescent="0.3">
      <c r="C270" s="674" t="s">
        <v>1191</v>
      </c>
      <c r="D270" s="785" t="s">
        <v>1187</v>
      </c>
      <c r="E270" s="785" t="s">
        <v>1188</v>
      </c>
      <c r="F270" s="786" t="s">
        <v>1189</v>
      </c>
    </row>
  </sheetData>
  <mergeCells count="19">
    <mergeCell ref="B30:C30"/>
    <mergeCell ref="B31:C31"/>
    <mergeCell ref="B29:F29"/>
    <mergeCell ref="B13:C13"/>
    <mergeCell ref="B14:C14"/>
    <mergeCell ref="B15:C15"/>
    <mergeCell ref="B18:C18"/>
    <mergeCell ref="B22:C22"/>
    <mergeCell ref="B23:C23"/>
    <mergeCell ref="B24:C24"/>
    <mergeCell ref="B25:C25"/>
    <mergeCell ref="B156:C156"/>
    <mergeCell ref="B55:C55"/>
    <mergeCell ref="B94:C94"/>
    <mergeCell ref="B54:C54"/>
    <mergeCell ref="B123:C123"/>
    <mergeCell ref="B135:C135"/>
    <mergeCell ref="B145:C145"/>
    <mergeCell ref="B154:C154"/>
  </mergeCells>
  <pageMargins left="0.7" right="0.7" top="0.75" bottom="0.75" header="0.3" footer="0.3"/>
  <pageSetup orientation="portrait" r:id="rId1"/>
  <ignoredErrors>
    <ignoredError sqref="F252:F257" formula="1"/>
  </ignoredError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N24"/>
  <sheetViews>
    <sheetView zoomScaleNormal="100" workbookViewId="0">
      <selection activeCell="B2" sqref="B2"/>
    </sheetView>
  </sheetViews>
  <sheetFormatPr baseColWidth="10" defaultColWidth="11.42578125" defaultRowHeight="15" x14ac:dyDescent="0.25"/>
  <cols>
    <col min="1" max="1" width="2.5703125" customWidth="1"/>
    <col min="2" max="2" width="13.28515625" customWidth="1"/>
    <col min="3" max="3" width="16.7109375" customWidth="1"/>
    <col min="4" max="11" width="14.28515625" customWidth="1"/>
    <col min="12" max="12" width="22.85546875" customWidth="1"/>
  </cols>
  <sheetData>
    <row r="1" spans="2:14" ht="26.25" customHeight="1" x14ac:dyDescent="0.25">
      <c r="B1" t="s">
        <v>1818</v>
      </c>
    </row>
    <row r="2" spans="2:14" ht="24" customHeight="1" x14ac:dyDescent="0.25">
      <c r="D2" s="1029"/>
      <c r="E2" s="1029"/>
      <c r="F2" s="1029"/>
      <c r="G2" s="1029"/>
      <c r="H2" s="1029"/>
      <c r="I2" s="1029"/>
    </row>
    <row r="3" spans="2:14" ht="15.75" customHeight="1" x14ac:dyDescent="0.25">
      <c r="B3" s="1640" t="s">
        <v>1208</v>
      </c>
      <c r="C3" s="1640" t="s">
        <v>1209</v>
      </c>
      <c r="D3" s="1640" t="s">
        <v>223</v>
      </c>
      <c r="E3" s="1640"/>
      <c r="F3" s="1640"/>
      <c r="G3" s="1640"/>
      <c r="H3" s="1640"/>
      <c r="I3" s="1640"/>
      <c r="J3" s="1028"/>
      <c r="K3" s="1028"/>
      <c r="L3" s="1640" t="s">
        <v>1210</v>
      </c>
    </row>
    <row r="4" spans="2:14" ht="15.75" x14ac:dyDescent="0.25">
      <c r="B4" s="1640"/>
      <c r="C4" s="1640"/>
      <c r="D4" s="1028">
        <v>2016</v>
      </c>
      <c r="E4" s="1028">
        <v>2017</v>
      </c>
      <c r="F4" s="1028">
        <v>2018</v>
      </c>
      <c r="G4" s="1028">
        <v>2019</v>
      </c>
      <c r="H4" s="1028">
        <v>2020</v>
      </c>
      <c r="I4" s="1028">
        <v>2021</v>
      </c>
      <c r="J4" s="1028">
        <v>2022</v>
      </c>
      <c r="K4" s="1028">
        <v>2023</v>
      </c>
      <c r="L4" s="1640"/>
    </row>
    <row r="5" spans="2:14" ht="30" x14ac:dyDescent="0.25">
      <c r="B5" s="1641" t="s">
        <v>1211</v>
      </c>
      <c r="C5" s="1027" t="s">
        <v>1212</v>
      </c>
      <c r="D5" s="1026">
        <v>57907.7</v>
      </c>
      <c r="E5" s="1026">
        <v>62202.7</v>
      </c>
      <c r="F5" s="1026">
        <v>67316.471181248737</v>
      </c>
      <c r="G5" s="1026">
        <v>69778.991192557049</v>
      </c>
      <c r="H5" s="1026">
        <v>57059.846521532629</v>
      </c>
      <c r="I5" s="1026">
        <v>67396.392506237797</v>
      </c>
      <c r="J5" s="1026">
        <v>76276.116722765553</v>
      </c>
      <c r="K5" s="1026">
        <v>83318.176882426109</v>
      </c>
      <c r="L5" s="1018" t="s">
        <v>1213</v>
      </c>
    </row>
    <row r="6" spans="2:14" ht="30" x14ac:dyDescent="0.25">
      <c r="B6" s="1641"/>
      <c r="C6" s="1017" t="s">
        <v>1214</v>
      </c>
      <c r="D6" s="1025">
        <v>55605.2</v>
      </c>
      <c r="E6" s="1025">
        <v>59923.5</v>
      </c>
      <c r="F6" s="1025">
        <v>65017.169247378741</v>
      </c>
      <c r="G6" s="1025">
        <v>67599.832700717918</v>
      </c>
      <c r="H6" s="1025">
        <v>55637.010318492627</v>
      </c>
      <c r="I6" s="1025">
        <v>65592.321224950691</v>
      </c>
      <c r="J6" s="1025">
        <v>74153.555469064551</v>
      </c>
      <c r="K6" s="1025">
        <v>81284.598954993213</v>
      </c>
      <c r="L6" s="1014" t="s">
        <v>1213</v>
      </c>
    </row>
    <row r="7" spans="2:14" x14ac:dyDescent="0.25">
      <c r="B7" s="1641"/>
      <c r="C7" s="1017" t="s">
        <v>1215</v>
      </c>
      <c r="D7" s="1016">
        <v>0.48989344379920302</v>
      </c>
      <c r="E7" s="1016">
        <v>0.46803081035614003</v>
      </c>
      <c r="F7" s="1016">
        <v>0.49752205610275302</v>
      </c>
      <c r="G7" s="1016">
        <v>0.49572920799255399</v>
      </c>
      <c r="H7" s="1016">
        <v>0.49193319678306602</v>
      </c>
      <c r="I7" s="1016">
        <v>0.501403868198395</v>
      </c>
      <c r="J7" s="1016">
        <v>0.47989569270389199</v>
      </c>
      <c r="K7" s="1016">
        <v>0.470127945537058</v>
      </c>
      <c r="L7" s="1014" t="s">
        <v>1216</v>
      </c>
    </row>
    <row r="8" spans="2:14" ht="30" x14ac:dyDescent="0.25">
      <c r="B8" s="1641"/>
      <c r="C8" s="1014" t="s">
        <v>1217</v>
      </c>
      <c r="D8" s="1025">
        <v>14464.4</v>
      </c>
      <c r="E8" s="1025">
        <v>15908.6</v>
      </c>
      <c r="F8" s="1025">
        <v>19371.018140863041</v>
      </c>
      <c r="G8" s="1025">
        <v>20979.96863960792</v>
      </c>
      <c r="H8" s="1025">
        <v>16161.622742205505</v>
      </c>
      <c r="I8" s="1025">
        <v>19995.700615221744</v>
      </c>
      <c r="J8" s="1025">
        <v>21295.914119822177</v>
      </c>
      <c r="K8" s="1025">
        <v>21684.920429924339</v>
      </c>
      <c r="L8" s="1014" t="s">
        <v>1213</v>
      </c>
    </row>
    <row r="9" spans="2:14" ht="30" x14ac:dyDescent="0.25">
      <c r="B9" s="1641"/>
      <c r="C9" s="1024" t="s">
        <v>1218</v>
      </c>
      <c r="D9" s="1023">
        <v>1</v>
      </c>
      <c r="E9" s="1023">
        <v>1</v>
      </c>
      <c r="F9" s="1023">
        <v>1</v>
      </c>
      <c r="G9" s="1023">
        <v>1</v>
      </c>
      <c r="H9" s="1023">
        <v>1</v>
      </c>
      <c r="I9" s="1023">
        <v>1</v>
      </c>
      <c r="J9" s="1022">
        <v>1</v>
      </c>
      <c r="K9" s="1022">
        <v>1</v>
      </c>
      <c r="L9" s="1012" t="s">
        <v>1216</v>
      </c>
      <c r="N9" s="817"/>
    </row>
    <row r="10" spans="2:14" ht="30" x14ac:dyDescent="0.25">
      <c r="B10" s="1642" t="s">
        <v>1219</v>
      </c>
      <c r="C10" s="1020" t="s">
        <v>1212</v>
      </c>
      <c r="D10" s="1019">
        <v>168764687.91664401</v>
      </c>
      <c r="E10" s="1019">
        <v>179314910.10605401</v>
      </c>
      <c r="F10" s="1019">
        <v>189434867.40996602</v>
      </c>
      <c r="G10" s="1019">
        <v>195531722.450804</v>
      </c>
      <c r="H10" s="1019">
        <v>201257745.10728601</v>
      </c>
      <c r="I10" s="1019">
        <v>239561981.37910998</v>
      </c>
      <c r="J10" s="1019">
        <v>263842660.89958802</v>
      </c>
      <c r="K10" s="1019">
        <v>281870320.62809402</v>
      </c>
      <c r="L10" s="1018" t="s">
        <v>1220</v>
      </c>
      <c r="N10" s="818"/>
    </row>
    <row r="11" spans="2:14" ht="30" x14ac:dyDescent="0.25">
      <c r="B11" s="1641"/>
      <c r="C11" s="1017" t="s">
        <v>1214</v>
      </c>
      <c r="D11" s="1015">
        <v>151822891.583563</v>
      </c>
      <c r="E11" s="1015">
        <v>161273920.148182</v>
      </c>
      <c r="F11" s="1015">
        <v>170093998.14332801</v>
      </c>
      <c r="G11" s="1015">
        <v>175957882.25705701</v>
      </c>
      <c r="H11" s="1015">
        <v>181573950.77297798</v>
      </c>
      <c r="I11" s="1015">
        <v>214097570.406616</v>
      </c>
      <c r="J11" s="1015">
        <v>236562726.983668</v>
      </c>
      <c r="K11" s="1015">
        <v>253955142.84962299</v>
      </c>
      <c r="L11" s="1014" t="s">
        <v>1220</v>
      </c>
      <c r="N11" s="818"/>
    </row>
    <row r="12" spans="2:14" x14ac:dyDescent="0.25">
      <c r="B12" s="1641"/>
      <c r="C12" s="1017" t="s">
        <v>1215</v>
      </c>
      <c r="D12" s="1016">
        <v>397.25070299999999</v>
      </c>
      <c r="E12" s="1016">
        <v>397.68940099999998</v>
      </c>
      <c r="F12" s="1016">
        <v>396.22941300000002</v>
      </c>
      <c r="G12" s="1016">
        <v>397.67440800000003</v>
      </c>
      <c r="H12" s="1016">
        <v>409.84178500000002</v>
      </c>
      <c r="I12" s="1016">
        <v>423.04617200000001</v>
      </c>
      <c r="J12" s="1016">
        <v>426.09822600000001</v>
      </c>
      <c r="K12" s="1016">
        <v>431.41590500000001</v>
      </c>
      <c r="L12" s="1014" t="s">
        <v>1221</v>
      </c>
      <c r="N12" s="818"/>
    </row>
    <row r="13" spans="2:14" ht="30" x14ac:dyDescent="0.25">
      <c r="B13" s="1641"/>
      <c r="C13" s="1014" t="s">
        <v>1217</v>
      </c>
      <c r="D13" s="1015">
        <v>68538643</v>
      </c>
      <c r="E13" s="1015">
        <v>74227350</v>
      </c>
      <c r="F13" s="1015">
        <v>75518676.599672094</v>
      </c>
      <c r="G13" s="1015">
        <v>79941862.68183051</v>
      </c>
      <c r="H13" s="1015">
        <v>78385410.985736594</v>
      </c>
      <c r="I13" s="1015">
        <v>89134506.459791794</v>
      </c>
      <c r="J13" s="1015">
        <v>104087950.78445899</v>
      </c>
      <c r="K13" s="1015">
        <v>111200000.64092189</v>
      </c>
      <c r="L13" s="1014" t="s">
        <v>1220</v>
      </c>
      <c r="N13" s="818"/>
    </row>
    <row r="14" spans="2:14" ht="30" x14ac:dyDescent="0.25">
      <c r="B14" s="1643"/>
      <c r="C14" s="1012" t="s">
        <v>1218</v>
      </c>
      <c r="D14" s="1021">
        <v>676.93941894508998</v>
      </c>
      <c r="E14" s="1021">
        <v>648.85293629082582</v>
      </c>
      <c r="F14" s="1021">
        <v>641.21984148093054</v>
      </c>
      <c r="G14" s="1021">
        <v>703.25117670755162</v>
      </c>
      <c r="H14" s="1021">
        <v>792.16532243487507</v>
      </c>
      <c r="I14" s="1021">
        <v>759.06582001693971</v>
      </c>
      <c r="J14" s="1021">
        <v>873.18857308868337</v>
      </c>
      <c r="K14" s="1021">
        <v>839.79411430750781</v>
      </c>
      <c r="L14" s="1012" t="s">
        <v>1221</v>
      </c>
    </row>
    <row r="15" spans="2:14" ht="45" x14ac:dyDescent="0.25">
      <c r="B15" s="1642" t="s">
        <v>1222</v>
      </c>
      <c r="C15" s="1020" t="s">
        <v>1212</v>
      </c>
      <c r="D15" s="1019">
        <v>647668</v>
      </c>
      <c r="E15" s="1019">
        <v>687989</v>
      </c>
      <c r="F15" s="1019">
        <v>731588</v>
      </c>
      <c r="G15" s="1019">
        <v>761984</v>
      </c>
      <c r="H15" s="1019">
        <v>703915</v>
      </c>
      <c r="I15" s="1019">
        <v>878380</v>
      </c>
      <c r="J15" s="1019">
        <v>945329</v>
      </c>
      <c r="K15" s="1019">
        <v>1001860</v>
      </c>
      <c r="L15" s="1018" t="s">
        <v>1223</v>
      </c>
    </row>
    <row r="16" spans="2:14" ht="45" x14ac:dyDescent="0.25">
      <c r="B16" s="1641"/>
      <c r="C16" s="1017" t="s">
        <v>1214</v>
      </c>
      <c r="D16" s="1015">
        <v>594546</v>
      </c>
      <c r="E16" s="1015">
        <v>632991</v>
      </c>
      <c r="F16" s="1015">
        <v>673413</v>
      </c>
      <c r="G16" s="1015">
        <v>698692</v>
      </c>
      <c r="H16" s="1015">
        <v>649194</v>
      </c>
      <c r="I16" s="1015">
        <v>804313</v>
      </c>
      <c r="J16" s="1015">
        <v>867440</v>
      </c>
      <c r="K16" s="1015">
        <v>925453</v>
      </c>
      <c r="L16" s="1014" t="s">
        <v>1223</v>
      </c>
    </row>
    <row r="17" spans="2:12" x14ac:dyDescent="0.25">
      <c r="B17" s="1641"/>
      <c r="C17" s="1017" t="s">
        <v>1215</v>
      </c>
      <c r="D17" s="1016">
        <v>1.7389302487434499</v>
      </c>
      <c r="E17" s="1016">
        <v>1.7442377805709799</v>
      </c>
      <c r="F17" s="1016">
        <v>1.75371789932251</v>
      </c>
      <c r="G17" s="1016">
        <v>1.7312808036804199</v>
      </c>
      <c r="H17" s="1016">
        <v>1.7062081098556501</v>
      </c>
      <c r="I17" s="1016">
        <v>1.7335400581359901</v>
      </c>
      <c r="J17" s="1016">
        <v>1.6967032678914</v>
      </c>
      <c r="K17" s="1016">
        <v>1.74452671883385</v>
      </c>
      <c r="L17" s="1014" t="s">
        <v>1224</v>
      </c>
    </row>
    <row r="18" spans="2:12" ht="45" x14ac:dyDescent="0.25">
      <c r="B18" s="1641"/>
      <c r="C18" s="1014" t="s">
        <v>1217</v>
      </c>
      <c r="D18" s="1015">
        <v>204177</v>
      </c>
      <c r="E18" s="1015">
        <v>215097</v>
      </c>
      <c r="F18" s="1015">
        <v>227599</v>
      </c>
      <c r="G18" s="1015">
        <v>240913</v>
      </c>
      <c r="H18" s="1015">
        <v>217550</v>
      </c>
      <c r="I18" s="1015">
        <v>247897</v>
      </c>
      <c r="J18" s="1015">
        <v>271487</v>
      </c>
      <c r="K18" s="1015">
        <v>287695</v>
      </c>
      <c r="L18" s="1014" t="s">
        <v>1223</v>
      </c>
    </row>
    <row r="19" spans="2:12" ht="30" x14ac:dyDescent="0.25">
      <c r="B19" s="1643"/>
      <c r="C19" s="1012" t="s">
        <v>1218</v>
      </c>
      <c r="D19" s="1013">
        <v>3.3750615872066554</v>
      </c>
      <c r="E19" s="1013">
        <v>3.2604884908320999</v>
      </c>
      <c r="F19" s="1013">
        <v>3.286602698032965</v>
      </c>
      <c r="G19" s="1013">
        <v>3.3369709632034601</v>
      </c>
      <c r="H19" s="1013">
        <v>3.4949411976912002</v>
      </c>
      <c r="I19" s="1013">
        <v>3.8805541313758702</v>
      </c>
      <c r="J19" s="1013">
        <v>3.8351813747354253</v>
      </c>
      <c r="K19" s="1013">
        <v>3.74382620959376</v>
      </c>
      <c r="L19" s="1012" t="s">
        <v>1224</v>
      </c>
    </row>
    <row r="20" spans="2:12" ht="45" x14ac:dyDescent="0.25">
      <c r="B20" s="1642" t="s">
        <v>1480</v>
      </c>
      <c r="C20" s="1020" t="s">
        <v>1212</v>
      </c>
      <c r="D20" s="1019">
        <v>6269328</v>
      </c>
      <c r="E20" s="1019">
        <v>6585479</v>
      </c>
      <c r="F20" s="1019">
        <v>7004141</v>
      </c>
      <c r="G20" s="1019">
        <v>7389131</v>
      </c>
      <c r="H20" s="1019">
        <v>7609597</v>
      </c>
      <c r="I20" s="1019">
        <v>9012142</v>
      </c>
      <c r="J20" s="1019">
        <v>10079676.700999996</v>
      </c>
      <c r="K20" s="1019"/>
      <c r="L20" s="1018" t="s">
        <v>1479</v>
      </c>
    </row>
    <row r="21" spans="2:12" ht="45" x14ac:dyDescent="0.25">
      <c r="B21" s="1641"/>
      <c r="C21" s="1017" t="s">
        <v>1214</v>
      </c>
      <c r="D21" s="1015">
        <v>5419822</v>
      </c>
      <c r="E21" s="1015">
        <v>5671926</v>
      </c>
      <c r="F21" s="1015">
        <v>6011150</v>
      </c>
      <c r="G21" s="1015">
        <v>6356684</v>
      </c>
      <c r="H21" s="1015">
        <v>6594937</v>
      </c>
      <c r="I21" s="1015">
        <v>7713999</v>
      </c>
      <c r="J21" s="1015">
        <v>8736475.4019999951</v>
      </c>
      <c r="K21" s="1015"/>
      <c r="L21" s="1014" t="s">
        <v>1479</v>
      </c>
    </row>
    <row r="22" spans="2:12" x14ac:dyDescent="0.25">
      <c r="B22" s="1641"/>
      <c r="C22" s="1017" t="s">
        <v>1215</v>
      </c>
      <c r="D22" s="1016">
        <v>2.1559715964394899</v>
      </c>
      <c r="E22" s="1016">
        <v>2.2096791267395002</v>
      </c>
      <c r="F22" s="1016">
        <v>2.1975915431976301</v>
      </c>
      <c r="G22" s="1016">
        <v>2.2164452075958301</v>
      </c>
      <c r="H22" s="1016">
        <v>2.2649111747741699</v>
      </c>
      <c r="I22" s="1016">
        <v>2.3792741298675502</v>
      </c>
      <c r="J22" s="1016">
        <v>2.4132659496421001</v>
      </c>
      <c r="K22" s="1016">
        <v>2.43687587390419</v>
      </c>
      <c r="L22" s="1014" t="s">
        <v>1478</v>
      </c>
    </row>
    <row r="23" spans="2:12" ht="45" x14ac:dyDescent="0.25">
      <c r="B23" s="1641"/>
      <c r="C23" s="1014" t="s">
        <v>1217</v>
      </c>
      <c r="D23" s="1015">
        <v>2802436</v>
      </c>
      <c r="E23" s="1015">
        <v>2920537</v>
      </c>
      <c r="F23" s="1015">
        <v>3055773</v>
      </c>
      <c r="G23" s="1015">
        <v>3217680</v>
      </c>
      <c r="H23" s="1015">
        <v>3192343</v>
      </c>
      <c r="I23" s="1015">
        <v>3534648</v>
      </c>
      <c r="J23" s="1015"/>
      <c r="K23" s="1015"/>
      <c r="L23" s="1014" t="s">
        <v>1479</v>
      </c>
    </row>
    <row r="24" spans="2:12" ht="30" x14ac:dyDescent="0.25">
      <c r="B24" s="1643"/>
      <c r="C24" s="1012" t="s">
        <v>1218</v>
      </c>
      <c r="D24" s="1013">
        <v>3.4898124999999993</v>
      </c>
      <c r="E24" s="1013">
        <v>3.1916958333333336</v>
      </c>
      <c r="F24" s="1013">
        <v>3.6541374999999996</v>
      </c>
      <c r="G24" s="1013">
        <v>3.9447791666666672</v>
      </c>
      <c r="H24" s="1013">
        <v>5.1555375000000003</v>
      </c>
      <c r="I24" s="1013">
        <v>5.3947083333333339</v>
      </c>
      <c r="J24" s="1013">
        <v>5.1644666666666668</v>
      </c>
      <c r="K24" s="1013">
        <v>4.9946666666666673</v>
      </c>
      <c r="L24" s="1012" t="s">
        <v>1478</v>
      </c>
    </row>
  </sheetData>
  <mergeCells count="8">
    <mergeCell ref="L3:L4"/>
    <mergeCell ref="B5:B9"/>
    <mergeCell ref="B10:B14"/>
    <mergeCell ref="B20:B24"/>
    <mergeCell ref="B15:B19"/>
    <mergeCell ref="B3:B4"/>
    <mergeCell ref="C3:C4"/>
    <mergeCell ref="D3:I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29"/>
  <sheetViews>
    <sheetView workbookViewId="0">
      <selection activeCell="B22" sqref="B22"/>
    </sheetView>
  </sheetViews>
  <sheetFormatPr baseColWidth="10" defaultColWidth="11.42578125" defaultRowHeight="15" x14ac:dyDescent="0.25"/>
  <cols>
    <col min="1" max="1" width="21.85546875" bestFit="1" customWidth="1"/>
    <col min="2" max="2" width="20.7109375" customWidth="1"/>
    <col min="3" max="3" width="15.7109375" customWidth="1"/>
    <col min="4" max="4" width="4.85546875" customWidth="1"/>
    <col min="5" max="5" width="53.42578125" bestFit="1" customWidth="1"/>
    <col min="6" max="6" width="17.28515625" bestFit="1" customWidth="1"/>
    <col min="7" max="7" width="2" bestFit="1" customWidth="1"/>
    <col min="8" max="8" width="3.5703125" customWidth="1"/>
    <col min="11" max="11" width="12.28515625" customWidth="1"/>
    <col min="12" max="12" width="5.28515625" customWidth="1"/>
    <col min="13" max="13" width="47" customWidth="1"/>
    <col min="15" max="15" width="9.42578125" customWidth="1"/>
  </cols>
  <sheetData>
    <row r="1" spans="1:15" x14ac:dyDescent="0.25">
      <c r="A1" t="s">
        <v>1472</v>
      </c>
    </row>
    <row r="2" spans="1:15" x14ac:dyDescent="0.25">
      <c r="E2" s="1644">
        <v>2017</v>
      </c>
      <c r="F2" s="1644"/>
    </row>
    <row r="3" spans="1:15" ht="15.75" thickBot="1" x14ac:dyDescent="0.3">
      <c r="E3" s="1644"/>
      <c r="F3" s="1644"/>
      <c r="M3" s="1236" t="s">
        <v>1671</v>
      </c>
      <c r="N3" s="1038">
        <v>2017</v>
      </c>
      <c r="O3" s="1030"/>
    </row>
    <row r="4" spans="1:15" ht="16.5" thickBot="1" x14ac:dyDescent="0.3">
      <c r="A4" s="1043" t="s">
        <v>348</v>
      </c>
      <c r="B4" s="1043" t="s">
        <v>1225</v>
      </c>
      <c r="C4" s="1043">
        <v>2017</v>
      </c>
      <c r="E4" s="1028" t="s">
        <v>348</v>
      </c>
      <c r="F4" s="1028"/>
      <c r="I4" s="831" t="s">
        <v>1230</v>
      </c>
      <c r="J4" s="832"/>
      <c r="K4" s="833"/>
      <c r="M4" s="1035" t="s">
        <v>1510</v>
      </c>
      <c r="N4" s="1030">
        <v>307611</v>
      </c>
      <c r="O4" s="1030">
        <v>1</v>
      </c>
    </row>
    <row r="5" spans="1:15" x14ac:dyDescent="0.25">
      <c r="A5" s="824" t="s">
        <v>1226</v>
      </c>
      <c r="B5" s="825" t="s">
        <v>878</v>
      </c>
      <c r="C5" s="825">
        <f>(((B13*K6)/(((Homologadores!E23/Homologadores!E20)/(Homologadores!E8/Homologadores!E5))*(Homologadores!E22/Homologadores!E7)))+((B13*(1-K6)*K7)/(Homologadores!E22/Homologadores!E7))+((B13*(1-K6)*K8)/(Homologadores!E24/Homologadores!E9)))*Homologadores!E24</f>
        <v>3475236.3312610416</v>
      </c>
      <c r="E5" s="1045" t="s">
        <v>1249</v>
      </c>
      <c r="F5" s="1044"/>
      <c r="I5" s="1649" t="s">
        <v>348</v>
      </c>
      <c r="J5" s="1650"/>
      <c r="K5" s="962" t="s">
        <v>1232</v>
      </c>
      <c r="M5" s="1035" t="s">
        <v>1509</v>
      </c>
      <c r="N5" s="1030">
        <v>9923</v>
      </c>
      <c r="O5" s="1030">
        <v>1</v>
      </c>
    </row>
    <row r="6" spans="1:15" x14ac:dyDescent="0.25">
      <c r="A6" s="821" t="s">
        <v>1228</v>
      </c>
      <c r="B6" s="819" t="s">
        <v>878</v>
      </c>
      <c r="C6" s="819">
        <f>((((F23*K12)/(((Homologadores!E23/Homologadores!E20)/(Homologadores!E8/Homologadores!E5))*(Homologadores!E22/Homologadores!E7)))+((F23*(1-K12)*K13)/(Homologadores!E22/Homologadores!E7))+((F23*(1-K12)*K14)/(Homologadores!E24/Homologadores!E9)))*Homologadores!E24)</f>
        <v>36186.223355390655</v>
      </c>
      <c r="E6" s="1034" t="s">
        <v>1508</v>
      </c>
      <c r="F6" s="1033">
        <v>87450</v>
      </c>
      <c r="G6">
        <v>1</v>
      </c>
      <c r="I6" s="1645" t="s">
        <v>1234</v>
      </c>
      <c r="J6" s="1646"/>
      <c r="K6" s="827">
        <v>0.54090000000000005</v>
      </c>
      <c r="M6" s="1035" t="s">
        <v>1507</v>
      </c>
      <c r="N6" s="1030">
        <v>10371</v>
      </c>
      <c r="O6" s="1030">
        <v>0</v>
      </c>
    </row>
    <row r="7" spans="1:15" x14ac:dyDescent="0.25">
      <c r="A7" s="822" t="s">
        <v>1229</v>
      </c>
      <c r="B7" s="823" t="s">
        <v>878</v>
      </c>
      <c r="C7" s="823">
        <f>((((F22*K18)/(((Homologadores!E23/Homologadores!E20)/(Homologadores!E8/Homologadores!E5))*(Homologadores!E22/Homologadores!E7)))+((F22*(1-K18)*K19)/(Homologadores!E22/Homologadores!E7))+((F22*(1-K18)*K20)/(Homologadores!E24/Homologadores!E9))))*Homologadores!E24</f>
        <v>53199.330743496896</v>
      </c>
      <c r="E7" s="1034" t="s">
        <v>1506</v>
      </c>
      <c r="F7" s="1033">
        <v>3595</v>
      </c>
      <c r="G7">
        <v>1</v>
      </c>
      <c r="I7" s="1647" t="s">
        <v>1235</v>
      </c>
      <c r="J7" s="634" t="s">
        <v>1236</v>
      </c>
      <c r="K7" s="828">
        <v>0.6</v>
      </c>
      <c r="M7" s="1035" t="s">
        <v>1505</v>
      </c>
      <c r="N7" s="1030">
        <v>80105</v>
      </c>
      <c r="O7" s="1030">
        <v>1</v>
      </c>
    </row>
    <row r="8" spans="1:15" x14ac:dyDescent="0.25">
      <c r="A8" s="824" t="s">
        <v>1231</v>
      </c>
      <c r="B8" s="825" t="s">
        <v>5</v>
      </c>
      <c r="C8" s="826">
        <f>(C6/C5)*100</f>
        <v>1.0412593534972612</v>
      </c>
      <c r="E8" s="1034" t="s">
        <v>1504</v>
      </c>
      <c r="F8" s="1033">
        <v>31472</v>
      </c>
      <c r="G8">
        <v>1</v>
      </c>
      <c r="I8" s="1648"/>
      <c r="J8" s="634" t="s">
        <v>1237</v>
      </c>
      <c r="K8" s="828">
        <f>1-K7</f>
        <v>0.4</v>
      </c>
      <c r="M8" s="1035" t="s">
        <v>1503</v>
      </c>
      <c r="N8" s="1030">
        <v>152974</v>
      </c>
      <c r="O8" s="1030">
        <v>0</v>
      </c>
    </row>
    <row r="9" spans="1:15" ht="15.75" thickBot="1" x14ac:dyDescent="0.3">
      <c r="A9" s="821" t="s">
        <v>1233</v>
      </c>
      <c r="B9" s="819" t="s">
        <v>5</v>
      </c>
      <c r="C9" s="816">
        <f>(C7/C5)*100</f>
        <v>1.5308118836393703</v>
      </c>
      <c r="E9" s="1034" t="s">
        <v>1502</v>
      </c>
      <c r="F9" s="1033">
        <v>4846</v>
      </c>
      <c r="G9">
        <v>1</v>
      </c>
      <c r="M9" s="1035" t="s">
        <v>1501</v>
      </c>
      <c r="N9" s="1030">
        <v>8462</v>
      </c>
      <c r="O9" s="1030">
        <v>0</v>
      </c>
    </row>
    <row r="10" spans="1:15" ht="16.5" thickBot="1" x14ac:dyDescent="0.3">
      <c r="A10" s="822" t="s">
        <v>353</v>
      </c>
      <c r="B10" s="823" t="s">
        <v>5</v>
      </c>
      <c r="C10" s="820">
        <f>+C9+C8</f>
        <v>2.5720712371366314</v>
      </c>
      <c r="E10" s="1034" t="s">
        <v>1252</v>
      </c>
      <c r="F10" s="1033">
        <v>666</v>
      </c>
      <c r="G10">
        <v>1</v>
      </c>
      <c r="I10" s="831" t="s">
        <v>1238</v>
      </c>
      <c r="J10" s="832"/>
      <c r="K10" s="833"/>
      <c r="M10" s="1035" t="s">
        <v>1500</v>
      </c>
      <c r="N10" s="1030">
        <v>24827</v>
      </c>
      <c r="O10" s="1030">
        <v>0</v>
      </c>
    </row>
    <row r="11" spans="1:15" x14ac:dyDescent="0.25">
      <c r="D11" s="1031"/>
      <c r="E11" s="1034" t="s">
        <v>1499</v>
      </c>
      <c r="F11" s="1033">
        <v>809</v>
      </c>
      <c r="G11">
        <v>1</v>
      </c>
      <c r="I11" s="1649" t="s">
        <v>348</v>
      </c>
      <c r="J11" s="1650"/>
      <c r="K11" s="962" t="s">
        <v>1232</v>
      </c>
      <c r="M11" s="1035" t="s">
        <v>1498</v>
      </c>
      <c r="N11" s="1030">
        <v>35772</v>
      </c>
      <c r="O11" s="1030">
        <v>1</v>
      </c>
    </row>
    <row r="12" spans="1:15" ht="15.75" x14ac:dyDescent="0.25">
      <c r="A12" s="1043"/>
      <c r="B12" s="1043">
        <v>2017</v>
      </c>
      <c r="C12" s="1031"/>
      <c r="D12" s="1031"/>
      <c r="E12" s="1034" t="s">
        <v>1497</v>
      </c>
      <c r="F12" s="1033">
        <v>10075</v>
      </c>
      <c r="G12">
        <v>1</v>
      </c>
      <c r="I12" s="1645" t="s">
        <v>1234</v>
      </c>
      <c r="J12" s="1646"/>
      <c r="K12" s="827">
        <v>0.4</v>
      </c>
      <c r="M12" s="1236" t="s">
        <v>28</v>
      </c>
      <c r="N12" s="1038">
        <f>SUM(N4:N11)</f>
        <v>630045</v>
      </c>
      <c r="O12" s="1038"/>
    </row>
    <row r="13" spans="1:15" ht="15.75" thickBot="1" x14ac:dyDescent="0.3">
      <c r="A13" s="1042" t="s">
        <v>195</v>
      </c>
      <c r="B13" s="1041">
        <f>5241834+742344</f>
        <v>5984178</v>
      </c>
      <c r="C13" s="1031"/>
      <c r="D13" s="1031"/>
      <c r="E13" s="1034" t="s">
        <v>1496</v>
      </c>
      <c r="F13" s="1033">
        <v>0</v>
      </c>
      <c r="G13">
        <v>1</v>
      </c>
      <c r="I13" s="1647" t="s">
        <v>1235</v>
      </c>
      <c r="J13" s="634" t="s">
        <v>1236</v>
      </c>
      <c r="K13" s="828">
        <v>0.7</v>
      </c>
      <c r="M13" s="1236" t="s">
        <v>1493</v>
      </c>
      <c r="N13" s="1039"/>
    </row>
    <row r="14" spans="1:15" x14ac:dyDescent="0.25">
      <c r="A14" s="1031"/>
      <c r="B14" s="1031"/>
      <c r="C14" s="1031"/>
      <c r="D14" s="1031"/>
      <c r="E14" s="1034" t="s">
        <v>1494</v>
      </c>
      <c r="F14" s="1033">
        <v>0</v>
      </c>
      <c r="G14">
        <v>1</v>
      </c>
      <c r="I14" s="1648"/>
      <c r="J14" s="634" t="s">
        <v>1237</v>
      </c>
      <c r="K14" s="828">
        <v>0.3</v>
      </c>
      <c r="M14" s="1035" t="s">
        <v>1491</v>
      </c>
      <c r="N14" s="1030">
        <v>17514</v>
      </c>
      <c r="O14" s="1039"/>
    </row>
    <row r="15" spans="1:15" ht="15.75" thickBot="1" x14ac:dyDescent="0.3">
      <c r="A15" s="1031"/>
      <c r="B15" s="1031"/>
      <c r="C15" s="1031"/>
      <c r="D15" s="1031"/>
      <c r="E15" s="1034" t="s">
        <v>1492</v>
      </c>
      <c r="F15" s="1033">
        <v>-466</v>
      </c>
      <c r="G15">
        <v>1</v>
      </c>
      <c r="M15" s="1035" t="s">
        <v>1489</v>
      </c>
      <c r="N15" s="1030">
        <v>173222</v>
      </c>
      <c r="O15" s="1030"/>
    </row>
    <row r="16" spans="1:15" ht="16.5" thickBot="1" x14ac:dyDescent="0.3">
      <c r="A16" s="1031"/>
      <c r="B16" s="1031"/>
      <c r="C16" s="1031"/>
      <c r="D16" s="1031"/>
      <c r="E16" s="1034" t="s">
        <v>1490</v>
      </c>
      <c r="F16" s="1033">
        <v>473</v>
      </c>
      <c r="G16">
        <v>1</v>
      </c>
      <c r="I16" s="831" t="s">
        <v>1245</v>
      </c>
      <c r="J16" s="832"/>
      <c r="K16" s="833"/>
      <c r="M16" s="1035" t="s">
        <v>1487</v>
      </c>
      <c r="N16" s="1030">
        <v>130829</v>
      </c>
      <c r="O16" s="1030"/>
    </row>
    <row r="17" spans="4:15" x14ac:dyDescent="0.25">
      <c r="D17" s="1031"/>
      <c r="E17" s="1037" t="s">
        <v>1488</v>
      </c>
      <c r="F17" s="1036">
        <v>72008</v>
      </c>
      <c r="G17">
        <v>0</v>
      </c>
      <c r="I17" s="1649" t="s">
        <v>348</v>
      </c>
      <c r="J17" s="1650"/>
      <c r="K17" s="962" t="s">
        <v>1232</v>
      </c>
      <c r="M17" s="1236" t="s">
        <v>28</v>
      </c>
      <c r="N17" s="1038">
        <f>SUM(N14:N16)</f>
        <v>321565</v>
      </c>
      <c r="O17" s="1030"/>
    </row>
    <row r="18" spans="4:15" x14ac:dyDescent="0.25">
      <c r="D18" s="1031"/>
      <c r="E18" s="1034" t="s">
        <v>1486</v>
      </c>
      <c r="F18" s="1033">
        <v>2669</v>
      </c>
      <c r="G18">
        <v>1</v>
      </c>
      <c r="I18" s="1645" t="s">
        <v>1234</v>
      </c>
      <c r="J18" s="1646"/>
      <c r="K18" s="827">
        <v>0.4</v>
      </c>
      <c r="O18" s="1038"/>
    </row>
    <row r="19" spans="4:15" x14ac:dyDescent="0.25">
      <c r="D19" s="1031"/>
      <c r="E19" s="1037" t="s">
        <v>1485</v>
      </c>
      <c r="F19" s="1036">
        <v>874086</v>
      </c>
      <c r="G19">
        <v>0</v>
      </c>
      <c r="I19" s="1647" t="s">
        <v>1235</v>
      </c>
      <c r="J19" s="634" t="s">
        <v>1236</v>
      </c>
      <c r="K19" s="828">
        <v>0.6</v>
      </c>
      <c r="M19" s="110" t="s">
        <v>1495</v>
      </c>
      <c r="N19" s="1040">
        <f>SUMPRODUCT(N4:N11,O4:O11)</f>
        <v>433411</v>
      </c>
      <c r="O19" s="287">
        <f>N19/$N$21</f>
        <v>0.58770621401509504</v>
      </c>
    </row>
    <row r="20" spans="4:15" x14ac:dyDescent="0.25">
      <c r="D20" s="1031"/>
      <c r="E20" s="1034" t="s">
        <v>1483</v>
      </c>
      <c r="F20" s="1033">
        <v>0</v>
      </c>
      <c r="G20">
        <v>1</v>
      </c>
      <c r="I20" s="1648"/>
      <c r="J20" s="634" t="s">
        <v>1237</v>
      </c>
      <c r="K20" s="828">
        <v>0.4</v>
      </c>
      <c r="M20" s="110" t="s">
        <v>1484</v>
      </c>
      <c r="N20" s="111">
        <f>N15+N16</f>
        <v>304051</v>
      </c>
      <c r="O20" s="287">
        <f>N20/$N$21</f>
        <v>0.41229378598490496</v>
      </c>
    </row>
    <row r="21" spans="4:15" x14ac:dyDescent="0.25">
      <c r="D21" s="1031"/>
      <c r="E21" s="1034" t="s">
        <v>1481</v>
      </c>
      <c r="F21" s="1033">
        <v>0</v>
      </c>
      <c r="G21">
        <v>1</v>
      </c>
      <c r="M21" s="110" t="s">
        <v>1672</v>
      </c>
      <c r="N21" s="1237">
        <f>N19+N20</f>
        <v>737462</v>
      </c>
    </row>
    <row r="22" spans="4:15" x14ac:dyDescent="0.25">
      <c r="D22" s="1031"/>
      <c r="E22" s="964" t="s">
        <v>1229</v>
      </c>
      <c r="F22" s="1032">
        <f>F24*O19</f>
        <v>83212.735136183299</v>
      </c>
      <c r="G22" s="108"/>
      <c r="M22" s="1035" t="s">
        <v>1482</v>
      </c>
      <c r="N22" s="287">
        <f>N20/(N19+N20)</f>
        <v>0.41229378598490496</v>
      </c>
    </row>
    <row r="23" spans="4:15" x14ac:dyDescent="0.25">
      <c r="D23" s="1031"/>
      <c r="E23" s="964" t="s">
        <v>1241</v>
      </c>
      <c r="F23" s="1032">
        <f>F24*O20</f>
        <v>58376.264863816708</v>
      </c>
    </row>
    <row r="24" spans="4:15" x14ac:dyDescent="0.25">
      <c r="D24" s="1031"/>
      <c r="E24" s="964" t="s">
        <v>28</v>
      </c>
      <c r="F24" s="1032">
        <f>SUMPRODUCT(F6:F21,G6:G21)</f>
        <v>141589</v>
      </c>
    </row>
    <row r="26" spans="4:15" x14ac:dyDescent="0.25">
      <c r="D26" s="1031"/>
    </row>
    <row r="28" spans="4:15" x14ac:dyDescent="0.25">
      <c r="F28" s="108"/>
    </row>
    <row r="29" spans="4:15" x14ac:dyDescent="0.25">
      <c r="E29" s="1030"/>
      <c r="F29" s="1030"/>
    </row>
  </sheetData>
  <mergeCells count="10">
    <mergeCell ref="I19:I20"/>
    <mergeCell ref="I5:J5"/>
    <mergeCell ref="I6:J6"/>
    <mergeCell ref="I7:I8"/>
    <mergeCell ref="I11:J11"/>
    <mergeCell ref="E2:F3"/>
    <mergeCell ref="I12:J12"/>
    <mergeCell ref="I13:I14"/>
    <mergeCell ref="I17:J17"/>
    <mergeCell ref="I18:J18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F24"/>
  <sheetViews>
    <sheetView workbookViewId="0">
      <selection activeCell="X19" sqref="X19"/>
    </sheetView>
  </sheetViews>
  <sheetFormatPr baseColWidth="10" defaultColWidth="11.42578125" defaultRowHeight="15" x14ac:dyDescent="0.25"/>
  <cols>
    <col min="2" max="2" width="43.85546875" customWidth="1"/>
    <col min="3" max="3" width="17.140625" customWidth="1"/>
    <col min="4" max="4" width="15.7109375" customWidth="1"/>
    <col min="5" max="9" width="13.42578125" customWidth="1"/>
    <col min="10" max="10" width="7" customWidth="1"/>
    <col min="11" max="11" width="6.28515625" customWidth="1"/>
    <col min="12" max="12" width="43.42578125" bestFit="1" customWidth="1"/>
    <col min="14" max="14" width="12.7109375" customWidth="1"/>
    <col min="15" max="15" width="12" customWidth="1"/>
    <col min="32" max="32" width="39.5703125" bestFit="1" customWidth="1"/>
    <col min="33" max="33" width="13.28515625" bestFit="1" customWidth="1"/>
  </cols>
  <sheetData>
    <row r="1" spans="1:32" x14ac:dyDescent="0.25">
      <c r="A1" t="s">
        <v>1819</v>
      </c>
    </row>
    <row r="2" spans="1:32" ht="15.75" thickBot="1" x14ac:dyDescent="0.3"/>
    <row r="3" spans="1:32" ht="16.5" thickBot="1" x14ac:dyDescent="0.3">
      <c r="B3" s="1028" t="s">
        <v>348</v>
      </c>
      <c r="C3" s="1028" t="s">
        <v>1225</v>
      </c>
      <c r="D3" s="1028">
        <v>2019</v>
      </c>
      <c r="E3" s="1028">
        <v>2020</v>
      </c>
      <c r="F3" s="1028">
        <v>2021</v>
      </c>
      <c r="G3" s="1028">
        <v>2022</v>
      </c>
      <c r="H3" s="1028">
        <v>2023</v>
      </c>
      <c r="I3" s="1028" t="s">
        <v>1259</v>
      </c>
      <c r="L3" s="1028" t="s">
        <v>348</v>
      </c>
      <c r="M3" s="1028">
        <v>2017</v>
      </c>
      <c r="N3" s="1028">
        <v>2018</v>
      </c>
      <c r="O3" s="1028">
        <v>2019</v>
      </c>
      <c r="P3" s="1028">
        <v>2020</v>
      </c>
      <c r="Q3" s="1028">
        <v>2021</v>
      </c>
      <c r="R3" s="1028">
        <v>2022</v>
      </c>
      <c r="S3" s="1028">
        <v>2023</v>
      </c>
      <c r="U3" s="1062" t="s">
        <v>348</v>
      </c>
      <c r="V3" s="1062" t="s">
        <v>1225</v>
      </c>
      <c r="W3" s="1062">
        <v>2019</v>
      </c>
      <c r="X3" s="1062">
        <v>2020</v>
      </c>
      <c r="Y3" s="1062">
        <v>2021</v>
      </c>
      <c r="Z3" s="1062">
        <v>2022</v>
      </c>
      <c r="AA3" s="1062">
        <v>2023</v>
      </c>
    </row>
    <row r="4" spans="1:32" x14ac:dyDescent="0.25">
      <c r="B4" s="1051" t="s">
        <v>1226</v>
      </c>
      <c r="C4" s="1050" t="s">
        <v>878</v>
      </c>
      <c r="D4" s="1050">
        <f>(((((O4*$N$8)/(((Homologadores!G13/Homologadores!G10)/(Homologadores!G8/Homologadores!G5))*(Homologadores!G12/Homologadores!G7)))+((O4*(1-$N$8)*$N$9)/(Homologadores!G12/Homologadores!G7))+((O4*(1-$N$8)*$N$10)/(Homologadores!G14/Homologadores!G9))))*Homologadores!G14)*1000</f>
        <v>3050457.7473212853</v>
      </c>
      <c r="E4" s="1050">
        <f>(((((P4*$N$8)/(((Homologadores!H13/Homologadores!H10)/(Homologadores!H8/Homologadores!H5))*(Homologadores!H12/Homologadores!H7)))+((P4*(1-$N$8)*$N$9)/(Homologadores!H12/Homologadores!H7))+((P4*(1-$N$8)*$N$10)/(Homologadores!H14/Homologadores!H9))))*Homologadores!H14)*1000</f>
        <v>3255359.8874700819</v>
      </c>
      <c r="F4" s="1050">
        <f>(((((Q4*$N$8)/(((Homologadores!I13/Homologadores!I10)/(Homologadores!I8/Homologadores!I5))*(Homologadores!I12/Homologadores!I7)))+((Q4*(1-$N$8)*$N$9)/(Homologadores!I12/Homologadores!I7))+((Q4*(1-$N$8)*$N$10)/(Homologadores!I14/Homologadores!I9))))*Homologadores!I14)*1000</f>
        <v>3417288.2510832446</v>
      </c>
      <c r="G4" s="1050">
        <f>(((((R4*$N$8)/(((Homologadores!J13/Homologadores!J10)/(Homologadores!J8/Homologadores!J5))*(Homologadores!J12/Homologadores!J7)))+((R4*(1-$N$8)*$N$9)/(Homologadores!J12/Homologadores!J7))+((R4*(1-$N$8)*$N$10)/(Homologadores!J14/Homologadores!J9))))*Homologadores!J14)*1000</f>
        <v>3380479.0023213886</v>
      </c>
      <c r="H4" s="1050">
        <f>(((((S4*$N$8)/(((Homologadores!K13/Homologadores!K10)/(Homologadores!K8/Homologadores!K5))*(Homologadores!K12/Homologadores!K7)))+((S4*(1-$N$8)*$N$9)/(Homologadores!K12/Homologadores!K7))+((S4*(1-$N$8)*$N$10)/(Homologadores!K14/Homologadores!K9))))*Homologadores!K14)*1000</f>
        <v>3549243.3340759184</v>
      </c>
      <c r="I4" s="1050"/>
      <c r="L4" s="1053" t="s">
        <v>1227</v>
      </c>
      <c r="M4" s="1052">
        <v>3658</v>
      </c>
      <c r="N4" s="1052">
        <v>3981</v>
      </c>
      <c r="O4" s="1052">
        <v>3942</v>
      </c>
      <c r="P4" s="1052">
        <v>3972</v>
      </c>
      <c r="Q4" s="1052">
        <v>4170</v>
      </c>
      <c r="R4" s="1052">
        <v>4068</v>
      </c>
      <c r="S4" s="1052">
        <v>4656</v>
      </c>
      <c r="U4" s="1061" t="s">
        <v>1226</v>
      </c>
      <c r="V4" s="1060" t="s">
        <v>878</v>
      </c>
      <c r="W4" s="1060">
        <v>4337650.3991117021</v>
      </c>
      <c r="X4" s="1060">
        <v>4109445.0808122936</v>
      </c>
      <c r="Y4" s="1060">
        <v>4501965.6543183336</v>
      </c>
      <c r="Z4" s="1060">
        <v>3871419.1945547345</v>
      </c>
      <c r="AA4" s="1060">
        <v>4226325.5643350352</v>
      </c>
    </row>
    <row r="5" spans="1:32" ht="15.75" thickBot="1" x14ac:dyDescent="0.3">
      <c r="B5" s="1034" t="s">
        <v>1228</v>
      </c>
      <c r="C5" s="1033" t="s">
        <v>878</v>
      </c>
      <c r="D5" s="1033">
        <f>((((E17*$N$14)/(((Homologadores!G13/Homologadores!G10)/(Homologadores!G8/Homologadores!G5))*(Homologadores!G12/Homologadores!G7)))+((E17*(1-$N$14)*$N$15)/(Homologadores!G12/Homologadores!G7))+((E17*(1-$N$14)*$N$16)/(Homologadores!G14/Homologadores!G9))))*1000</f>
        <v>22571.058278632016</v>
      </c>
      <c r="E5" s="1033">
        <f>((((F17*$N$14)/(((Homologadores!H13/Homologadores!H10)/(Homologadores!H8/Homologadores!H5))*(Homologadores!H12/Homologadores!H7)))+((F17*(1-$N$14)*$N$15)/(Homologadores!H12/Homologadores!H7))+((F17*(1-$N$14)*$N$16)/(Homologadores!H14/Homologadores!H9))))*1000</f>
        <v>21843.571857958101</v>
      </c>
      <c r="F5" s="1033">
        <f>((((G17*$N$14)/(((Homologadores!I13/Homologadores!I10)/(Homologadores!I8/Homologadores!I5))*(Homologadores!I12/Homologadores!I7)))+((G17*(1-$N$14)*$N$15)/(Homologadores!I12/Homologadores!I7))+((G17*(1-$N$14)*$N$16)/(Homologadores!I14/Homologadores!I9))))*1000</f>
        <v>26149.04158226242</v>
      </c>
      <c r="G5" s="1033">
        <f>((((H17*$N$14)/(((Homologadores!J13/Homologadores!J10)/(Homologadores!J8/Homologadores!J5))*(Homologadores!J12/Homologadores!J7)))+((H17*(1-$N$14)*$N$15)/(Homologadores!J12/Homologadores!J7))+((H17*(1-$N$14)*$N$16)/(Homologadores!J14/Homologadores!J9))))*1000</f>
        <v>31282.039840971229</v>
      </c>
      <c r="H5" s="1033">
        <f>((((I17*$N$14)/(((Homologadores!K13/Homologadores!K10)/(Homologadores!K8/Homologadores!K5))*(Homologadores!K12/Homologadores!K7)))+((I17*(1-$N$14)*$N$15)/(Homologadores!K12/Homologadores!K7))+((I17*(1-$N$14)*$N$16)/(Homologadores!K14/Homologadores!K9))))*1000</f>
        <v>31708.864619776843</v>
      </c>
      <c r="I5" s="1033"/>
      <c r="J5" s="108"/>
      <c r="U5" s="1034" t="s">
        <v>1228</v>
      </c>
      <c r="V5" s="1033" t="s">
        <v>878</v>
      </c>
      <c r="W5" s="1033">
        <v>32095.301118874962</v>
      </c>
      <c r="X5" s="1033">
        <v>27574.51158151888</v>
      </c>
      <c r="Y5" s="1033">
        <v>34448.977799683911</v>
      </c>
      <c r="Z5" s="1033">
        <v>35825.067809028857</v>
      </c>
      <c r="AA5" s="1033">
        <v>37757.902894954081</v>
      </c>
      <c r="AF5" s="1059"/>
    </row>
    <row r="6" spans="1:32" ht="16.5" thickBot="1" x14ac:dyDescent="0.3">
      <c r="B6" s="1056" t="s">
        <v>1229</v>
      </c>
      <c r="C6" s="1055" t="s">
        <v>878</v>
      </c>
      <c r="D6" s="1055">
        <f>((((E18*$N$20)/(((Homologadores!G13/Homologadores!G10)/(Homologadores!G8/Homologadores!G5))*(Homologadores!G12/Homologadores!G7)))+((E18*(1-$N$20)*$N$21)/(Homologadores!G12/Homologadores!G7))+((E18*(1-$N$20)*$N$22)/(Homologadores!G14/Homologadores!G9))))*1000</f>
        <v>39244.31941179197</v>
      </c>
      <c r="E6" s="1055">
        <f>((((F18*$N$20)/(((Homologadores!H13/Homologadores!H10)/(Homologadores!H8/Homologadores!H5))*(Homologadores!H12/Homologadores!H7)))+((F18*(1-$N$20)*$N$21)/(Homologadores!H12/Homologadores!H7))+((F18*(1-$N$20)*$N$22)/(Homologadores!H14/Homologadores!H9))))*1000</f>
        <v>42877.072092091541</v>
      </c>
      <c r="F6" s="1055">
        <f>((((G18*$N$20)/(((Homologadores!I13/Homologadores!I10)/(Homologadores!I8/Homologadores!I5))*(Homologadores!I12/Homologadores!I7)))+((G18*(1-$N$20)*$N$21)/(Homologadores!I12/Homologadores!I7))+((G18*(1-$N$20)*$N$22)/(Homologadores!I14/Homologadores!I9))))*1000</f>
        <v>40906.995475158656</v>
      </c>
      <c r="G6" s="1055">
        <f>((((H18*$N$20)/(((Homologadores!J13/Homologadores!J10)/(Homologadores!J8/Homologadores!J5))*(Homologadores!J12/Homologadores!J7)))+((H18*(1-$N$20)*$N$21)/(Homologadores!J12/Homologadores!J7))+((H18*(1-$N$20)*$N$22)/(Homologadores!J14/Homologadores!J9))))*1000</f>
        <v>41114.187139158894</v>
      </c>
      <c r="H6" s="1055">
        <f>((((I18*$N$20)/(((Homologadores!K13/Homologadores!K10)/(Homologadores!K8/Homologadores!K5))*(Homologadores!K12/Homologadores!K7)))+((I18*(1-$N$20)*$N$21)/(Homologadores!K12/Homologadores!K7))+((I18*(1-$N$20)*$N$22)/(Homologadores!K14/Homologadores!K9))))*1000</f>
        <v>39223.070500999333</v>
      </c>
      <c r="I6" s="1055"/>
      <c r="L6" s="1653" t="s">
        <v>1230</v>
      </c>
      <c r="M6" s="1654"/>
      <c r="N6" s="1655"/>
      <c r="U6" s="1056" t="s">
        <v>1229</v>
      </c>
      <c r="V6" s="1055" t="s">
        <v>878</v>
      </c>
      <c r="W6" s="1055">
        <v>55804.129038964697</v>
      </c>
      <c r="X6" s="1055">
        <v>54126.418915057366</v>
      </c>
      <c r="Y6" s="1055">
        <v>53891.236301808123</v>
      </c>
      <c r="Z6" s="1055">
        <v>47085.118159217171</v>
      </c>
      <c r="AA6" s="1055">
        <v>46705.579180371584</v>
      </c>
    </row>
    <row r="7" spans="1:32" x14ac:dyDescent="0.25">
      <c r="B7" s="1051" t="s">
        <v>1231</v>
      </c>
      <c r="C7" s="1050" t="s">
        <v>5</v>
      </c>
      <c r="D7" s="1058">
        <f>(D5/D4)*100</f>
        <v>0.73992364911307029</v>
      </c>
      <c r="E7" s="1058">
        <f>(E5/E4)*100</f>
        <v>0.67100328728735226</v>
      </c>
      <c r="F7" s="1058">
        <f>(F5/F4)*100</f>
        <v>0.76519859201147122</v>
      </c>
      <c r="G7" s="1058">
        <f>(G5/G4)*100</f>
        <v>0.92537299653361915</v>
      </c>
      <c r="H7" s="1058">
        <f>(H5/H4)*100</f>
        <v>0.89339787766432677</v>
      </c>
      <c r="I7" s="1058">
        <f>AVERAGE(F7:H7)</f>
        <v>0.86132315540313897</v>
      </c>
      <c r="L7" s="1651" t="s">
        <v>348</v>
      </c>
      <c r="M7" s="1651"/>
      <c r="N7" s="962" t="s">
        <v>1232</v>
      </c>
      <c r="U7" s="1051" t="s">
        <v>1231</v>
      </c>
      <c r="V7" s="1050" t="s">
        <v>5</v>
      </c>
      <c r="W7" s="1058">
        <v>0.73992364911307029</v>
      </c>
      <c r="X7" s="1058">
        <v>0.67100328728735226</v>
      </c>
      <c r="Y7" s="1058">
        <v>0.76519859201147133</v>
      </c>
      <c r="Z7" s="1058">
        <v>0.92537299653361937</v>
      </c>
      <c r="AA7" s="1058">
        <v>0.89339787766432655</v>
      </c>
    </row>
    <row r="8" spans="1:32" x14ac:dyDescent="0.25">
      <c r="B8" s="1034" t="s">
        <v>1233</v>
      </c>
      <c r="C8" s="1033" t="s">
        <v>5</v>
      </c>
      <c r="D8" s="1057">
        <f>(D6/D4)*100</f>
        <v>1.2865059168989899</v>
      </c>
      <c r="E8" s="1057">
        <f>(E6/E4)*100</f>
        <v>1.3171223328371739</v>
      </c>
      <c r="F8" s="1057">
        <f>(F6/F4)*100</f>
        <v>1.1970601386111215</v>
      </c>
      <c r="G8" s="1057">
        <f>(G6/G4)*100</f>
        <v>1.2162237100400746</v>
      </c>
      <c r="H8" s="1057">
        <f>(H6/H4)*100</f>
        <v>1.1051107745818012</v>
      </c>
      <c r="I8" s="1057">
        <f>AVERAGE(F8:H8)</f>
        <v>1.1727982077443324</v>
      </c>
      <c r="J8" s="645"/>
      <c r="L8" s="1652" t="s">
        <v>1234</v>
      </c>
      <c r="M8" s="1652"/>
      <c r="N8" s="1046">
        <v>0.54090000000000005</v>
      </c>
      <c r="U8" s="1034" t="s">
        <v>1233</v>
      </c>
      <c r="V8" s="1033" t="s">
        <v>5</v>
      </c>
      <c r="W8" s="1057">
        <v>1.2865059168989899</v>
      </c>
      <c r="X8" s="1057">
        <v>1.3171223328371739</v>
      </c>
      <c r="Y8" s="1057">
        <v>1.1970601386111213</v>
      </c>
      <c r="Z8" s="1057">
        <v>1.2162237100400748</v>
      </c>
      <c r="AA8" s="1057">
        <v>1.1051107745818012</v>
      </c>
    </row>
    <row r="9" spans="1:32" x14ac:dyDescent="0.25">
      <c r="B9" s="1056" t="s">
        <v>353</v>
      </c>
      <c r="C9" s="1055" t="s">
        <v>5</v>
      </c>
      <c r="D9" s="1054">
        <f>+D8+D7</f>
        <v>2.0264295660120601</v>
      </c>
      <c r="E9" s="1054">
        <f>+E8+E7</f>
        <v>1.9881256201245261</v>
      </c>
      <c r="F9" s="1054">
        <f>+F8+F7</f>
        <v>1.9622587306225927</v>
      </c>
      <c r="G9" s="1054">
        <f>+G8+G7</f>
        <v>2.1415967065736936</v>
      </c>
      <c r="H9" s="1054">
        <f>+H8+H7</f>
        <v>1.9985086522461279</v>
      </c>
      <c r="I9" s="1054">
        <f>AVERAGE(F9:H9)</f>
        <v>2.0341213631474715</v>
      </c>
      <c r="J9" s="645"/>
      <c r="L9" s="1652" t="s">
        <v>1235</v>
      </c>
      <c r="M9" s="634" t="s">
        <v>1236</v>
      </c>
      <c r="N9" s="828">
        <v>0.6</v>
      </c>
      <c r="U9" s="1056" t="s">
        <v>353</v>
      </c>
      <c r="V9" s="1055" t="s">
        <v>5</v>
      </c>
      <c r="W9" s="1054">
        <v>2.0264295660120601</v>
      </c>
      <c r="X9" s="1054">
        <v>1.9881256201245261</v>
      </c>
      <c r="Y9" s="1054">
        <v>1.9622587306225925</v>
      </c>
      <c r="Z9" s="1054">
        <v>2.1415967065736941</v>
      </c>
      <c r="AA9" s="1054">
        <v>1.9985086522461277</v>
      </c>
    </row>
    <row r="10" spans="1:32" x14ac:dyDescent="0.25">
      <c r="L10" s="1652"/>
      <c r="M10" s="634" t="s">
        <v>1237</v>
      </c>
      <c r="N10" s="828">
        <v>0.4</v>
      </c>
    </row>
    <row r="11" spans="1:32" ht="24" customHeight="1" thickBot="1" x14ac:dyDescent="0.3"/>
    <row r="12" spans="1:32" ht="16.5" thickBot="1" x14ac:dyDescent="0.3">
      <c r="B12" s="1028" t="s">
        <v>348</v>
      </c>
      <c r="C12" s="1028">
        <v>2017</v>
      </c>
      <c r="D12" s="1028">
        <v>2018</v>
      </c>
      <c r="E12" s="1028">
        <v>2019</v>
      </c>
      <c r="F12" s="1028">
        <v>2020</v>
      </c>
      <c r="G12" s="1028">
        <v>2021</v>
      </c>
      <c r="H12" s="1028">
        <v>2022</v>
      </c>
      <c r="I12" s="1028">
        <v>2023</v>
      </c>
      <c r="J12" s="1038"/>
      <c r="L12" s="1653" t="s">
        <v>1238</v>
      </c>
      <c r="M12" s="1654"/>
      <c r="N12" s="1655"/>
    </row>
    <row r="13" spans="1:32" x14ac:dyDescent="0.25">
      <c r="B13" s="1053" t="s">
        <v>1239</v>
      </c>
      <c r="C13" s="1052">
        <v>106272</v>
      </c>
      <c r="D13" s="1052">
        <v>108668</v>
      </c>
      <c r="E13" s="1052">
        <v>111269</v>
      </c>
      <c r="F13" s="1052">
        <v>117616</v>
      </c>
      <c r="G13" s="1052">
        <v>114690</v>
      </c>
      <c r="H13" s="1052">
        <v>128275</v>
      </c>
      <c r="I13" s="1052">
        <v>131097</v>
      </c>
      <c r="J13" s="1038"/>
      <c r="L13" s="1651" t="s">
        <v>348</v>
      </c>
      <c r="M13" s="1651"/>
      <c r="N13" s="962" t="s">
        <v>1232</v>
      </c>
    </row>
    <row r="14" spans="1:32" x14ac:dyDescent="0.25">
      <c r="B14" s="1051" t="s">
        <v>1240</v>
      </c>
      <c r="C14" s="1050">
        <v>31513</v>
      </c>
      <c r="D14" s="1050">
        <v>31783</v>
      </c>
      <c r="E14" s="1050">
        <v>33927</v>
      </c>
      <c r="F14" s="1050">
        <v>39546</v>
      </c>
      <c r="G14" s="1050">
        <v>36495</v>
      </c>
      <c r="H14" s="1050">
        <v>41150</v>
      </c>
      <c r="I14" s="1050">
        <v>40618</v>
      </c>
      <c r="J14" s="1030"/>
      <c r="L14" s="1652" t="s">
        <v>1234</v>
      </c>
      <c r="M14" s="1652"/>
      <c r="N14" s="1046">
        <v>0.4</v>
      </c>
    </row>
    <row r="15" spans="1:32" x14ac:dyDescent="0.25">
      <c r="B15" s="1034" t="s">
        <v>1241</v>
      </c>
      <c r="C15" s="1033">
        <v>19380</v>
      </c>
      <c r="D15" s="1033">
        <v>23293</v>
      </c>
      <c r="E15" s="1033">
        <v>19692</v>
      </c>
      <c r="F15" s="1033">
        <v>20216</v>
      </c>
      <c r="G15" s="1033">
        <v>23495</v>
      </c>
      <c r="H15" s="1033">
        <v>31345</v>
      </c>
      <c r="I15" s="1033">
        <v>33044</v>
      </c>
      <c r="J15" s="1030"/>
      <c r="L15" s="1652" t="s">
        <v>1235</v>
      </c>
      <c r="M15" s="634" t="s">
        <v>1236</v>
      </c>
      <c r="N15" s="828">
        <v>0.7</v>
      </c>
    </row>
    <row r="16" spans="1:32" x14ac:dyDescent="0.25">
      <c r="B16" s="1049" t="s">
        <v>1242</v>
      </c>
      <c r="C16" s="1048">
        <v>55379</v>
      </c>
      <c r="D16" s="1048">
        <v>53592</v>
      </c>
      <c r="E16" s="1048">
        <v>57650</v>
      </c>
      <c r="F16" s="1048">
        <v>57854</v>
      </c>
      <c r="G16" s="1048">
        <v>54701</v>
      </c>
      <c r="H16" s="1048">
        <v>55780</v>
      </c>
      <c r="I16" s="1048">
        <v>57435</v>
      </c>
      <c r="J16" s="1030"/>
      <c r="L16" s="1652"/>
      <c r="M16" s="634" t="s">
        <v>1237</v>
      </c>
      <c r="N16" s="828">
        <v>0.3</v>
      </c>
    </row>
    <row r="17" spans="1:14" ht="15.75" thickBot="1" x14ac:dyDescent="0.3">
      <c r="B17" s="964" t="s">
        <v>1243</v>
      </c>
      <c r="C17" s="1032">
        <v>19380</v>
      </c>
      <c r="D17" s="1032">
        <v>23293</v>
      </c>
      <c r="E17" s="1032">
        <v>19692</v>
      </c>
      <c r="F17" s="1032">
        <v>20216</v>
      </c>
      <c r="G17" s="1032">
        <v>23495</v>
      </c>
      <c r="H17" s="1032">
        <f>H15</f>
        <v>31345</v>
      </c>
      <c r="I17" s="1032">
        <f>I15</f>
        <v>33044</v>
      </c>
      <c r="J17" s="1038"/>
    </row>
    <row r="18" spans="1:14" ht="16.5" thickBot="1" x14ac:dyDescent="0.3">
      <c r="A18" t="s">
        <v>1515</v>
      </c>
      <c r="B18" s="964" t="s">
        <v>1244</v>
      </c>
      <c r="C18" s="1032">
        <v>31513</v>
      </c>
      <c r="D18" s="1032">
        <v>31783</v>
      </c>
      <c r="E18" s="1032">
        <v>33927</v>
      </c>
      <c r="F18" s="1032">
        <v>39546</v>
      </c>
      <c r="G18" s="1032">
        <v>36495</v>
      </c>
      <c r="H18" s="1032">
        <f>H14</f>
        <v>41150</v>
      </c>
      <c r="I18" s="1032">
        <f>I14</f>
        <v>40618</v>
      </c>
      <c r="J18" s="1047"/>
      <c r="L18" s="1653" t="s">
        <v>1245</v>
      </c>
      <c r="M18" s="1654"/>
      <c r="N18" s="1655"/>
    </row>
    <row r="19" spans="1:14" x14ac:dyDescent="0.25">
      <c r="A19" t="s">
        <v>1514</v>
      </c>
      <c r="B19" s="964" t="s">
        <v>1246</v>
      </c>
      <c r="C19" s="1032">
        <v>47434</v>
      </c>
      <c r="D19" s="1032">
        <v>48699</v>
      </c>
      <c r="E19" s="1032">
        <v>50389</v>
      </c>
      <c r="F19" s="1032">
        <v>49355</v>
      </c>
      <c r="G19" s="1032">
        <v>49191</v>
      </c>
      <c r="H19" s="1032">
        <f>50101140/1000</f>
        <v>50101.14</v>
      </c>
      <c r="I19" s="1032">
        <f>51613423/1000</f>
        <v>51613.423000000003</v>
      </c>
      <c r="J19" s="1038"/>
      <c r="L19" s="1651" t="s">
        <v>348</v>
      </c>
      <c r="M19" s="1651"/>
      <c r="N19" s="962" t="s">
        <v>1232</v>
      </c>
    </row>
    <row r="20" spans="1:14" x14ac:dyDescent="0.25">
      <c r="C20" s="287"/>
      <c r="D20" s="287"/>
      <c r="F20" s="287"/>
      <c r="G20" s="287"/>
      <c r="H20" s="287"/>
      <c r="I20" s="287"/>
      <c r="L20" s="1652" t="s">
        <v>1234</v>
      </c>
      <c r="M20" s="1652"/>
      <c r="N20" s="1046">
        <v>0.4</v>
      </c>
    </row>
    <row r="21" spans="1:14" x14ac:dyDescent="0.25">
      <c r="B21" t="s">
        <v>1513</v>
      </c>
      <c r="F21">
        <f>F5/G17</f>
        <v>1.1129619741333228</v>
      </c>
      <c r="G21">
        <f>F6/G18</f>
        <v>1.1208931490658627</v>
      </c>
      <c r="L21" s="1652" t="s">
        <v>1235</v>
      </c>
      <c r="M21" s="634" t="s">
        <v>1236</v>
      </c>
      <c r="N21" s="828">
        <v>0.6</v>
      </c>
    </row>
    <row r="22" spans="1:14" x14ac:dyDescent="0.25">
      <c r="B22" t="s">
        <v>1512</v>
      </c>
      <c r="L22" s="1652"/>
      <c r="M22" s="634" t="s">
        <v>1237</v>
      </c>
      <c r="N22" s="828">
        <v>0.4</v>
      </c>
    </row>
    <row r="24" spans="1:14" x14ac:dyDescent="0.25">
      <c r="B24" t="s">
        <v>1511</v>
      </c>
    </row>
  </sheetData>
  <mergeCells count="12">
    <mergeCell ref="L15:L16"/>
    <mergeCell ref="L18:N18"/>
    <mergeCell ref="L19:M19"/>
    <mergeCell ref="L20:M20"/>
    <mergeCell ref="L21:L22"/>
    <mergeCell ref="L13:M13"/>
    <mergeCell ref="L14:M14"/>
    <mergeCell ref="L6:N6"/>
    <mergeCell ref="L7:M7"/>
    <mergeCell ref="L8:M8"/>
    <mergeCell ref="L9:L10"/>
    <mergeCell ref="L12:N12"/>
  </mergeCells>
  <pageMargins left="0.7" right="0.7" top="0.75" bottom="0.75" header="0.3" footer="0.3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145"/>
  <sheetViews>
    <sheetView workbookViewId="0">
      <selection activeCell="K1" sqref="K1:K1048576"/>
    </sheetView>
  </sheetViews>
  <sheetFormatPr baseColWidth="10" defaultColWidth="11.42578125" defaultRowHeight="15" x14ac:dyDescent="0.25"/>
  <cols>
    <col min="1" max="1" width="7.85546875" bestFit="1" customWidth="1"/>
    <col min="2" max="2" width="14.5703125" bestFit="1" customWidth="1"/>
    <col min="3" max="3" width="47.85546875" customWidth="1"/>
    <col min="4" max="4" width="15.85546875" bestFit="1" customWidth="1"/>
    <col min="5" max="5" width="12.42578125" bestFit="1" customWidth="1"/>
    <col min="6" max="7" width="12.7109375" bestFit="1" customWidth="1"/>
    <col min="8" max="8" width="15.5703125" customWidth="1"/>
    <col min="9" max="9" width="16.28515625" customWidth="1"/>
    <col min="10" max="10" width="16.5703125" customWidth="1"/>
    <col min="12" max="12" width="33.5703125" bestFit="1" customWidth="1"/>
    <col min="15" max="15" width="87.85546875" bestFit="1" customWidth="1"/>
    <col min="18" max="18" width="37.28515625" bestFit="1" customWidth="1"/>
    <col min="21" max="21" width="13.42578125" bestFit="1" customWidth="1"/>
  </cols>
  <sheetData>
    <row r="1" spans="1:21" x14ac:dyDescent="0.25">
      <c r="A1" t="s">
        <v>1820</v>
      </c>
    </row>
    <row r="2" spans="1:21" x14ac:dyDescent="0.25">
      <c r="L2" s="1644">
        <v>2019</v>
      </c>
      <c r="M2" s="1644"/>
      <c r="N2" s="1644"/>
      <c r="O2" s="1644"/>
      <c r="P2" s="1644"/>
      <c r="Q2" s="1644"/>
      <c r="R2" s="1644"/>
      <c r="S2" s="1644"/>
      <c r="T2" s="1644"/>
      <c r="U2" s="1644"/>
    </row>
    <row r="3" spans="1:21" ht="15.75" thickBot="1" x14ac:dyDescent="0.3">
      <c r="L3" s="1656"/>
      <c r="M3" s="1656"/>
      <c r="N3" s="1656"/>
      <c r="O3" s="1656"/>
      <c r="P3" s="1656"/>
      <c r="Q3" s="1656"/>
      <c r="R3" s="1656"/>
      <c r="S3" s="1656"/>
      <c r="T3" s="1656"/>
      <c r="U3" s="1656"/>
    </row>
    <row r="4" spans="1:21" ht="15.75" x14ac:dyDescent="0.25">
      <c r="C4" s="1028" t="s">
        <v>348</v>
      </c>
      <c r="D4" s="1028" t="s">
        <v>1225</v>
      </c>
      <c r="E4" s="1028">
        <v>2019</v>
      </c>
      <c r="F4" s="1028">
        <v>2020</v>
      </c>
      <c r="G4" s="1028">
        <v>2021</v>
      </c>
      <c r="H4" s="1028">
        <v>2022</v>
      </c>
      <c r="I4" s="1028">
        <v>2023</v>
      </c>
      <c r="J4" s="1028" t="s">
        <v>1259</v>
      </c>
      <c r="L4" s="1070" t="s">
        <v>348</v>
      </c>
      <c r="M4" s="1070" t="s">
        <v>351</v>
      </c>
      <c r="N4" s="1070"/>
      <c r="O4" s="1070" t="s">
        <v>348</v>
      </c>
      <c r="P4" s="1070" t="s">
        <v>1247</v>
      </c>
      <c r="Q4" s="1070"/>
      <c r="R4" s="1070" t="s">
        <v>348</v>
      </c>
      <c r="S4" s="1070" t="s">
        <v>350</v>
      </c>
      <c r="T4" s="1070"/>
      <c r="U4" s="1070" t="s">
        <v>1248</v>
      </c>
    </row>
    <row r="5" spans="1:21" x14ac:dyDescent="0.25">
      <c r="C5" s="1051" t="s">
        <v>1226</v>
      </c>
      <c r="D5" s="1050" t="s">
        <v>878</v>
      </c>
      <c r="E5" s="1050">
        <f>((((D24*Homologadores!G19)*$E$36)/(((Homologadores!G18/Homologadores!G15)/(Homologadores!G8/Homologadores!G5))*(Homologadores!G17/Homologadores!G7)))+(((D24*Homologadores!G19)*(1-$E$36)*$E$37)/(Homologadores!G17/Homologadores!G7))+(((D24*Homologadores!G19)*(1-$E$36)*$E$38)/(Homologadores!G19/Homologadores!G9)))/100</f>
        <v>17905678.358521193</v>
      </c>
      <c r="F5" s="1050">
        <f>((((E24*Homologadores!H19)*$E$36)/(((Homologadores!H18/Homologadores!H15)/(Homologadores!H8/Homologadores!H5))*(Homologadores!H17/Homologadores!H7)))+(((E24*Homologadores!H19)*(1-$E$36)*$E$37)/(Homologadores!H17/Homologadores!H7))+(((E24*Homologadores!H19)*(1-$E$36)*$E$38)/(Homologadores!H19/Homologadores!H9)))/100</f>
        <v>18618314.995144296</v>
      </c>
      <c r="G5" s="1050">
        <f>((((F24*Homologadores!I19)*$E$36)/(((Homologadores!I18/Homologadores!I15)/(Homologadores!I8/Homologadores!I5))*(Homologadores!I17/Homologadores!I7)))+(((F24*Homologadores!I19)*(1-$E$36)*$E$37)/(Homologadores!I17/Homologadores!I7))+(((F24*Homologadores!I19)*(1-$E$36)*$E$38)/(Homologadores!I19/Homologadores!I9)))/100</f>
        <v>25265081.708137941</v>
      </c>
      <c r="H5" s="1050">
        <f>((((G24*Homologadores!J19)*$E$36)/(((Homologadores!J18/Homologadores!J15)/(Homologadores!J8/Homologadores!J5))*(Homologadores!J17/Homologadores!J7)))+(((G24*Homologadores!J19)*(1-$E$36)*$E$37)/(Homologadores!J17/Homologadores!J7))+(((G24*Homologadores!J19)*(1-$E$36)*$E$38)/(Homologadores!J19/Homologadores!J9)))/100</f>
        <v>24504956.211783919</v>
      </c>
      <c r="I5" s="1050">
        <f>((((H24*Homologadores!K19)*$E$36)/(((Homologadores!K18/Homologadores!K15)/(Homologadores!K8/Homologadores!K5))*(Homologadores!K17/Homologadores!K7)))+(((H24*Homologadores!K19)*(1-$E$36)*$E$37)/(Homologadores!K17/Homologadores!K7))+(((H24*Homologadores!K19)*(1-$E$36)*$E$38)/(Homologadores!K19/Homologadores!K9)))/100</f>
        <v>23965589.93008808</v>
      </c>
      <c r="J5" s="1050"/>
      <c r="L5" s="1069" t="s">
        <v>1249</v>
      </c>
      <c r="M5" s="1068"/>
      <c r="N5" s="1068"/>
      <c r="O5" s="1068"/>
      <c r="P5" s="1068"/>
      <c r="Q5" s="1068"/>
      <c r="R5" s="1068"/>
      <c r="S5" s="1068"/>
      <c r="T5" s="1068"/>
      <c r="U5" s="1068"/>
    </row>
    <row r="6" spans="1:21" x14ac:dyDescent="0.25">
      <c r="C6" s="1034" t="s">
        <v>1228</v>
      </c>
      <c r="D6" s="1033" t="s">
        <v>878</v>
      </c>
      <c r="E6" s="1033">
        <f>((((D28*Homologadores!G19)*$E$42)/(((Homologadores!G18/Homologadores!G15)/(Homologadores!G8/Homologadores!G5))*(Homologadores!G17/Homologadores!G7)))+((D28*Homologadores!G19*(1-$E$42)*$E$43)/(Homologadores!G17/Homologadores!G7))+((D28*Homologadores!G19*(1-$E$42)*$E$44)/(Homologadores!G19/Homologadores!G9)))/100</f>
        <v>123737.8021727</v>
      </c>
      <c r="F6" s="1033">
        <f>((((E28*Homologadores!H19)*$E$42)/(((Homologadores!H18/Homologadores!H15)/(Homologadores!H8/Homologadores!H5))*(Homologadores!H17/Homologadores!H7)))+((E28*Homologadores!H19*(1-$E$42)*$E$43)/(Homologadores!H17/Homologadores!H7))+((E28*Homologadores!H19*(1-$E$42)*$E$44)/(Homologadores!H19/Homologadores!H9)))/100</f>
        <v>126254.17212579522</v>
      </c>
      <c r="G6" s="1033">
        <f>((((F28*Homologadores!I19)*$E$42)/(((Homologadores!I18/Homologadores!I15)/(Homologadores!I8/Homologadores!I5))*(Homologadores!I17/Homologadores!I7)))+((F28*Homologadores!I19*(1-$E$42)*$E$43)/(Homologadores!I17/Homologadores!I7))+((F28*Homologadores!I19*(1-$E$42)*$E$44)/(Homologadores!I19/Homologadores!I9)))/100</f>
        <v>117847.08524530682</v>
      </c>
      <c r="H6" s="1033">
        <f>((((G28*Homologadores!J19)*$E$42)/(((Homologadores!J18/Homologadores!J15)/(Homologadores!J8/Homologadores!J5))*(Homologadores!J17/Homologadores!J7)))+((G28*Homologadores!J19*(1-$E$42)*$E$43)/(Homologadores!J17/Homologadores!J7))+((G28*Homologadores!J19*(1-$E$42)*$E$44)/(Homologadores!J19/Homologadores!J9)))/100</f>
        <v>128793.37150401654</v>
      </c>
      <c r="I6" s="1033">
        <f>((((H28*Homologadores!K19)*$E$42)/(((Homologadores!K18/Homologadores!K15)/(Homologadores!K8/Homologadores!K5))*(Homologadores!K17/Homologadores!K7)))+((H28*Homologadores!K19*(1-$E$42)*$E$43)/(Homologadores!K17/Homologadores!K7))+((H28*Homologadores!K19*(1-$E$42)*$E$44)/(Homologadores!K19/Homologadores!K9)))/100</f>
        <v>169922.3418638708</v>
      </c>
      <c r="J6" s="1033"/>
      <c r="L6" s="1067" t="s">
        <v>1521</v>
      </c>
      <c r="M6" s="1050">
        <v>11592083</v>
      </c>
      <c r="N6" s="1050">
        <v>0</v>
      </c>
      <c r="O6" s="1067" t="s">
        <v>1521</v>
      </c>
      <c r="P6" s="1050">
        <v>50192620</v>
      </c>
      <c r="Q6" s="1050">
        <v>0</v>
      </c>
      <c r="R6" s="1067" t="s">
        <v>1539</v>
      </c>
      <c r="S6" s="1050">
        <v>1064340</v>
      </c>
      <c r="T6" s="1050">
        <v>0</v>
      </c>
      <c r="U6" s="1050"/>
    </row>
    <row r="7" spans="1:21" x14ac:dyDescent="0.25">
      <c r="C7" s="1056" t="s">
        <v>1229</v>
      </c>
      <c r="D7" s="1055" t="s">
        <v>878</v>
      </c>
      <c r="E7" s="1055">
        <f>((((D27*Homologadores!G19)*$E$48)/(((Homologadores!G18/Homologadores!G15)/(Homologadores!G8/Homologadores!G5))*(Homologadores!G17/Homologadores!G7)))+(((D27*Homologadores!G19)*(1-$E$48)*$E$49)/(Homologadores!G17/Homologadores!G7))+(((D27*Homologadores!G19)*(1-$E$48)*$E$50)/(Homologadores!G19/Homologadores!G9)))/100</f>
        <v>439636.83661167679</v>
      </c>
      <c r="F7" s="1055">
        <f>((((E27*Homologadores!H19)*$E$48)/(((Homologadores!H18/Homologadores!H15)/(Homologadores!H8/Homologadores!H5))*(Homologadores!H17/Homologadores!H7)))+(((E27*Homologadores!H19)*(1-$E$48)*$E$49)/(Homologadores!H17/Homologadores!H7))+(((E27*Homologadores!H19)*(1-$E$48)*$E$50)/(Homologadores!H19/Homologadores!H9)))/100</f>
        <v>443158.75350972539</v>
      </c>
      <c r="G7" s="1055">
        <f>((((F27*Homologadores!I19)*$E$48)/(((Homologadores!I18/Homologadores!I15)/(Homologadores!I8/Homologadores!I5))*(Homologadores!I17/Homologadores!I7)))+(((F27*Homologadores!I19)*(1-$E$48)*$E$49)/(Homologadores!I17/Homologadores!I7))+(((F27*Homologadores!I19)*(1-$E$48)*$E$50)/(Homologadores!I19/Homologadores!I9)))/100</f>
        <v>545677.88624646259</v>
      </c>
      <c r="H7" s="1055">
        <f>((((G27*Homologadores!J19)*$E$48)/(((Homologadores!J18/Homologadores!J15)/(Homologadores!J8/Homologadores!J5))*(Homologadores!J17/Homologadores!J7)))+(((G27*Homologadores!J19)*(1-$E$48)*$E$49)/(Homologadores!J17/Homologadores!J7))+(((G27*Homologadores!J19)*(1-$E$48)*$E$50)/(Homologadores!J19/Homologadores!J9)))/100</f>
        <v>520278.05688870174</v>
      </c>
      <c r="I7" s="1055">
        <f>((((H27*Homologadores!K19)*$E$48)/(((Homologadores!K18/Homologadores!K15)/(Homologadores!K8/Homologadores!K5))*(Homologadores!K17/Homologadores!K7)))+(((H27*Homologadores!K19)*(1-$E$48)*$E$49)/(Homologadores!K17/Homologadores!K7))+(((H27*Homologadores!K19)*(1-$E$48)*$E$50)/(Homologadores!K19/Homologadores!K9)))/100</f>
        <v>517442.57330807409</v>
      </c>
      <c r="J7" s="1055"/>
      <c r="L7" s="1066" t="s">
        <v>1250</v>
      </c>
      <c r="M7" s="1033">
        <v>17020577</v>
      </c>
      <c r="N7" s="1033">
        <v>1</v>
      </c>
      <c r="O7" s="1066" t="s">
        <v>1538</v>
      </c>
      <c r="P7" s="1033">
        <v>0</v>
      </c>
      <c r="Q7" s="1033">
        <v>1</v>
      </c>
      <c r="R7" s="1066" t="s">
        <v>1521</v>
      </c>
      <c r="S7" s="1033">
        <v>1606643</v>
      </c>
      <c r="T7" s="1033">
        <v>0</v>
      </c>
      <c r="U7" s="1033"/>
    </row>
    <row r="8" spans="1:21" x14ac:dyDescent="0.25">
      <c r="C8" s="1051" t="s">
        <v>1231</v>
      </c>
      <c r="D8" s="1050" t="s">
        <v>5</v>
      </c>
      <c r="E8" s="1058">
        <f>(E6/E5)*100</f>
        <v>0.69105341721842117</v>
      </c>
      <c r="F8" s="1058">
        <f>(F6/F5)*100</f>
        <v>0.67811814419684391</v>
      </c>
      <c r="G8" s="1058">
        <f>(G6/G5)*100</f>
        <v>0.4664425257225589</v>
      </c>
      <c r="H8" s="1058">
        <f>(H6/H5)*100</f>
        <v>0.52558090857588435</v>
      </c>
      <c r="I8" s="1058">
        <f>(I6/I5)*100</f>
        <v>0.70902632632689078</v>
      </c>
      <c r="J8" s="1058">
        <f>AVERAGE(G8:I8)</f>
        <v>0.56701658687511136</v>
      </c>
      <c r="L8" s="1066" t="s">
        <v>1251</v>
      </c>
      <c r="M8" s="1033">
        <v>8068395</v>
      </c>
      <c r="N8" s="1033">
        <v>1</v>
      </c>
      <c r="O8" s="1066" t="s">
        <v>1504</v>
      </c>
      <c r="P8" s="1033">
        <v>0</v>
      </c>
      <c r="Q8" s="1033">
        <v>1</v>
      </c>
      <c r="R8" s="1066" t="s">
        <v>1524</v>
      </c>
      <c r="S8" s="1033">
        <v>2652</v>
      </c>
      <c r="T8" s="1033">
        <v>0</v>
      </c>
      <c r="U8" s="1033"/>
    </row>
    <row r="9" spans="1:21" x14ac:dyDescent="0.25">
      <c r="C9" s="1034" t="s">
        <v>1233</v>
      </c>
      <c r="D9" s="1033" t="s">
        <v>5</v>
      </c>
      <c r="E9" s="1057">
        <f>(E7/E5)*100</f>
        <v>2.4552928283918187</v>
      </c>
      <c r="F9" s="1057">
        <f>(F7/F5)*100</f>
        <v>2.3802301853057184</v>
      </c>
      <c r="G9" s="1057">
        <f>(G7/G5)*100</f>
        <v>2.1598104947774561</v>
      </c>
      <c r="H9" s="1057">
        <f>(H7/H5)*100</f>
        <v>2.1231544035100578</v>
      </c>
      <c r="I9" s="1057">
        <f>(I7/I5)*100</f>
        <v>2.1591063471316447</v>
      </c>
      <c r="J9" s="1057">
        <f>AVERAGE(G9:I9)</f>
        <v>2.1473570818063861</v>
      </c>
      <c r="L9" s="1066" t="s">
        <v>1252</v>
      </c>
      <c r="M9" s="1033">
        <v>2098401</v>
      </c>
      <c r="N9" s="1033">
        <v>1</v>
      </c>
      <c r="O9" s="1066" t="s">
        <v>1537</v>
      </c>
      <c r="P9" s="1033">
        <v>7345098</v>
      </c>
      <c r="Q9" s="1033">
        <v>0</v>
      </c>
      <c r="R9" s="1066" t="s">
        <v>1536</v>
      </c>
      <c r="S9" s="1033">
        <v>277588</v>
      </c>
      <c r="T9" s="1033">
        <v>0</v>
      </c>
      <c r="U9" s="1033"/>
    </row>
    <row r="10" spans="1:21" x14ac:dyDescent="0.25">
      <c r="C10" s="1056" t="s">
        <v>353</v>
      </c>
      <c r="D10" s="1055" t="s">
        <v>5</v>
      </c>
      <c r="E10" s="1054">
        <f>+E9+E8</f>
        <v>3.14634624561024</v>
      </c>
      <c r="F10" s="1054">
        <f>+F9+F8</f>
        <v>3.0583483295025622</v>
      </c>
      <c r="G10" s="1054">
        <f>+G9+G8</f>
        <v>2.6262530205000152</v>
      </c>
      <c r="H10" s="1054">
        <f>+H9+H8</f>
        <v>2.6487353120859423</v>
      </c>
      <c r="I10" s="1054">
        <f>+I9+I8</f>
        <v>2.8681326734585353</v>
      </c>
      <c r="J10" s="1054">
        <f>AVERAGE(G10:I10)</f>
        <v>2.7143736686814974</v>
      </c>
      <c r="L10" s="1066" t="s">
        <v>1518</v>
      </c>
      <c r="M10" s="1033">
        <v>1980069</v>
      </c>
      <c r="N10" s="1033">
        <v>1</v>
      </c>
      <c r="O10" s="1066" t="s">
        <v>1535</v>
      </c>
      <c r="P10" s="1033">
        <v>3568501</v>
      </c>
      <c r="Q10" s="1033">
        <v>0</v>
      </c>
      <c r="R10" s="1066" t="s">
        <v>1252</v>
      </c>
      <c r="S10" s="1033">
        <v>160448</v>
      </c>
      <c r="T10" s="1033">
        <v>1</v>
      </c>
      <c r="U10" s="1033"/>
    </row>
    <row r="11" spans="1:21" x14ac:dyDescent="0.25">
      <c r="E11" s="108"/>
      <c r="F11" s="108"/>
      <c r="G11" s="108"/>
      <c r="H11" s="108"/>
      <c r="I11" s="108"/>
      <c r="L11" s="1066" t="s">
        <v>1524</v>
      </c>
      <c r="M11" s="1033">
        <v>1963106</v>
      </c>
      <c r="N11" s="1033">
        <v>0</v>
      </c>
      <c r="O11" s="1066" t="s">
        <v>1252</v>
      </c>
      <c r="P11" s="1033">
        <v>2700778</v>
      </c>
      <c r="Q11" s="1033">
        <v>1</v>
      </c>
      <c r="R11" s="1066" t="s">
        <v>1257</v>
      </c>
      <c r="S11" s="1033">
        <v>256747</v>
      </c>
      <c r="T11" s="1033">
        <v>1</v>
      </c>
      <c r="U11" s="1033"/>
    </row>
    <row r="12" spans="1:21" ht="15.75" x14ac:dyDescent="0.25">
      <c r="B12" s="1028" t="s">
        <v>1544</v>
      </c>
      <c r="C12" s="1028" t="s">
        <v>348</v>
      </c>
      <c r="D12" s="1028">
        <v>2019</v>
      </c>
      <c r="E12" s="1028">
        <v>2020</v>
      </c>
      <c r="F12" s="1028">
        <v>2021</v>
      </c>
      <c r="G12" s="1028">
        <v>2022</v>
      </c>
      <c r="H12" s="1028">
        <v>2023</v>
      </c>
      <c r="I12" s="1028">
        <v>2024</v>
      </c>
      <c r="J12" s="1030"/>
      <c r="L12" s="1066" t="s">
        <v>1534</v>
      </c>
      <c r="M12" s="1033">
        <v>1699668</v>
      </c>
      <c r="N12" s="1033">
        <v>1</v>
      </c>
      <c r="O12" s="1066" t="s">
        <v>1533</v>
      </c>
      <c r="P12" s="1033">
        <v>0</v>
      </c>
      <c r="Q12" s="1033">
        <v>1</v>
      </c>
      <c r="R12" s="1066" t="s">
        <v>1541</v>
      </c>
      <c r="S12" s="1033">
        <v>75086</v>
      </c>
      <c r="T12" s="1033">
        <v>0</v>
      </c>
      <c r="U12" s="1033"/>
    </row>
    <row r="13" spans="1:21" x14ac:dyDescent="0.25">
      <c r="B13" s="1640" t="s">
        <v>351</v>
      </c>
      <c r="C13" s="1091" t="s">
        <v>1255</v>
      </c>
      <c r="D13" s="1080">
        <f>'[13]VNR-Total'!$C$9</f>
        <v>125551662.06254277</v>
      </c>
      <c r="E13" s="1090">
        <f>'[14]VNR-Total'!$C$9</f>
        <v>125551662.06254277</v>
      </c>
      <c r="F13" s="1090">
        <f>'[15]VNR-Total'!$C$9</f>
        <v>126169415.39580324</v>
      </c>
      <c r="G13" s="1090">
        <f>'[16]VNR-Total'!$C$9</f>
        <v>126839398.59470928</v>
      </c>
      <c r="H13" s="1090">
        <f>'[17]VNR-Total'!$C$9</f>
        <v>126839398.59470928</v>
      </c>
      <c r="I13" s="1090">
        <f>'[18]VNR-Total'!$C$9</f>
        <v>126839398.59470928</v>
      </c>
      <c r="J13" s="1030"/>
      <c r="L13" s="1066" t="s">
        <v>1253</v>
      </c>
      <c r="M13" s="1033">
        <v>791998</v>
      </c>
      <c r="N13" s="1033">
        <v>1</v>
      </c>
      <c r="O13" s="1066" t="s">
        <v>1525</v>
      </c>
      <c r="P13" s="1033">
        <v>0</v>
      </c>
      <c r="Q13" s="1033">
        <v>1</v>
      </c>
      <c r="R13" s="1066"/>
      <c r="S13" s="1033"/>
      <c r="T13" s="1033"/>
      <c r="U13" s="1033"/>
    </row>
    <row r="14" spans="1:21" x14ac:dyDescent="0.25">
      <c r="B14" s="1640"/>
      <c r="C14" s="1087" t="s">
        <v>1256</v>
      </c>
      <c r="D14" s="1089">
        <v>484742352.36574215</v>
      </c>
      <c r="E14" s="1089">
        <v>484742352.36574215</v>
      </c>
      <c r="F14" s="1089">
        <v>487127434.63092899</v>
      </c>
      <c r="G14" s="1089">
        <f>G13*$F$14/$F$13</f>
        <v>489714172.43822628</v>
      </c>
      <c r="H14" s="1089">
        <f>H13*$F$14/$F$13</f>
        <v>489714172.43822628</v>
      </c>
      <c r="I14" s="1089">
        <f>I13*$F$14/$F$13</f>
        <v>489714172.43822628</v>
      </c>
      <c r="J14" s="1030"/>
      <c r="L14" s="1066" t="s">
        <v>1532</v>
      </c>
      <c r="M14" s="1033">
        <v>1944345</v>
      </c>
      <c r="N14" s="1033">
        <v>1</v>
      </c>
      <c r="O14" s="1066" t="s">
        <v>1524</v>
      </c>
      <c r="P14" s="1033">
        <v>64022</v>
      </c>
      <c r="Q14" s="1033">
        <v>0</v>
      </c>
      <c r="R14" s="1066"/>
      <c r="S14" s="1033"/>
      <c r="T14" s="1033"/>
      <c r="U14" s="1033"/>
    </row>
    <row r="15" spans="1:21" x14ac:dyDescent="0.25">
      <c r="B15" s="1640"/>
      <c r="C15" s="1085" t="s">
        <v>1227</v>
      </c>
      <c r="D15" s="1078">
        <f t="shared" ref="D15:I15" si="0">SUM(D13:D14)</f>
        <v>610294014.42828488</v>
      </c>
      <c r="E15" s="1078">
        <f t="shared" si="0"/>
        <v>610294014.42828488</v>
      </c>
      <c r="F15" s="1078">
        <f t="shared" si="0"/>
        <v>613296850.02673221</v>
      </c>
      <c r="G15" s="1078">
        <f t="shared" si="0"/>
        <v>616553571.03293562</v>
      </c>
      <c r="H15" s="1078">
        <f t="shared" si="0"/>
        <v>616553571.03293562</v>
      </c>
      <c r="I15" s="1078">
        <f t="shared" si="0"/>
        <v>616553571.03293562</v>
      </c>
      <c r="J15" s="1038"/>
      <c r="L15" s="1066" t="s">
        <v>1257</v>
      </c>
      <c r="M15" s="1033">
        <v>1980960</v>
      </c>
      <c r="N15" s="1033">
        <v>1</v>
      </c>
      <c r="O15" s="1066" t="s">
        <v>1518</v>
      </c>
      <c r="P15" s="1048">
        <v>2114042</v>
      </c>
      <c r="Q15" s="1033">
        <v>1</v>
      </c>
      <c r="R15" s="1066"/>
      <c r="S15" s="1033"/>
      <c r="T15" s="1033"/>
      <c r="U15" s="1033"/>
    </row>
    <row r="16" spans="1:21" x14ac:dyDescent="0.25">
      <c r="B16" s="1640" t="s">
        <v>1247</v>
      </c>
      <c r="C16" s="1084" t="s">
        <v>1255</v>
      </c>
      <c r="D16" s="1088">
        <v>1207939053</v>
      </c>
      <c r="E16" s="1088">
        <v>1237608931</v>
      </c>
      <c r="F16" s="1088">
        <f>254900045.4+9714478.55+88062322.44+22481475.11+6229309.4+62106107+16669339+192859500+86218591+113544784+18708277+317754355+46168626+583068+6117089+129412895+158133497</f>
        <v>1529663758.9000001</v>
      </c>
      <c r="G16" s="1088">
        <v>1611930442</v>
      </c>
      <c r="H16" s="1088">
        <f>291990098+11127883+100873418+25751000+7155725+985934854+SUM([19]SGT!$H$14:$H$19)</f>
        <v>1790692415.0248001</v>
      </c>
      <c r="I16" s="1088">
        <f>73184917+19643664+227280750+101609679+133805790+22047283+374457432+54404589+687080+7208753+152503976+186349180+3817961+13628352+2024104+19002860+299748549+11423712+103553252+26435644+7345956</f>
        <v>1840163483</v>
      </c>
      <c r="J16" s="1030"/>
      <c r="L16" s="1076" t="s">
        <v>1541</v>
      </c>
      <c r="M16" s="1075">
        <v>204674</v>
      </c>
      <c r="N16" s="1075">
        <v>0</v>
      </c>
      <c r="O16" s="1077" t="s">
        <v>1540</v>
      </c>
      <c r="P16" s="1055">
        <v>5586285</v>
      </c>
      <c r="Q16" s="1075">
        <v>1</v>
      </c>
      <c r="R16" s="1076"/>
      <c r="S16" s="1075"/>
      <c r="T16" s="1075"/>
      <c r="U16" s="1075"/>
    </row>
    <row r="17" spans="2:23" x14ac:dyDescent="0.25">
      <c r="B17" s="1640"/>
      <c r="C17" s="1084" t="s">
        <v>1256</v>
      </c>
      <c r="D17" s="1088">
        <v>0</v>
      </c>
      <c r="E17" s="1088">
        <v>0</v>
      </c>
      <c r="F17" s="1088">
        <v>0</v>
      </c>
      <c r="G17" s="1088">
        <v>0</v>
      </c>
      <c r="H17" s="1088">
        <v>0</v>
      </c>
      <c r="I17" s="1088">
        <v>0</v>
      </c>
      <c r="J17" s="1030"/>
      <c r="L17" s="860" t="s">
        <v>1254</v>
      </c>
      <c r="M17" s="1032">
        <f>SUMPRODUCT(M6:M16,N6:N16)</f>
        <v>35584413</v>
      </c>
      <c r="N17" s="1032"/>
      <c r="O17" s="860" t="s">
        <v>1254</v>
      </c>
      <c r="P17" s="1032">
        <f>SUMPRODUCT(P6:P16,Q6:Q16)</f>
        <v>10401105</v>
      </c>
      <c r="Q17" s="1032"/>
      <c r="R17" s="860" t="s">
        <v>1254</v>
      </c>
      <c r="S17" s="1032">
        <f>SUMPRODUCT(S6:S16,T6:T16)</f>
        <v>417195</v>
      </c>
      <c r="T17" s="1032"/>
      <c r="U17" s="1032">
        <f>M17+P17+S17</f>
        <v>46402713</v>
      </c>
    </row>
    <row r="18" spans="2:23" x14ac:dyDescent="0.25">
      <c r="B18" s="1640"/>
      <c r="C18" s="1082" t="s">
        <v>1227</v>
      </c>
      <c r="D18" s="1083">
        <f t="shared" ref="D18:I18" si="1">SUM(D16:D17)</f>
        <v>1207939053</v>
      </c>
      <c r="E18" s="1083">
        <f t="shared" si="1"/>
        <v>1237608931</v>
      </c>
      <c r="F18" s="1083">
        <f t="shared" si="1"/>
        <v>1529663758.9000001</v>
      </c>
      <c r="G18" s="1083">
        <f t="shared" si="1"/>
        <v>1611930442</v>
      </c>
      <c r="H18" s="1083">
        <f t="shared" si="1"/>
        <v>1790692415.0248001</v>
      </c>
      <c r="I18" s="1083">
        <f t="shared" si="1"/>
        <v>1840163483</v>
      </c>
      <c r="J18" s="1038"/>
      <c r="L18" s="1069" t="s">
        <v>1241</v>
      </c>
      <c r="M18" s="1068"/>
      <c r="N18" s="1068"/>
      <c r="O18" s="1068"/>
      <c r="P18" s="1068"/>
      <c r="Q18" s="1068"/>
      <c r="R18" s="1068"/>
      <c r="S18" s="1068"/>
      <c r="T18" s="1068"/>
      <c r="U18" s="1068"/>
    </row>
    <row r="19" spans="2:23" x14ac:dyDescent="0.25">
      <c r="B19" s="1640" t="s">
        <v>350</v>
      </c>
      <c r="C19" s="1087" t="s">
        <v>1255</v>
      </c>
      <c r="D19" s="1086">
        <f>[20]VNR!$O$49+[20]VNR!$O$51+[20]VNR!$O$52</f>
        <v>79279083.863722473</v>
      </c>
      <c r="E19" s="1086">
        <f>[20]VNR!$O$53+[20]VNR!$O$55+[20]VNR!$O$56</f>
        <v>79305384.453722462</v>
      </c>
      <c r="F19" s="1086">
        <v>79344445</v>
      </c>
      <c r="G19" s="1086">
        <f>85099862+1859338+562887</f>
        <v>87522087</v>
      </c>
      <c r="H19" s="1086">
        <f>85099862+604006+1995071</f>
        <v>87698939</v>
      </c>
      <c r="I19" s="1086">
        <f>85099862+615923+2034468</f>
        <v>87750253</v>
      </c>
      <c r="J19" s="1030"/>
      <c r="L19" s="1067" t="s">
        <v>1250</v>
      </c>
      <c r="M19" s="1050">
        <v>5960458</v>
      </c>
      <c r="N19" s="1050">
        <v>1</v>
      </c>
      <c r="O19" s="1067" t="s">
        <v>1531</v>
      </c>
      <c r="P19" s="1050">
        <v>181809</v>
      </c>
      <c r="Q19" s="1033">
        <v>1</v>
      </c>
      <c r="R19" s="1067" t="s">
        <v>1530</v>
      </c>
      <c r="S19" s="1050">
        <v>0</v>
      </c>
      <c r="T19" s="1033">
        <v>1</v>
      </c>
      <c r="U19" s="1067"/>
    </row>
    <row r="20" spans="2:23" x14ac:dyDescent="0.25">
      <c r="B20" s="1640"/>
      <c r="C20" s="1087" t="s">
        <v>1256</v>
      </c>
      <c r="D20" s="1086">
        <f>[20]VNR!$O$50</f>
        <v>10740667.825449701</v>
      </c>
      <c r="E20" s="1086">
        <f>[20]VNR!$O$54</f>
        <v>10740667.83</v>
      </c>
      <c r="F20" s="1086">
        <f>[20]VNR!$O$57</f>
        <v>11479202.23</v>
      </c>
      <c r="G20" s="1086">
        <f>[20]VNR!$O$58</f>
        <v>11479202.23</v>
      </c>
      <c r="H20" s="1086">
        <f>[20]VNR!$O$59</f>
        <v>11479202.23</v>
      </c>
      <c r="I20" s="1086">
        <f>[20]VNR!$O$60</f>
        <v>11479202.23</v>
      </c>
      <c r="J20" s="1030"/>
      <c r="L20" s="1066" t="s">
        <v>1251</v>
      </c>
      <c r="M20" s="1033">
        <v>4558035</v>
      </c>
      <c r="N20" s="1033">
        <v>1</v>
      </c>
      <c r="O20" s="1066" t="s">
        <v>1529</v>
      </c>
      <c r="P20" s="1033">
        <v>0</v>
      </c>
      <c r="Q20" s="1033">
        <v>1</v>
      </c>
      <c r="R20" s="1066" t="s">
        <v>1252</v>
      </c>
      <c r="S20" s="1033">
        <v>0</v>
      </c>
      <c r="T20" s="1033">
        <v>1</v>
      </c>
      <c r="U20" s="1066"/>
    </row>
    <row r="21" spans="2:23" x14ac:dyDescent="0.25">
      <c r="B21" s="1640"/>
      <c r="C21" s="1085" t="s">
        <v>1227</v>
      </c>
      <c r="D21" s="1078">
        <f t="shared" ref="D21:I21" si="2">SUM(D19:D20)</f>
        <v>90019751.689172179</v>
      </c>
      <c r="E21" s="1078">
        <f t="shared" si="2"/>
        <v>90046052.28372246</v>
      </c>
      <c r="F21" s="1078">
        <f t="shared" si="2"/>
        <v>90823647.230000004</v>
      </c>
      <c r="G21" s="1078">
        <f t="shared" si="2"/>
        <v>99001289.230000004</v>
      </c>
      <c r="H21" s="1078">
        <f t="shared" si="2"/>
        <v>99178141.230000004</v>
      </c>
      <c r="I21" s="1078">
        <f t="shared" si="2"/>
        <v>99229455.230000004</v>
      </c>
      <c r="J21" s="1038"/>
      <c r="L21" s="1066" t="s">
        <v>1253</v>
      </c>
      <c r="M21" s="1033">
        <v>224958</v>
      </c>
      <c r="N21" s="1033">
        <v>1</v>
      </c>
      <c r="O21" s="1066" t="s">
        <v>1252</v>
      </c>
      <c r="P21" s="1033">
        <v>0</v>
      </c>
      <c r="Q21" s="1033">
        <v>1</v>
      </c>
      <c r="R21" s="1066" t="s">
        <v>1528</v>
      </c>
      <c r="S21" s="1033">
        <v>311214</v>
      </c>
      <c r="T21" s="1033">
        <v>1</v>
      </c>
      <c r="U21" s="1066"/>
    </row>
    <row r="22" spans="2:23" x14ac:dyDescent="0.25">
      <c r="B22" s="1640" t="s">
        <v>1248</v>
      </c>
      <c r="C22" s="1084" t="s">
        <v>1255</v>
      </c>
      <c r="D22" s="1083">
        <f t="shared" ref="D22:I24" si="3">D13+D16+D19</f>
        <v>1412769798.9262652</v>
      </c>
      <c r="E22" s="1083">
        <f t="shared" si="3"/>
        <v>1442465977.5162652</v>
      </c>
      <c r="F22" s="1083">
        <f t="shared" si="3"/>
        <v>1735177619.2958033</v>
      </c>
      <c r="G22" s="1083">
        <f t="shared" si="3"/>
        <v>1826291927.5947094</v>
      </c>
      <c r="H22" s="1083">
        <f t="shared" si="3"/>
        <v>2005230752.6195092</v>
      </c>
      <c r="I22" s="1083">
        <f t="shared" si="3"/>
        <v>2054753134.5947094</v>
      </c>
      <c r="L22" s="1066" t="s">
        <v>1527</v>
      </c>
      <c r="M22" s="1033">
        <v>0</v>
      </c>
      <c r="N22" s="1033">
        <v>1</v>
      </c>
      <c r="O22" s="1066" t="s">
        <v>1526</v>
      </c>
      <c r="P22" s="1033">
        <v>0</v>
      </c>
      <c r="Q22" s="1033">
        <v>1</v>
      </c>
      <c r="R22" s="1066" t="s">
        <v>1525</v>
      </c>
      <c r="S22" s="1033">
        <v>237929</v>
      </c>
      <c r="T22" s="1033">
        <v>1</v>
      </c>
      <c r="U22" s="1066"/>
    </row>
    <row r="23" spans="2:23" x14ac:dyDescent="0.25">
      <c r="B23" s="1640"/>
      <c r="C23" s="1084" t="s">
        <v>1256</v>
      </c>
      <c r="D23" s="1083">
        <f t="shared" si="3"/>
        <v>495483020.19119185</v>
      </c>
      <c r="E23" s="1083">
        <f t="shared" si="3"/>
        <v>495483020.19574213</v>
      </c>
      <c r="F23" s="1083">
        <f t="shared" si="3"/>
        <v>498606636.86092901</v>
      </c>
      <c r="G23" s="1083">
        <f t="shared" si="3"/>
        <v>501193374.6682263</v>
      </c>
      <c r="H23" s="1083">
        <f t="shared" si="3"/>
        <v>501193374.6682263</v>
      </c>
      <c r="I23" s="1083">
        <f t="shared" si="3"/>
        <v>501193374.6682263</v>
      </c>
      <c r="L23" s="1066" t="s">
        <v>1524</v>
      </c>
      <c r="M23" s="1033">
        <v>428551</v>
      </c>
      <c r="N23" s="1033">
        <v>0</v>
      </c>
      <c r="O23" s="1066" t="s">
        <v>1523</v>
      </c>
      <c r="P23" s="1033">
        <v>516539</v>
      </c>
      <c r="Q23" s="1033">
        <v>1</v>
      </c>
      <c r="R23" s="1066" t="s">
        <v>1522</v>
      </c>
      <c r="S23" s="1033">
        <v>14818</v>
      </c>
      <c r="T23" s="1033">
        <v>1</v>
      </c>
      <c r="U23" s="1066"/>
    </row>
    <row r="24" spans="2:23" ht="15.75" customHeight="1" x14ac:dyDescent="0.25">
      <c r="B24" s="1640"/>
      <c r="C24" s="1082" t="s">
        <v>28</v>
      </c>
      <c r="D24" s="1081">
        <f t="shared" si="3"/>
        <v>1908252819.1174572</v>
      </c>
      <c r="E24" s="1081">
        <f t="shared" si="3"/>
        <v>1937948997.7120073</v>
      </c>
      <c r="F24" s="1081">
        <f t="shared" si="3"/>
        <v>2233784256.1567321</v>
      </c>
      <c r="G24" s="1081">
        <f t="shared" si="3"/>
        <v>2327485302.2629356</v>
      </c>
      <c r="H24" s="1081">
        <f t="shared" si="3"/>
        <v>2506424127.2877355</v>
      </c>
      <c r="I24" s="1081">
        <f t="shared" si="3"/>
        <v>2555946509.2629356</v>
      </c>
      <c r="L24" s="1066" t="s">
        <v>1521</v>
      </c>
      <c r="M24" s="1033">
        <v>154180</v>
      </c>
      <c r="N24" s="1033">
        <v>0</v>
      </c>
      <c r="O24" s="1066" t="s">
        <v>1520</v>
      </c>
      <c r="P24" s="1033">
        <v>0</v>
      </c>
      <c r="Q24" s="1033">
        <v>1</v>
      </c>
      <c r="R24" s="1066" t="s">
        <v>1519</v>
      </c>
      <c r="S24" s="1033">
        <v>2309</v>
      </c>
      <c r="T24" s="1033">
        <v>1</v>
      </c>
      <c r="U24" s="1066"/>
    </row>
    <row r="25" spans="2:23" ht="15" customHeight="1" x14ac:dyDescent="0.25">
      <c r="L25" s="1066" t="s">
        <v>1518</v>
      </c>
      <c r="M25" s="1033">
        <v>105094</v>
      </c>
      <c r="N25" s="1033">
        <v>1</v>
      </c>
      <c r="O25" s="1066" t="s">
        <v>1517</v>
      </c>
      <c r="P25" s="1033">
        <v>0</v>
      </c>
      <c r="Q25" s="1033">
        <v>1</v>
      </c>
      <c r="R25" s="1066" t="s">
        <v>1250</v>
      </c>
      <c r="S25" s="1033">
        <v>18789</v>
      </c>
      <c r="T25" s="1033">
        <v>1</v>
      </c>
      <c r="U25" s="1066"/>
    </row>
    <row r="26" spans="2:23" ht="15.75" x14ac:dyDescent="0.25">
      <c r="C26" s="1028" t="s">
        <v>1543</v>
      </c>
      <c r="D26" s="1028">
        <v>2019</v>
      </c>
      <c r="E26" s="1028">
        <v>2020</v>
      </c>
      <c r="F26" s="1028">
        <v>2021</v>
      </c>
      <c r="G26" s="1028">
        <v>2022</v>
      </c>
      <c r="H26" s="1028">
        <v>2023</v>
      </c>
      <c r="L26" s="1071" t="s">
        <v>1257</v>
      </c>
      <c r="M26" s="1033">
        <v>432321</v>
      </c>
      <c r="N26" s="1033">
        <v>1</v>
      </c>
      <c r="O26" s="1066" t="s">
        <v>1257</v>
      </c>
      <c r="P26" s="1048">
        <v>393111</v>
      </c>
      <c r="Q26" s="1033">
        <v>1</v>
      </c>
      <c r="R26" s="1066" t="s">
        <v>1257</v>
      </c>
      <c r="S26" s="1048">
        <v>0</v>
      </c>
      <c r="T26" s="1033">
        <v>1</v>
      </c>
      <c r="U26" s="1066"/>
      <c r="W26" s="1039"/>
    </row>
    <row r="27" spans="2:23" x14ac:dyDescent="0.25">
      <c r="C27" s="1053" t="s">
        <v>1542</v>
      </c>
      <c r="D27" s="1080">
        <f>U17</f>
        <v>46402713</v>
      </c>
      <c r="E27" s="1080">
        <f>U46</f>
        <v>45585369</v>
      </c>
      <c r="F27" s="1080">
        <f>U73</f>
        <v>48894179</v>
      </c>
      <c r="G27" s="1080">
        <f>U100</f>
        <v>49440637</v>
      </c>
      <c r="H27" s="1080">
        <f>U127</f>
        <v>53400857</v>
      </c>
      <c r="L27" s="1065"/>
      <c r="M27" s="1075"/>
      <c r="N27" s="1075"/>
      <c r="O27" s="1077" t="s">
        <v>1527</v>
      </c>
      <c r="P27" s="1055">
        <v>139784</v>
      </c>
      <c r="Q27" s="1033">
        <v>1</v>
      </c>
      <c r="R27" s="1076"/>
      <c r="S27" s="1055"/>
      <c r="T27" s="1075"/>
      <c r="U27" s="1075"/>
    </row>
    <row r="28" spans="2:23" x14ac:dyDescent="0.25">
      <c r="C28" s="964" t="s">
        <v>1241</v>
      </c>
      <c r="D28" s="1078">
        <f>U28</f>
        <v>13097168</v>
      </c>
      <c r="E28" s="1078">
        <f>U56</f>
        <v>12980954</v>
      </c>
      <c r="F28" s="1078">
        <f>U83</f>
        <v>10490379</v>
      </c>
      <c r="G28" s="1078">
        <f>U110</f>
        <v>12180040</v>
      </c>
      <c r="H28" s="1078">
        <f>U137</f>
        <v>17526569</v>
      </c>
      <c r="L28" s="860" t="s">
        <v>1254</v>
      </c>
      <c r="M28" s="1032">
        <f>SUMPRODUCT(M19:M27,N19:N27)</f>
        <v>11280866</v>
      </c>
      <c r="N28" s="1032"/>
      <c r="O28" s="860" t="s">
        <v>1254</v>
      </c>
      <c r="P28" s="1032">
        <f>SUMPRODUCT(P19:P27,Q19:Q27)</f>
        <v>1231243</v>
      </c>
      <c r="Q28" s="1032"/>
      <c r="R28" s="860" t="s">
        <v>1254</v>
      </c>
      <c r="S28" s="1032">
        <f>SUMPRODUCT(S19:S27,T19:T27)</f>
        <v>585059</v>
      </c>
      <c r="T28" s="1032"/>
      <c r="U28" s="1032">
        <f>M28+P28+S28</f>
        <v>13097168</v>
      </c>
    </row>
    <row r="29" spans="2:23" x14ac:dyDescent="0.25">
      <c r="C29" s="1079" t="s">
        <v>1227</v>
      </c>
      <c r="D29" s="1078">
        <f>U29</f>
        <v>59499881</v>
      </c>
      <c r="E29" s="1078">
        <f>U57</f>
        <v>58566323</v>
      </c>
      <c r="F29" s="1078">
        <f>U84</f>
        <v>59384558</v>
      </c>
      <c r="G29" s="1078">
        <f>U111</f>
        <v>61620677</v>
      </c>
      <c r="H29" s="1078">
        <f>U138</f>
        <v>70927426</v>
      </c>
      <c r="L29" s="1064" t="s">
        <v>1227</v>
      </c>
      <c r="M29" s="1052">
        <f>M17+M28</f>
        <v>46865279</v>
      </c>
      <c r="N29" s="1052"/>
      <c r="O29" s="1064" t="s">
        <v>1227</v>
      </c>
      <c r="P29" s="1052">
        <f>P17+P28</f>
        <v>11632348</v>
      </c>
      <c r="Q29" s="1052"/>
      <c r="R29" s="1064" t="s">
        <v>1227</v>
      </c>
      <c r="S29" s="1052">
        <f>S17+S28</f>
        <v>1002254</v>
      </c>
      <c r="T29" s="1052"/>
      <c r="U29" s="1052">
        <f>U17+U28</f>
        <v>59499881</v>
      </c>
    </row>
    <row r="30" spans="2:23" ht="24" customHeight="1" x14ac:dyDescent="0.25">
      <c r="D30" s="108"/>
      <c r="E30" s="108"/>
      <c r="F30" s="108"/>
      <c r="G30" s="108"/>
      <c r="H30" s="108"/>
      <c r="I30" s="108"/>
      <c r="M30" s="287"/>
      <c r="N30" s="287"/>
      <c r="P30" s="287"/>
      <c r="Q30" s="287"/>
      <c r="S30" s="287"/>
      <c r="T30" s="287"/>
    </row>
    <row r="31" spans="2:23" x14ac:dyDescent="0.25">
      <c r="L31" s="1644">
        <v>2020</v>
      </c>
      <c r="M31" s="1644"/>
      <c r="N31" s="1644"/>
      <c r="O31" s="1644"/>
      <c r="P31" s="1644"/>
      <c r="Q31" s="1644"/>
      <c r="R31" s="1644"/>
      <c r="S31" s="1644"/>
      <c r="T31" s="1644"/>
      <c r="U31" s="1644"/>
    </row>
    <row r="32" spans="2:23" ht="15.75" thickBot="1" x14ac:dyDescent="0.3">
      <c r="L32" s="1656"/>
      <c r="M32" s="1656"/>
      <c r="N32" s="1656"/>
      <c r="O32" s="1656"/>
      <c r="P32" s="1656"/>
      <c r="Q32" s="1656"/>
      <c r="R32" s="1656"/>
      <c r="S32" s="1656"/>
      <c r="T32" s="1656"/>
      <c r="U32" s="1656"/>
    </row>
    <row r="33" spans="3:21" ht="16.5" thickBot="1" x14ac:dyDescent="0.3">
      <c r="L33" s="1070" t="s">
        <v>348</v>
      </c>
      <c r="M33" s="1070" t="s">
        <v>351</v>
      </c>
      <c r="N33" s="1070"/>
      <c r="O33" s="1070" t="s">
        <v>348</v>
      </c>
      <c r="P33" s="1070" t="s">
        <v>1247</v>
      </c>
      <c r="Q33" s="1070"/>
      <c r="R33" s="1070" t="s">
        <v>348</v>
      </c>
      <c r="S33" s="1070" t="s">
        <v>350</v>
      </c>
      <c r="T33" s="1070"/>
      <c r="U33" s="1070" t="s">
        <v>1248</v>
      </c>
    </row>
    <row r="34" spans="3:21" ht="16.5" thickBot="1" x14ac:dyDescent="0.3">
      <c r="C34" s="1074" t="s">
        <v>1230</v>
      </c>
      <c r="D34" s="1073"/>
      <c r="E34" s="1072"/>
      <c r="L34" s="1069" t="s">
        <v>1249</v>
      </c>
      <c r="M34" s="1068"/>
      <c r="N34" s="1068"/>
      <c r="O34" s="1068"/>
      <c r="P34" s="1068"/>
      <c r="Q34" s="1068"/>
      <c r="R34" s="1068"/>
      <c r="S34" s="1068"/>
      <c r="T34" s="1068"/>
      <c r="U34" s="1068"/>
    </row>
    <row r="35" spans="3:21" x14ac:dyDescent="0.25">
      <c r="C35" s="1651" t="s">
        <v>348</v>
      </c>
      <c r="D35" s="1651"/>
      <c r="E35" s="962" t="s">
        <v>1232</v>
      </c>
      <c r="L35" s="1067" t="s">
        <v>1521</v>
      </c>
      <c r="M35" s="1050">
        <v>26772259</v>
      </c>
      <c r="N35" s="1050">
        <v>0</v>
      </c>
      <c r="O35" s="1067" t="s">
        <v>1521</v>
      </c>
      <c r="P35" s="1050">
        <v>51511910</v>
      </c>
      <c r="Q35" s="1050">
        <v>0</v>
      </c>
      <c r="R35" s="1067" t="s">
        <v>1539</v>
      </c>
      <c r="S35" s="1050">
        <v>852268</v>
      </c>
      <c r="T35" s="1050">
        <v>0</v>
      </c>
      <c r="U35" s="1050"/>
    </row>
    <row r="36" spans="3:21" x14ac:dyDescent="0.25">
      <c r="C36" s="1652" t="s">
        <v>1234</v>
      </c>
      <c r="D36" s="1652"/>
      <c r="E36" s="1046">
        <v>0.54090000000000005</v>
      </c>
      <c r="L36" s="1066" t="s">
        <v>1250</v>
      </c>
      <c r="M36" s="1033">
        <v>18275094</v>
      </c>
      <c r="N36" s="1033">
        <v>1</v>
      </c>
      <c r="O36" s="1066" t="s">
        <v>1538</v>
      </c>
      <c r="P36" s="1033">
        <v>0</v>
      </c>
      <c r="Q36" s="1033">
        <v>1</v>
      </c>
      <c r="R36" s="1066" t="s">
        <v>1521</v>
      </c>
      <c r="S36" s="1033">
        <v>2918699</v>
      </c>
      <c r="T36" s="1033">
        <v>0</v>
      </c>
      <c r="U36" s="1033"/>
    </row>
    <row r="37" spans="3:21" x14ac:dyDescent="0.25">
      <c r="C37" s="1652" t="s">
        <v>1235</v>
      </c>
      <c r="D37" s="634" t="s">
        <v>1236</v>
      </c>
      <c r="E37" s="828">
        <v>0.6</v>
      </c>
      <c r="L37" s="1066" t="s">
        <v>1251</v>
      </c>
      <c r="M37" s="1033">
        <v>9356233</v>
      </c>
      <c r="N37" s="1033">
        <v>1</v>
      </c>
      <c r="O37" s="1066" t="s">
        <v>1504</v>
      </c>
      <c r="P37" s="1033">
        <v>0</v>
      </c>
      <c r="Q37" s="1033">
        <v>1</v>
      </c>
      <c r="R37" s="1066" t="s">
        <v>1524</v>
      </c>
      <c r="S37" s="1033">
        <v>2652</v>
      </c>
      <c r="T37" s="1033">
        <v>0</v>
      </c>
      <c r="U37" s="1033"/>
    </row>
    <row r="38" spans="3:21" x14ac:dyDescent="0.25">
      <c r="C38" s="1652"/>
      <c r="D38" s="634" t="s">
        <v>1237</v>
      </c>
      <c r="E38" s="828">
        <f>1-E37</f>
        <v>0.4</v>
      </c>
      <c r="L38" s="1066" t="s">
        <v>1252</v>
      </c>
      <c r="M38" s="1033">
        <v>1831749</v>
      </c>
      <c r="N38" s="1033">
        <v>1</v>
      </c>
      <c r="O38" s="1066" t="s">
        <v>1537</v>
      </c>
      <c r="P38" s="1033">
        <v>6737556</v>
      </c>
      <c r="Q38" s="1033">
        <v>0</v>
      </c>
      <c r="R38" s="1066" t="s">
        <v>1536</v>
      </c>
      <c r="S38" s="1033">
        <v>376797</v>
      </c>
      <c r="T38" s="1033">
        <v>0</v>
      </c>
      <c r="U38" s="1033"/>
    </row>
    <row r="39" spans="3:21" ht="15.75" thickBot="1" x14ac:dyDescent="0.3">
      <c r="L39" s="1066" t="s">
        <v>1518</v>
      </c>
      <c r="M39" s="1033">
        <v>1978214</v>
      </c>
      <c r="N39" s="1033">
        <v>1</v>
      </c>
      <c r="O39" s="1066" t="s">
        <v>1535</v>
      </c>
      <c r="P39" s="1033">
        <v>4194889</v>
      </c>
      <c r="Q39" s="1033">
        <v>0</v>
      </c>
      <c r="R39" s="1066" t="s">
        <v>1252</v>
      </c>
      <c r="S39" s="1033">
        <v>163574</v>
      </c>
      <c r="T39" s="1033">
        <v>1</v>
      </c>
      <c r="U39" s="1033"/>
    </row>
    <row r="40" spans="3:21" ht="16.5" thickBot="1" x14ac:dyDescent="0.3">
      <c r="C40" s="1074" t="s">
        <v>1238</v>
      </c>
      <c r="D40" s="1073"/>
      <c r="E40" s="1072"/>
      <c r="L40" s="1066" t="s">
        <v>1524</v>
      </c>
      <c r="M40" s="1033">
        <v>1877888</v>
      </c>
      <c r="N40" s="1033">
        <v>0</v>
      </c>
      <c r="O40" s="1066" t="s">
        <v>1252</v>
      </c>
      <c r="P40" s="1033">
        <v>1910820</v>
      </c>
      <c r="Q40" s="1033">
        <v>1</v>
      </c>
      <c r="R40" s="1066" t="s">
        <v>1257</v>
      </c>
      <c r="S40" s="1033">
        <v>581292</v>
      </c>
      <c r="T40" s="1033">
        <v>1</v>
      </c>
      <c r="U40" s="1033"/>
    </row>
    <row r="41" spans="3:21" x14ac:dyDescent="0.25">
      <c r="C41" s="1651" t="s">
        <v>348</v>
      </c>
      <c r="D41" s="1651"/>
      <c r="E41" s="962" t="s">
        <v>1232</v>
      </c>
      <c r="L41" s="1066" t="s">
        <v>1534</v>
      </c>
      <c r="M41" s="1033">
        <v>1367827</v>
      </c>
      <c r="N41" s="1033">
        <v>1</v>
      </c>
      <c r="O41" s="1066" t="s">
        <v>1533</v>
      </c>
      <c r="P41" s="1033">
        <v>0</v>
      </c>
      <c r="Q41" s="1033">
        <v>1</v>
      </c>
      <c r="R41" s="1066"/>
      <c r="S41" s="1033"/>
      <c r="T41" s="1033"/>
      <c r="U41" s="1033"/>
    </row>
    <row r="42" spans="3:21" x14ac:dyDescent="0.25">
      <c r="C42" s="1652" t="s">
        <v>1234</v>
      </c>
      <c r="D42" s="1652"/>
      <c r="E42" s="1046">
        <v>0.4</v>
      </c>
      <c r="L42" s="1066" t="s">
        <v>1253</v>
      </c>
      <c r="M42" s="1033">
        <v>615441</v>
      </c>
      <c r="N42" s="1033">
        <v>1</v>
      </c>
      <c r="O42" s="1066" t="s">
        <v>1525</v>
      </c>
      <c r="P42" s="1033">
        <v>0</v>
      </c>
      <c r="Q42" s="1033">
        <v>1</v>
      </c>
      <c r="R42" s="1066"/>
      <c r="S42" s="1033"/>
      <c r="T42" s="1033"/>
      <c r="U42" s="1033"/>
    </row>
    <row r="43" spans="3:21" x14ac:dyDescent="0.25">
      <c r="C43" s="1652" t="s">
        <v>1235</v>
      </c>
      <c r="D43" s="634" t="s">
        <v>1236</v>
      </c>
      <c r="E43" s="828">
        <v>0.7</v>
      </c>
      <c r="L43" s="1066" t="s">
        <v>1532</v>
      </c>
      <c r="M43" s="1033">
        <v>1492683</v>
      </c>
      <c r="N43" s="1033">
        <v>1</v>
      </c>
      <c r="O43" s="1066" t="s">
        <v>1524</v>
      </c>
      <c r="P43" s="1033">
        <v>249041</v>
      </c>
      <c r="Q43" s="1033">
        <v>0</v>
      </c>
      <c r="R43" s="1066"/>
      <c r="S43" s="1033"/>
      <c r="T43" s="1033"/>
      <c r="U43" s="1033"/>
    </row>
    <row r="44" spans="3:21" x14ac:dyDescent="0.25">
      <c r="C44" s="1652"/>
      <c r="D44" s="634" t="s">
        <v>1237</v>
      </c>
      <c r="E44" s="828">
        <v>0.3</v>
      </c>
      <c r="I44" s="829"/>
      <c r="J44" s="829"/>
      <c r="L44" s="1066" t="s">
        <v>1257</v>
      </c>
      <c r="M44" s="1033">
        <v>1545650</v>
      </c>
      <c r="N44" s="1033">
        <v>1</v>
      </c>
      <c r="O44" s="1066" t="s">
        <v>1518</v>
      </c>
      <c r="P44" s="1048">
        <v>2205120</v>
      </c>
      <c r="Q44" s="1033">
        <v>1</v>
      </c>
      <c r="R44" s="1066"/>
      <c r="S44" s="1033"/>
      <c r="T44" s="1033"/>
      <c r="U44" s="1033"/>
    </row>
    <row r="45" spans="3:21" ht="15.75" thickBot="1" x14ac:dyDescent="0.3">
      <c r="L45" s="1076" t="s">
        <v>1541</v>
      </c>
      <c r="M45" s="1075">
        <v>39032</v>
      </c>
      <c r="N45" s="1075">
        <v>0</v>
      </c>
      <c r="O45" s="1077" t="s">
        <v>1540</v>
      </c>
      <c r="P45" s="1055">
        <v>4261672</v>
      </c>
      <c r="Q45" s="1075">
        <v>1</v>
      </c>
      <c r="R45" s="1076"/>
      <c r="S45" s="1075"/>
      <c r="T45" s="1075"/>
      <c r="U45" s="1075"/>
    </row>
    <row r="46" spans="3:21" ht="16.5" thickBot="1" x14ac:dyDescent="0.3">
      <c r="C46" s="1074" t="s">
        <v>1245</v>
      </c>
      <c r="D46" s="1073"/>
      <c r="E46" s="1072"/>
      <c r="L46" s="860" t="s">
        <v>1254</v>
      </c>
      <c r="M46" s="1032">
        <f>SUMPRODUCT(M35:M45,N35:N45)</f>
        <v>36462891</v>
      </c>
      <c r="N46" s="1032"/>
      <c r="O46" s="860" t="s">
        <v>1254</v>
      </c>
      <c r="P46" s="1032">
        <f>SUMPRODUCT(P35:P45,Q35:Q45)</f>
        <v>8377612</v>
      </c>
      <c r="Q46" s="1032"/>
      <c r="R46" s="860" t="s">
        <v>1254</v>
      </c>
      <c r="S46" s="1032">
        <f>SUMPRODUCT(S35:S45,T35:T45)</f>
        <v>744866</v>
      </c>
      <c r="T46" s="1032"/>
      <c r="U46" s="1032">
        <f>M46+P46+S46</f>
        <v>45585369</v>
      </c>
    </row>
    <row r="47" spans="3:21" x14ac:dyDescent="0.25">
      <c r="C47" s="1651" t="s">
        <v>348</v>
      </c>
      <c r="D47" s="1651"/>
      <c r="E47" s="962" t="s">
        <v>1232</v>
      </c>
      <c r="L47" s="1069" t="s">
        <v>1241</v>
      </c>
      <c r="M47" s="1068"/>
      <c r="N47" s="1068"/>
      <c r="O47" s="1068"/>
      <c r="P47" s="1068"/>
      <c r="Q47" s="1068"/>
      <c r="R47" s="1068"/>
      <c r="S47" s="1068"/>
      <c r="T47" s="1068"/>
      <c r="U47" s="1068"/>
    </row>
    <row r="48" spans="3:21" x14ac:dyDescent="0.25">
      <c r="C48" s="1652" t="s">
        <v>1234</v>
      </c>
      <c r="D48" s="1652"/>
      <c r="E48" s="1046">
        <v>0.4</v>
      </c>
      <c r="L48" s="1067" t="s">
        <v>1250</v>
      </c>
      <c r="M48" s="1050">
        <v>5816083</v>
      </c>
      <c r="N48" s="1050">
        <v>1</v>
      </c>
      <c r="O48" s="1067" t="s">
        <v>1531</v>
      </c>
      <c r="P48" s="1050">
        <v>299198</v>
      </c>
      <c r="Q48" s="1050">
        <v>1</v>
      </c>
      <c r="R48" s="1067" t="s">
        <v>1530</v>
      </c>
      <c r="S48" s="1050">
        <v>0</v>
      </c>
      <c r="T48" s="1050">
        <v>1</v>
      </c>
      <c r="U48" s="1067"/>
    </row>
    <row r="49" spans="3:21" x14ac:dyDescent="0.25">
      <c r="C49" s="1652" t="s">
        <v>1235</v>
      </c>
      <c r="D49" s="634" t="s">
        <v>1236</v>
      </c>
      <c r="E49" s="828">
        <v>0.6</v>
      </c>
      <c r="L49" s="1066" t="s">
        <v>1251</v>
      </c>
      <c r="M49" s="1033">
        <v>3185624</v>
      </c>
      <c r="N49" s="1033">
        <v>1</v>
      </c>
      <c r="O49" s="1066" t="s">
        <v>1529</v>
      </c>
      <c r="P49" s="1033">
        <v>0</v>
      </c>
      <c r="Q49" s="1033">
        <v>1</v>
      </c>
      <c r="R49" s="1066" t="s">
        <v>1252</v>
      </c>
      <c r="S49" s="1033">
        <v>0</v>
      </c>
      <c r="T49" s="1033">
        <v>1</v>
      </c>
      <c r="U49" s="1066"/>
    </row>
    <row r="50" spans="3:21" x14ac:dyDescent="0.25">
      <c r="C50" s="1652"/>
      <c r="D50" s="634" t="s">
        <v>1237</v>
      </c>
      <c r="E50" s="828">
        <v>0.4</v>
      </c>
      <c r="L50" s="1066" t="s">
        <v>1253</v>
      </c>
      <c r="M50" s="1033">
        <v>114987</v>
      </c>
      <c r="N50" s="1033">
        <v>1</v>
      </c>
      <c r="O50" s="1066" t="s">
        <v>1252</v>
      </c>
      <c r="P50" s="1033">
        <v>0</v>
      </c>
      <c r="Q50" s="1033">
        <v>1</v>
      </c>
      <c r="R50" s="1066" t="s">
        <v>1528</v>
      </c>
      <c r="S50" s="1033">
        <v>1662641</v>
      </c>
      <c r="T50" s="1033">
        <v>1</v>
      </c>
      <c r="U50" s="1066"/>
    </row>
    <row r="51" spans="3:21" x14ac:dyDescent="0.25">
      <c r="L51" s="1066" t="s">
        <v>1527</v>
      </c>
      <c r="M51" s="1033">
        <v>70689</v>
      </c>
      <c r="N51" s="1033">
        <v>1</v>
      </c>
      <c r="O51" s="1066" t="s">
        <v>1526</v>
      </c>
      <c r="P51" s="1033">
        <v>0</v>
      </c>
      <c r="Q51" s="1033">
        <v>1</v>
      </c>
      <c r="R51" s="1066" t="s">
        <v>1525</v>
      </c>
      <c r="S51" s="1033">
        <v>232732</v>
      </c>
      <c r="T51" s="1033">
        <v>1</v>
      </c>
      <c r="U51" s="1066"/>
    </row>
    <row r="52" spans="3:21" x14ac:dyDescent="0.25">
      <c r="L52" s="1066" t="s">
        <v>1524</v>
      </c>
      <c r="M52" s="1033">
        <v>416220</v>
      </c>
      <c r="N52" s="1033">
        <v>0</v>
      </c>
      <c r="O52" s="1066" t="s">
        <v>1523</v>
      </c>
      <c r="P52" s="1033">
        <v>32937</v>
      </c>
      <c r="Q52" s="1033">
        <v>1</v>
      </c>
      <c r="R52" s="1066" t="s">
        <v>1522</v>
      </c>
      <c r="S52" s="1033">
        <v>12894</v>
      </c>
      <c r="T52" s="1033">
        <v>1</v>
      </c>
      <c r="U52" s="1066"/>
    </row>
    <row r="53" spans="3:21" x14ac:dyDescent="0.25">
      <c r="L53" s="1066" t="s">
        <v>1521</v>
      </c>
      <c r="M53" s="1033">
        <v>192337</v>
      </c>
      <c r="N53" s="1033">
        <v>0</v>
      </c>
      <c r="O53" s="1066" t="s">
        <v>1520</v>
      </c>
      <c r="P53" s="1033">
        <v>0</v>
      </c>
      <c r="Q53" s="1033">
        <v>1</v>
      </c>
      <c r="R53" s="1066" t="s">
        <v>1519</v>
      </c>
      <c r="S53" s="1033">
        <v>12751</v>
      </c>
      <c r="T53" s="1033">
        <v>1</v>
      </c>
      <c r="U53" s="1066"/>
    </row>
    <row r="54" spans="3:21" x14ac:dyDescent="0.25">
      <c r="L54" s="1066" t="s">
        <v>1518</v>
      </c>
      <c r="M54" s="1033">
        <v>47090</v>
      </c>
      <c r="N54" s="1033">
        <v>1</v>
      </c>
      <c r="O54" s="1066" t="s">
        <v>1517</v>
      </c>
      <c r="P54" s="1033">
        <v>0</v>
      </c>
      <c r="Q54" s="1033">
        <v>1</v>
      </c>
      <c r="R54" s="1066" t="s">
        <v>1250</v>
      </c>
      <c r="S54" s="1033">
        <v>11447</v>
      </c>
      <c r="T54" s="1033">
        <v>1</v>
      </c>
      <c r="U54" s="1066"/>
    </row>
    <row r="55" spans="3:21" x14ac:dyDescent="0.25">
      <c r="L55" s="1071" t="s">
        <v>1257</v>
      </c>
      <c r="M55" s="1033">
        <v>678172</v>
      </c>
      <c r="N55" s="1033">
        <v>1</v>
      </c>
      <c r="O55" s="1066" t="s">
        <v>1257</v>
      </c>
      <c r="P55" s="1048">
        <v>803709</v>
      </c>
      <c r="Q55" s="1033">
        <v>1</v>
      </c>
      <c r="R55" s="1066" t="s">
        <v>1257</v>
      </c>
      <c r="S55" s="1048">
        <v>0</v>
      </c>
      <c r="T55" s="1033">
        <v>1</v>
      </c>
      <c r="U55" s="1066"/>
    </row>
    <row r="56" spans="3:21" x14ac:dyDescent="0.25">
      <c r="L56" s="860" t="s">
        <v>1254</v>
      </c>
      <c r="M56" s="1032">
        <f>SUMPRODUCT(M48:M55,N48:N55)</f>
        <v>9912645</v>
      </c>
      <c r="N56" s="1032"/>
      <c r="O56" s="860" t="s">
        <v>1254</v>
      </c>
      <c r="P56" s="1032">
        <f>SUMPRODUCT(P48:P55,Q48:Q55)</f>
        <v>1135844</v>
      </c>
      <c r="Q56" s="1032"/>
      <c r="R56" s="860" t="s">
        <v>1254</v>
      </c>
      <c r="S56" s="1032">
        <f>SUMPRODUCT(S48:S55,T48:T55)</f>
        <v>1932465</v>
      </c>
      <c r="T56" s="1032"/>
      <c r="U56" s="1032">
        <f>M56+P56+S56</f>
        <v>12980954</v>
      </c>
    </row>
    <row r="57" spans="3:21" x14ac:dyDescent="0.25">
      <c r="L57" s="860" t="s">
        <v>1227</v>
      </c>
      <c r="M57" s="1032">
        <f>M46+M56</f>
        <v>46375536</v>
      </c>
      <c r="N57" s="1032"/>
      <c r="O57" s="860" t="s">
        <v>1227</v>
      </c>
      <c r="P57" s="1032">
        <f>P46+P56</f>
        <v>9513456</v>
      </c>
      <c r="Q57" s="1032"/>
      <c r="R57" s="860" t="s">
        <v>1227</v>
      </c>
      <c r="S57" s="1032">
        <f>S46+S56</f>
        <v>2677331</v>
      </c>
      <c r="T57" s="1032"/>
      <c r="U57" s="1032">
        <f>U46+U56</f>
        <v>58566323</v>
      </c>
    </row>
    <row r="58" spans="3:21" ht="24" customHeight="1" x14ac:dyDescent="0.25">
      <c r="M58" s="287"/>
      <c r="N58" s="287"/>
      <c r="P58" s="287"/>
      <c r="Q58" s="287"/>
      <c r="S58" s="287"/>
      <c r="T58" s="287"/>
    </row>
    <row r="59" spans="3:21" x14ac:dyDescent="0.25">
      <c r="L59" s="1644">
        <v>2021</v>
      </c>
      <c r="M59" s="1644"/>
      <c r="N59" s="1644"/>
      <c r="O59" s="1644"/>
      <c r="P59" s="1644"/>
      <c r="Q59" s="1644"/>
      <c r="R59" s="1644"/>
      <c r="S59" s="1644"/>
      <c r="T59" s="1644"/>
      <c r="U59" s="1644"/>
    </row>
    <row r="60" spans="3:21" ht="15.75" thickBot="1" x14ac:dyDescent="0.3">
      <c r="L60" s="1656"/>
      <c r="M60" s="1656"/>
      <c r="N60" s="1656"/>
      <c r="O60" s="1656"/>
      <c r="P60" s="1656"/>
      <c r="Q60" s="1656"/>
      <c r="R60" s="1656"/>
      <c r="S60" s="1656"/>
      <c r="T60" s="1656"/>
      <c r="U60" s="1656"/>
    </row>
    <row r="61" spans="3:21" ht="15.75" x14ac:dyDescent="0.25">
      <c r="L61" s="1070" t="s">
        <v>348</v>
      </c>
      <c r="M61" s="1070" t="s">
        <v>351</v>
      </c>
      <c r="N61" s="1070"/>
      <c r="O61" s="1070" t="s">
        <v>348</v>
      </c>
      <c r="P61" s="1070" t="s">
        <v>1247</v>
      </c>
      <c r="Q61" s="1070"/>
      <c r="R61" s="1070" t="s">
        <v>348</v>
      </c>
      <c r="S61" s="1070" t="s">
        <v>350</v>
      </c>
      <c r="T61" s="1070"/>
      <c r="U61" s="1070" t="s">
        <v>1248</v>
      </c>
    </row>
    <row r="62" spans="3:21" x14ac:dyDescent="0.25">
      <c r="L62" s="1069" t="s">
        <v>1249</v>
      </c>
      <c r="M62" s="1068"/>
      <c r="N62" s="1068"/>
      <c r="O62" s="1068"/>
      <c r="P62" s="1068"/>
      <c r="Q62" s="1068"/>
      <c r="R62" s="1068"/>
      <c r="S62" s="1068"/>
      <c r="T62" s="1068"/>
      <c r="U62" s="1068"/>
    </row>
    <row r="63" spans="3:21" x14ac:dyDescent="0.25">
      <c r="L63" s="1067" t="s">
        <v>1521</v>
      </c>
      <c r="M63" s="1050">
        <v>27434571</v>
      </c>
      <c r="N63" s="1050">
        <v>0</v>
      </c>
      <c r="O63" s="1067" t="s">
        <v>1521</v>
      </c>
      <c r="P63" s="1050">
        <v>51416739</v>
      </c>
      <c r="Q63" s="1050">
        <v>0</v>
      </c>
      <c r="R63" s="1067" t="s">
        <v>1539</v>
      </c>
      <c r="S63" s="1050">
        <v>3031509</v>
      </c>
      <c r="T63" s="1050">
        <v>0</v>
      </c>
      <c r="U63" s="1067"/>
    </row>
    <row r="64" spans="3:21" x14ac:dyDescent="0.25">
      <c r="L64" s="1066" t="s">
        <v>1250</v>
      </c>
      <c r="M64" s="1033">
        <v>13397605</v>
      </c>
      <c r="N64" s="1033">
        <v>1</v>
      </c>
      <c r="O64" s="1066" t="s">
        <v>1538</v>
      </c>
      <c r="P64" s="1033">
        <v>0</v>
      </c>
      <c r="Q64" s="1033">
        <v>1</v>
      </c>
      <c r="R64" s="1066" t="s">
        <v>1521</v>
      </c>
      <c r="S64" s="1033">
        <v>2822227</v>
      </c>
      <c r="T64" s="1033">
        <v>0</v>
      </c>
      <c r="U64" s="1066"/>
    </row>
    <row r="65" spans="12:21" x14ac:dyDescent="0.25">
      <c r="L65" s="1066" t="s">
        <v>1251</v>
      </c>
      <c r="M65" s="1033">
        <v>12290578</v>
      </c>
      <c r="N65" s="1033">
        <v>1</v>
      </c>
      <c r="O65" s="1066" t="s">
        <v>1504</v>
      </c>
      <c r="P65" s="1033">
        <v>2600225</v>
      </c>
      <c r="Q65" s="1033">
        <v>1</v>
      </c>
      <c r="R65" s="1066" t="s">
        <v>1524</v>
      </c>
      <c r="S65" s="1033">
        <v>1380877</v>
      </c>
      <c r="T65" s="1033">
        <v>0</v>
      </c>
      <c r="U65" s="1066"/>
    </row>
    <row r="66" spans="12:21" x14ac:dyDescent="0.25">
      <c r="L66" s="1066" t="s">
        <v>1252</v>
      </c>
      <c r="M66" s="1033">
        <v>2042032</v>
      </c>
      <c r="N66" s="1033">
        <v>1</v>
      </c>
      <c r="O66" s="1066" t="s">
        <v>1537</v>
      </c>
      <c r="P66" s="1033">
        <v>6521067</v>
      </c>
      <c r="Q66" s="1033">
        <v>0</v>
      </c>
      <c r="R66" s="1066" t="s">
        <v>1536</v>
      </c>
      <c r="S66" s="1033">
        <v>531968</v>
      </c>
      <c r="T66" s="1033">
        <v>0</v>
      </c>
      <c r="U66" s="1066"/>
    </row>
    <row r="67" spans="12:21" x14ac:dyDescent="0.25">
      <c r="L67" s="1066" t="s">
        <v>1518</v>
      </c>
      <c r="M67" s="1033">
        <v>1924962</v>
      </c>
      <c r="N67" s="1033">
        <v>1</v>
      </c>
      <c r="O67" s="1066" t="s">
        <v>1535</v>
      </c>
      <c r="P67" s="1033">
        <v>4024220</v>
      </c>
      <c r="Q67" s="1033">
        <v>0</v>
      </c>
      <c r="R67" s="1066" t="s">
        <v>1252</v>
      </c>
      <c r="S67" s="1033">
        <v>340847</v>
      </c>
      <c r="T67" s="1033">
        <v>1</v>
      </c>
      <c r="U67" s="1066"/>
    </row>
    <row r="68" spans="12:21" x14ac:dyDescent="0.25">
      <c r="L68" s="1066" t="s">
        <v>1524</v>
      </c>
      <c r="M68" s="1033">
        <v>1830994</v>
      </c>
      <c r="N68" s="1033">
        <v>0</v>
      </c>
      <c r="O68" s="1066" t="s">
        <v>1252</v>
      </c>
      <c r="P68" s="1033">
        <v>2085916</v>
      </c>
      <c r="Q68" s="1033">
        <v>1</v>
      </c>
      <c r="R68" s="1066" t="s">
        <v>1257</v>
      </c>
      <c r="S68" s="1033">
        <v>246498</v>
      </c>
      <c r="T68" s="1033">
        <v>1</v>
      </c>
      <c r="U68" s="1066"/>
    </row>
    <row r="69" spans="12:21" x14ac:dyDescent="0.25">
      <c r="L69" s="1066" t="s">
        <v>1534</v>
      </c>
      <c r="M69" s="1033">
        <v>1455515</v>
      </c>
      <c r="N69" s="1033">
        <v>1</v>
      </c>
      <c r="O69" s="1066" t="s">
        <v>1533</v>
      </c>
      <c r="P69" s="1033">
        <v>3235879</v>
      </c>
      <c r="Q69" s="1033">
        <v>1</v>
      </c>
      <c r="R69" s="1066"/>
      <c r="S69" s="1033"/>
      <c r="T69" s="1033"/>
      <c r="U69" s="1066"/>
    </row>
    <row r="70" spans="12:21" x14ac:dyDescent="0.25">
      <c r="L70" s="1066" t="s">
        <v>1253</v>
      </c>
      <c r="M70" s="1033">
        <v>774987</v>
      </c>
      <c r="N70" s="1033">
        <v>1</v>
      </c>
      <c r="O70" s="1066" t="s">
        <v>1525</v>
      </c>
      <c r="P70" s="1033">
        <v>909055</v>
      </c>
      <c r="Q70" s="1033">
        <v>1</v>
      </c>
      <c r="R70" s="1066"/>
      <c r="S70" s="1033"/>
      <c r="T70" s="1033"/>
      <c r="U70" s="1066"/>
    </row>
    <row r="71" spans="12:21" x14ac:dyDescent="0.25">
      <c r="L71" s="1066" t="s">
        <v>1532</v>
      </c>
      <c r="M71" s="1033">
        <v>1596451</v>
      </c>
      <c r="N71" s="1033">
        <v>1</v>
      </c>
      <c r="O71" s="1066" t="s">
        <v>1524</v>
      </c>
      <c r="P71" s="1033">
        <v>161199</v>
      </c>
      <c r="Q71" s="1033">
        <v>0</v>
      </c>
      <c r="R71" s="1066"/>
      <c r="S71" s="1033"/>
      <c r="T71" s="1033"/>
      <c r="U71" s="1066"/>
    </row>
    <row r="72" spans="12:21" x14ac:dyDescent="0.25">
      <c r="L72" s="1065" t="s">
        <v>1257</v>
      </c>
      <c r="M72" s="1048">
        <v>5993629</v>
      </c>
      <c r="N72" s="1048">
        <v>1</v>
      </c>
      <c r="O72" s="1065"/>
      <c r="P72" s="1048"/>
      <c r="Q72" s="1048"/>
      <c r="R72" s="1065"/>
      <c r="S72" s="1048"/>
      <c r="T72" s="1048"/>
      <c r="U72" s="1065"/>
    </row>
    <row r="73" spans="12:21" x14ac:dyDescent="0.25">
      <c r="L73" s="860" t="s">
        <v>1254</v>
      </c>
      <c r="M73" s="1032">
        <f>SUMPRODUCT(M63:M72,N63:N72)</f>
        <v>39475759</v>
      </c>
      <c r="N73" s="1032"/>
      <c r="O73" s="860" t="s">
        <v>1254</v>
      </c>
      <c r="P73" s="1032">
        <f>SUMPRODUCT(P63:P72,Q63:Q72)</f>
        <v>8831075</v>
      </c>
      <c r="Q73" s="1032"/>
      <c r="R73" s="860" t="s">
        <v>1254</v>
      </c>
      <c r="S73" s="1032">
        <f>SUMPRODUCT(S63:S72,T63:T72)</f>
        <v>587345</v>
      </c>
      <c r="T73" s="1032"/>
      <c r="U73" s="1032">
        <f>M73+P73+S73</f>
        <v>48894179</v>
      </c>
    </row>
    <row r="74" spans="12:21" x14ac:dyDescent="0.25">
      <c r="L74" s="1069" t="s">
        <v>1241</v>
      </c>
      <c r="M74" s="1068"/>
      <c r="N74" s="1068"/>
      <c r="O74" s="1068"/>
      <c r="P74" s="1068"/>
      <c r="Q74" s="1068"/>
      <c r="R74" s="1068"/>
      <c r="S74" s="1068"/>
      <c r="T74" s="1068"/>
      <c r="U74" s="1068"/>
    </row>
    <row r="75" spans="12:21" x14ac:dyDescent="0.25">
      <c r="L75" s="1067" t="s">
        <v>1250</v>
      </c>
      <c r="M75" s="1050">
        <v>4703700</v>
      </c>
      <c r="N75" s="1050">
        <v>1</v>
      </c>
      <c r="O75" s="1067" t="s">
        <v>1531</v>
      </c>
      <c r="P75" s="1050">
        <v>205809</v>
      </c>
      <c r="Q75" s="1033">
        <v>1</v>
      </c>
      <c r="R75" s="1067" t="s">
        <v>1530</v>
      </c>
      <c r="S75" s="1050">
        <v>0</v>
      </c>
      <c r="T75" s="1033">
        <v>1</v>
      </c>
      <c r="U75" s="1067"/>
    </row>
    <row r="76" spans="12:21" x14ac:dyDescent="0.25">
      <c r="L76" s="1066" t="s">
        <v>1251</v>
      </c>
      <c r="M76" s="1033">
        <v>2355497</v>
      </c>
      <c r="N76" s="1033">
        <v>1</v>
      </c>
      <c r="O76" s="1066" t="s">
        <v>1529</v>
      </c>
      <c r="P76" s="1033">
        <v>0</v>
      </c>
      <c r="Q76" s="1033">
        <v>1</v>
      </c>
      <c r="R76" s="1066" t="s">
        <v>1252</v>
      </c>
      <c r="S76" s="1033">
        <v>0</v>
      </c>
      <c r="T76" s="1033">
        <v>1</v>
      </c>
      <c r="U76" s="1066"/>
    </row>
    <row r="77" spans="12:21" x14ac:dyDescent="0.25">
      <c r="L77" s="1066" t="s">
        <v>1253</v>
      </c>
      <c r="M77" s="1033">
        <v>100866</v>
      </c>
      <c r="N77" s="1033">
        <v>1</v>
      </c>
      <c r="O77" s="1066" t="s">
        <v>1252</v>
      </c>
      <c r="P77" s="1033">
        <v>139218</v>
      </c>
      <c r="Q77" s="1033">
        <v>1</v>
      </c>
      <c r="R77" s="1066" t="s">
        <v>1528</v>
      </c>
      <c r="S77" s="1033">
        <v>623657</v>
      </c>
      <c r="T77" s="1033">
        <v>1</v>
      </c>
      <c r="U77" s="1066"/>
    </row>
    <row r="78" spans="12:21" x14ac:dyDescent="0.25">
      <c r="L78" s="1066" t="s">
        <v>1527</v>
      </c>
      <c r="M78" s="1033">
        <v>18732</v>
      </c>
      <c r="N78" s="1033">
        <v>1</v>
      </c>
      <c r="O78" s="1066" t="s">
        <v>1526</v>
      </c>
      <c r="P78" s="1033">
        <v>184285</v>
      </c>
      <c r="Q78" s="1033">
        <v>1</v>
      </c>
      <c r="R78" s="1066" t="s">
        <v>1525</v>
      </c>
      <c r="S78" s="1033">
        <v>36883</v>
      </c>
      <c r="T78" s="1033">
        <v>1</v>
      </c>
      <c r="U78" s="1066"/>
    </row>
    <row r="79" spans="12:21" x14ac:dyDescent="0.25">
      <c r="L79" s="1066" t="s">
        <v>1524</v>
      </c>
      <c r="M79" s="1033">
        <v>717034</v>
      </c>
      <c r="N79" s="1033">
        <v>0</v>
      </c>
      <c r="O79" s="1066" t="s">
        <v>1523</v>
      </c>
      <c r="P79" s="1033">
        <v>17941</v>
      </c>
      <c r="Q79" s="1033">
        <v>1</v>
      </c>
      <c r="R79" s="1066" t="s">
        <v>1522</v>
      </c>
      <c r="S79" s="1033">
        <v>33388</v>
      </c>
      <c r="T79" s="1033">
        <v>1</v>
      </c>
      <c r="U79" s="1066"/>
    </row>
    <row r="80" spans="12:21" x14ac:dyDescent="0.25">
      <c r="L80" s="1066" t="s">
        <v>1521</v>
      </c>
      <c r="M80" s="1033">
        <v>228266</v>
      </c>
      <c r="N80" s="1033">
        <v>0</v>
      </c>
      <c r="O80" s="1066" t="s">
        <v>1520</v>
      </c>
      <c r="P80" s="1033">
        <v>56435</v>
      </c>
      <c r="Q80" s="1033">
        <v>1</v>
      </c>
      <c r="R80" s="1066" t="s">
        <v>1519</v>
      </c>
      <c r="S80" s="1033">
        <v>12981</v>
      </c>
      <c r="T80" s="1033">
        <v>1</v>
      </c>
      <c r="U80" s="1066"/>
    </row>
    <row r="81" spans="12:21" x14ac:dyDescent="0.25">
      <c r="L81" s="1066" t="s">
        <v>1518</v>
      </c>
      <c r="M81" s="1033">
        <v>48010</v>
      </c>
      <c r="N81" s="1033">
        <v>1</v>
      </c>
      <c r="O81" s="1066" t="s">
        <v>1517</v>
      </c>
      <c r="P81" s="1033">
        <v>48684</v>
      </c>
      <c r="Q81" s="1033">
        <v>1</v>
      </c>
      <c r="R81" s="1066" t="s">
        <v>1250</v>
      </c>
      <c r="S81" s="1033">
        <v>7500</v>
      </c>
      <c r="T81" s="1033">
        <v>1</v>
      </c>
      <c r="U81" s="1066"/>
    </row>
    <row r="82" spans="12:21" x14ac:dyDescent="0.25">
      <c r="L82" s="1065" t="s">
        <v>1257</v>
      </c>
      <c r="M82" s="1048">
        <v>1833700</v>
      </c>
      <c r="N82" s="1048">
        <v>1</v>
      </c>
      <c r="O82" s="1065" t="s">
        <v>1257</v>
      </c>
      <c r="P82" s="1048">
        <v>63093</v>
      </c>
      <c r="Q82" s="1033">
        <v>1</v>
      </c>
      <c r="R82" s="1065" t="s">
        <v>1257</v>
      </c>
      <c r="S82" s="1048">
        <v>0</v>
      </c>
      <c r="T82" s="1033">
        <v>1</v>
      </c>
      <c r="U82" s="1065"/>
    </row>
    <row r="83" spans="12:21" ht="15" customHeight="1" x14ac:dyDescent="0.25">
      <c r="L83" s="860" t="s">
        <v>1254</v>
      </c>
      <c r="M83" s="1032">
        <f>SUMPRODUCT(M75:M82,N75:N82)</f>
        <v>9060505</v>
      </c>
      <c r="N83" s="1032"/>
      <c r="O83" s="860" t="s">
        <v>1254</v>
      </c>
      <c r="P83" s="1032">
        <f>SUMPRODUCT(P75:P82,Q75:Q82)</f>
        <v>715465</v>
      </c>
      <c r="Q83" s="1032"/>
      <c r="R83" s="860" t="s">
        <v>1254</v>
      </c>
      <c r="S83" s="1032">
        <f>SUMPRODUCT(S75:S82,T75:T82)</f>
        <v>714409</v>
      </c>
      <c r="T83" s="1032"/>
      <c r="U83" s="1032">
        <f>M83+P83+S83</f>
        <v>10490379</v>
      </c>
    </row>
    <row r="84" spans="12:21" x14ac:dyDescent="0.25">
      <c r="L84" s="1064" t="s">
        <v>1227</v>
      </c>
      <c r="M84" s="1052">
        <f>M73+M83</f>
        <v>48536264</v>
      </c>
      <c r="N84" s="1052"/>
      <c r="O84" s="1064" t="s">
        <v>1227</v>
      </c>
      <c r="P84" s="1052">
        <f>P73+P83</f>
        <v>9546540</v>
      </c>
      <c r="Q84" s="1052"/>
      <c r="R84" s="1064" t="s">
        <v>1227</v>
      </c>
      <c r="S84" s="1052">
        <f>S73+S83</f>
        <v>1301754</v>
      </c>
      <c r="T84" s="1052"/>
      <c r="U84" s="1052">
        <f>U73+U83</f>
        <v>59384558</v>
      </c>
    </row>
    <row r="85" spans="12:21" x14ac:dyDescent="0.25">
      <c r="M85" s="287"/>
      <c r="N85" s="287"/>
      <c r="P85" s="287"/>
      <c r="Q85" s="287"/>
      <c r="S85" s="287"/>
      <c r="T85" s="287"/>
    </row>
    <row r="86" spans="12:21" x14ac:dyDescent="0.25">
      <c r="L86" s="1644">
        <v>2022</v>
      </c>
      <c r="M86" s="1644"/>
      <c r="N86" s="1644"/>
      <c r="O86" s="1644"/>
      <c r="P86" s="1644"/>
      <c r="Q86" s="1644"/>
      <c r="R86" s="1644"/>
      <c r="S86" s="1644"/>
      <c r="T86" s="1644"/>
      <c r="U86" s="1644"/>
    </row>
    <row r="87" spans="12:21" ht="15.75" thickBot="1" x14ac:dyDescent="0.3">
      <c r="L87" s="1656"/>
      <c r="M87" s="1656"/>
      <c r="N87" s="1656"/>
      <c r="O87" s="1656"/>
      <c r="P87" s="1656"/>
      <c r="Q87" s="1656"/>
      <c r="R87" s="1656"/>
      <c r="S87" s="1656"/>
      <c r="T87" s="1656"/>
      <c r="U87" s="1656"/>
    </row>
    <row r="88" spans="12:21" ht="15.75" x14ac:dyDescent="0.25">
      <c r="L88" s="1070" t="s">
        <v>348</v>
      </c>
      <c r="M88" s="1070" t="s">
        <v>351</v>
      </c>
      <c r="N88" s="1070"/>
      <c r="O88" s="1070" t="s">
        <v>348</v>
      </c>
      <c r="P88" s="1070" t="s">
        <v>1247</v>
      </c>
      <c r="Q88" s="1070"/>
      <c r="R88" s="1070" t="s">
        <v>348</v>
      </c>
      <c r="S88" s="1070" t="s">
        <v>350</v>
      </c>
      <c r="T88" s="1070"/>
      <c r="U88" s="1070" t="s">
        <v>1248</v>
      </c>
    </row>
    <row r="89" spans="12:21" x14ac:dyDescent="0.25">
      <c r="L89" s="1069" t="s">
        <v>1249</v>
      </c>
      <c r="M89" s="1068"/>
      <c r="N89" s="1068"/>
      <c r="O89" s="1068"/>
      <c r="P89" s="1068"/>
      <c r="Q89" s="1068"/>
      <c r="R89" s="1068"/>
      <c r="S89" s="1068"/>
      <c r="T89" s="1068"/>
      <c r="U89" s="1068"/>
    </row>
    <row r="90" spans="12:21" ht="15" customHeight="1" x14ac:dyDescent="0.25">
      <c r="L90" s="1067" t="s">
        <v>1521</v>
      </c>
      <c r="M90" s="1050">
        <v>27476285</v>
      </c>
      <c r="N90" s="1050">
        <v>0</v>
      </c>
      <c r="O90" s="1067" t="s">
        <v>1521</v>
      </c>
      <c r="P90" s="1050">
        <v>51650589</v>
      </c>
      <c r="Q90" s="1050">
        <v>0</v>
      </c>
      <c r="R90" s="1067" t="s">
        <v>1539</v>
      </c>
      <c r="S90" s="1050">
        <v>3067532</v>
      </c>
      <c r="T90" s="1050">
        <v>0</v>
      </c>
      <c r="U90" s="1067"/>
    </row>
    <row r="91" spans="12:21" x14ac:dyDescent="0.25">
      <c r="L91" s="1066" t="s">
        <v>1250</v>
      </c>
      <c r="M91" s="1033">
        <v>13746890</v>
      </c>
      <c r="N91" s="1033">
        <v>1</v>
      </c>
      <c r="O91" s="1066" t="s">
        <v>1538</v>
      </c>
      <c r="P91" s="1033">
        <v>0</v>
      </c>
      <c r="Q91" s="1033">
        <v>1</v>
      </c>
      <c r="R91" s="1066" t="s">
        <v>1521</v>
      </c>
      <c r="S91" s="1033">
        <v>2862445</v>
      </c>
      <c r="T91" s="1033">
        <v>0</v>
      </c>
      <c r="U91" s="1066"/>
    </row>
    <row r="92" spans="12:21" x14ac:dyDescent="0.25">
      <c r="L92" s="1066" t="s">
        <v>1251</v>
      </c>
      <c r="M92" s="1033">
        <v>11296815</v>
      </c>
      <c r="N92" s="1033">
        <v>1</v>
      </c>
      <c r="O92" s="1066" t="s">
        <v>1504</v>
      </c>
      <c r="P92" s="1033">
        <v>5094988</v>
      </c>
      <c r="Q92" s="1033">
        <v>1</v>
      </c>
      <c r="R92" s="1066" t="s">
        <v>1524</v>
      </c>
      <c r="S92" s="1033">
        <v>1456098</v>
      </c>
      <c r="T92" s="1033">
        <v>0</v>
      </c>
      <c r="U92" s="1066"/>
    </row>
    <row r="93" spans="12:21" x14ac:dyDescent="0.25">
      <c r="L93" s="1066" t="s">
        <v>1252</v>
      </c>
      <c r="M93" s="1033">
        <v>2232026</v>
      </c>
      <c r="N93" s="1033">
        <v>1</v>
      </c>
      <c r="O93" s="1066" t="s">
        <v>1537</v>
      </c>
      <c r="P93" s="1033">
        <v>6846147</v>
      </c>
      <c r="Q93" s="1033">
        <v>0</v>
      </c>
      <c r="R93" s="1066" t="s">
        <v>1536</v>
      </c>
      <c r="S93" s="1033">
        <v>821670</v>
      </c>
      <c r="T93" s="1033">
        <v>0</v>
      </c>
      <c r="U93" s="1066"/>
    </row>
    <row r="94" spans="12:21" x14ac:dyDescent="0.25">
      <c r="L94" s="1066" t="s">
        <v>1518</v>
      </c>
      <c r="M94" s="1033">
        <v>2028526</v>
      </c>
      <c r="N94" s="1033">
        <v>1</v>
      </c>
      <c r="O94" s="1066" t="s">
        <v>1535</v>
      </c>
      <c r="P94" s="1033">
        <v>4511012</v>
      </c>
      <c r="Q94" s="1033">
        <v>0</v>
      </c>
      <c r="R94" s="1066" t="s">
        <v>1252</v>
      </c>
      <c r="S94" s="1033">
        <v>400331</v>
      </c>
      <c r="T94" s="1033">
        <v>1</v>
      </c>
      <c r="U94" s="1066"/>
    </row>
    <row r="95" spans="12:21" x14ac:dyDescent="0.25">
      <c r="L95" s="1066" t="s">
        <v>1524</v>
      </c>
      <c r="M95" s="1033">
        <v>1542446</v>
      </c>
      <c r="N95" s="1033">
        <v>0</v>
      </c>
      <c r="O95" s="1066" t="s">
        <v>1252</v>
      </c>
      <c r="P95" s="1033">
        <v>2188732</v>
      </c>
      <c r="Q95" s="1033">
        <v>1</v>
      </c>
      <c r="R95" s="1066" t="s">
        <v>1257</v>
      </c>
      <c r="S95" s="1033">
        <v>759044</v>
      </c>
      <c r="T95" s="1033">
        <v>1</v>
      </c>
      <c r="U95" s="1066"/>
    </row>
    <row r="96" spans="12:21" x14ac:dyDescent="0.25">
      <c r="L96" s="1066" t="s">
        <v>1534</v>
      </c>
      <c r="M96" s="1033">
        <v>1440520</v>
      </c>
      <c r="N96" s="1033">
        <v>1</v>
      </c>
      <c r="O96" s="1066" t="s">
        <v>1533</v>
      </c>
      <c r="P96" s="1033">
        <v>3293993</v>
      </c>
      <c r="Q96" s="1033">
        <v>1</v>
      </c>
      <c r="R96" s="1066"/>
      <c r="S96" s="1033"/>
      <c r="T96" s="1033"/>
      <c r="U96" s="1066"/>
    </row>
    <row r="97" spans="12:21" x14ac:dyDescent="0.25">
      <c r="L97" s="1066" t="s">
        <v>1253</v>
      </c>
      <c r="M97" s="1033">
        <v>715401</v>
      </c>
      <c r="N97" s="1033">
        <v>1</v>
      </c>
      <c r="O97" s="1066" t="s">
        <v>1525</v>
      </c>
      <c r="P97" s="1033">
        <v>1377693</v>
      </c>
      <c r="Q97" s="1033">
        <v>1</v>
      </c>
      <c r="R97" s="1066"/>
      <c r="S97" s="1033"/>
      <c r="T97" s="1033"/>
      <c r="U97" s="1066"/>
    </row>
    <row r="98" spans="12:21" x14ac:dyDescent="0.25">
      <c r="L98" s="1066" t="s">
        <v>1532</v>
      </c>
      <c r="M98" s="1033">
        <v>2424005</v>
      </c>
      <c r="N98" s="1033">
        <v>1</v>
      </c>
      <c r="O98" s="1066" t="s">
        <v>1524</v>
      </c>
      <c r="P98" s="1033">
        <v>140265</v>
      </c>
      <c r="Q98" s="1033">
        <v>0</v>
      </c>
      <c r="R98" s="1066"/>
      <c r="S98" s="1033"/>
      <c r="T98" s="1033"/>
      <c r="U98" s="1066"/>
    </row>
    <row r="99" spans="12:21" x14ac:dyDescent="0.25">
      <c r="L99" s="1065" t="s">
        <v>1257</v>
      </c>
      <c r="M99" s="1048">
        <v>2441673</v>
      </c>
      <c r="N99" s="1048">
        <v>1</v>
      </c>
      <c r="O99" s="1065"/>
      <c r="P99" s="1048"/>
      <c r="Q99" s="1048"/>
      <c r="R99" s="1065"/>
      <c r="S99" s="1048"/>
      <c r="T99" s="1048"/>
      <c r="U99" s="1065"/>
    </row>
    <row r="100" spans="12:21" x14ac:dyDescent="0.25">
      <c r="L100" s="860" t="s">
        <v>1254</v>
      </c>
      <c r="M100" s="1032">
        <f>SUMPRODUCT(M90:M99,N90:N99)</f>
        <v>36325856</v>
      </c>
      <c r="N100" s="1032"/>
      <c r="O100" s="860" t="s">
        <v>1254</v>
      </c>
      <c r="P100" s="1032">
        <f>SUMPRODUCT(P90:P99,Q90:Q99)</f>
        <v>11955406</v>
      </c>
      <c r="Q100" s="1032"/>
      <c r="R100" s="860" t="s">
        <v>1254</v>
      </c>
      <c r="S100" s="1032">
        <f>SUMPRODUCT(S90:S99,T90:T99)</f>
        <v>1159375</v>
      </c>
      <c r="T100" s="1032"/>
      <c r="U100" s="1032">
        <f>M100+P100+S100</f>
        <v>49440637</v>
      </c>
    </row>
    <row r="101" spans="12:21" x14ac:dyDescent="0.25">
      <c r="L101" s="1069" t="s">
        <v>1241</v>
      </c>
      <c r="M101" s="1068"/>
      <c r="N101" s="1068"/>
      <c r="O101" s="1068"/>
      <c r="P101" s="1068"/>
      <c r="Q101" s="1068"/>
      <c r="R101" s="1068"/>
      <c r="S101" s="1068"/>
      <c r="T101" s="1068"/>
      <c r="U101" s="1068"/>
    </row>
    <row r="102" spans="12:21" x14ac:dyDescent="0.25">
      <c r="L102" s="1067" t="s">
        <v>1250</v>
      </c>
      <c r="M102" s="1050">
        <v>5780502</v>
      </c>
      <c r="N102" s="1050">
        <v>1</v>
      </c>
      <c r="O102" s="1067" t="s">
        <v>1531</v>
      </c>
      <c r="P102" s="1050">
        <v>265882</v>
      </c>
      <c r="Q102" s="1033">
        <v>1</v>
      </c>
      <c r="R102" s="1067" t="s">
        <v>1530</v>
      </c>
      <c r="S102" s="1050">
        <v>0</v>
      </c>
      <c r="T102" s="1033">
        <v>1</v>
      </c>
      <c r="U102" s="1067"/>
    </row>
    <row r="103" spans="12:21" x14ac:dyDescent="0.25">
      <c r="L103" s="1066" t="s">
        <v>1251</v>
      </c>
      <c r="M103" s="1033">
        <v>2797162</v>
      </c>
      <c r="N103" s="1033">
        <v>1</v>
      </c>
      <c r="O103" s="1066" t="s">
        <v>1529</v>
      </c>
      <c r="P103" s="1033">
        <v>0</v>
      </c>
      <c r="Q103" s="1033">
        <v>1</v>
      </c>
      <c r="R103" s="1066" t="s">
        <v>1252</v>
      </c>
      <c r="S103" s="1033">
        <v>0</v>
      </c>
      <c r="T103" s="1033">
        <v>1</v>
      </c>
      <c r="U103" s="1066"/>
    </row>
    <row r="104" spans="12:21" x14ac:dyDescent="0.25">
      <c r="L104" s="1066" t="s">
        <v>1253</v>
      </c>
      <c r="M104" s="1033">
        <v>79568</v>
      </c>
      <c r="N104" s="1033">
        <v>1</v>
      </c>
      <c r="O104" s="1066" t="s">
        <v>1252</v>
      </c>
      <c r="P104" s="1033">
        <v>149582</v>
      </c>
      <c r="Q104" s="1033">
        <v>1</v>
      </c>
      <c r="R104" s="1066" t="s">
        <v>1528</v>
      </c>
      <c r="S104" s="1033">
        <v>94099</v>
      </c>
      <c r="T104" s="1033">
        <v>1</v>
      </c>
      <c r="U104" s="1066"/>
    </row>
    <row r="105" spans="12:21" x14ac:dyDescent="0.25">
      <c r="L105" s="1066" t="s">
        <v>1527</v>
      </c>
      <c r="M105" s="1033">
        <v>99099</v>
      </c>
      <c r="N105" s="1033">
        <v>1</v>
      </c>
      <c r="O105" s="1066" t="s">
        <v>1526</v>
      </c>
      <c r="P105" s="1033">
        <v>151965</v>
      </c>
      <c r="Q105" s="1033">
        <v>1</v>
      </c>
      <c r="R105" s="1066" t="s">
        <v>1525</v>
      </c>
      <c r="S105" s="1033">
        <v>149501</v>
      </c>
      <c r="T105" s="1033">
        <v>1</v>
      </c>
      <c r="U105" s="1066"/>
    </row>
    <row r="106" spans="12:21" x14ac:dyDescent="0.25">
      <c r="L106" s="1066" t="s">
        <v>1524</v>
      </c>
      <c r="M106" s="1033">
        <v>645133</v>
      </c>
      <c r="N106" s="1033">
        <v>0</v>
      </c>
      <c r="O106" s="1066" t="s">
        <v>1523</v>
      </c>
      <c r="P106" s="1033">
        <v>7335</v>
      </c>
      <c r="Q106" s="1033">
        <v>1</v>
      </c>
      <c r="R106" s="1066" t="s">
        <v>1522</v>
      </c>
      <c r="S106" s="1033">
        <v>41808</v>
      </c>
      <c r="T106" s="1033">
        <v>1</v>
      </c>
      <c r="U106" s="1066"/>
    </row>
    <row r="107" spans="12:21" x14ac:dyDescent="0.25">
      <c r="L107" s="1066" t="s">
        <v>1521</v>
      </c>
      <c r="M107" s="1033">
        <v>235824</v>
      </c>
      <c r="N107" s="1033">
        <v>0</v>
      </c>
      <c r="O107" s="1066" t="s">
        <v>1520</v>
      </c>
      <c r="P107" s="1033">
        <v>91550</v>
      </c>
      <c r="Q107" s="1033">
        <v>1</v>
      </c>
      <c r="R107" s="1066" t="s">
        <v>1519</v>
      </c>
      <c r="S107" s="1033">
        <v>12055</v>
      </c>
      <c r="T107" s="1033">
        <v>1</v>
      </c>
      <c r="U107" s="1066"/>
    </row>
    <row r="108" spans="12:21" x14ac:dyDescent="0.25">
      <c r="L108" s="1066" t="s">
        <v>1518</v>
      </c>
      <c r="M108" s="1033">
        <v>55023</v>
      </c>
      <c r="N108" s="1033">
        <v>1</v>
      </c>
      <c r="O108" s="1066" t="s">
        <v>1517</v>
      </c>
      <c r="P108" s="1033">
        <v>51973</v>
      </c>
      <c r="Q108" s="1033">
        <v>1</v>
      </c>
      <c r="R108" s="1066" t="s">
        <v>1250</v>
      </c>
      <c r="S108" s="1033">
        <v>7105</v>
      </c>
      <c r="T108" s="1033">
        <v>1</v>
      </c>
      <c r="U108" s="1066"/>
    </row>
    <row r="109" spans="12:21" x14ac:dyDescent="0.25">
      <c r="L109" s="1065" t="s">
        <v>1257</v>
      </c>
      <c r="M109" s="1048">
        <v>1934233</v>
      </c>
      <c r="N109" s="1048">
        <v>1</v>
      </c>
      <c r="O109" s="1065" t="s">
        <v>1257</v>
      </c>
      <c r="P109" s="1048">
        <v>386293</v>
      </c>
      <c r="Q109" s="1033">
        <v>1</v>
      </c>
      <c r="R109" s="1065" t="s">
        <v>1257</v>
      </c>
      <c r="S109" s="1048">
        <v>25305</v>
      </c>
      <c r="T109" s="1033">
        <v>1</v>
      </c>
      <c r="U109" s="1065"/>
    </row>
    <row r="110" spans="12:21" x14ac:dyDescent="0.25">
      <c r="L110" s="860" t="s">
        <v>1254</v>
      </c>
      <c r="M110" s="1032">
        <f>SUMPRODUCT(M102:M109,N102:N109)</f>
        <v>10745587</v>
      </c>
      <c r="N110" s="1032"/>
      <c r="O110" s="860" t="s">
        <v>1254</v>
      </c>
      <c r="P110" s="1032">
        <f>SUMPRODUCT(P102:P109,Q102:Q109)</f>
        <v>1104580</v>
      </c>
      <c r="Q110" s="1032"/>
      <c r="R110" s="860" t="s">
        <v>1254</v>
      </c>
      <c r="S110" s="1032">
        <f>SUMPRODUCT(S102:S109,T102:T109)</f>
        <v>329873</v>
      </c>
      <c r="T110" s="1032"/>
      <c r="U110" s="1032">
        <f>M110+P110+S110</f>
        <v>12180040</v>
      </c>
    </row>
    <row r="111" spans="12:21" x14ac:dyDescent="0.25">
      <c r="L111" s="1064" t="s">
        <v>1227</v>
      </c>
      <c r="M111" s="1052">
        <f>M100+M110</f>
        <v>47071443</v>
      </c>
      <c r="N111" s="1052"/>
      <c r="O111" s="1064" t="s">
        <v>1227</v>
      </c>
      <c r="P111" s="1052">
        <f>P100+P110</f>
        <v>13059986</v>
      </c>
      <c r="Q111" s="1052"/>
      <c r="R111" s="1064" t="s">
        <v>1227</v>
      </c>
      <c r="S111" s="1052">
        <f>S100+S110</f>
        <v>1489248</v>
      </c>
      <c r="T111" s="1052"/>
      <c r="U111" s="1052">
        <f>U100+U110</f>
        <v>61620677</v>
      </c>
    </row>
    <row r="112" spans="12:21" x14ac:dyDescent="0.25">
      <c r="M112" s="287"/>
      <c r="N112" s="287"/>
      <c r="P112" s="287"/>
      <c r="Q112" s="287"/>
      <c r="S112" s="287"/>
      <c r="T112" s="287"/>
    </row>
    <row r="113" spans="12:21" ht="21" customHeight="1" x14ac:dyDescent="0.25">
      <c r="L113" s="1644">
        <v>2023</v>
      </c>
      <c r="M113" s="1644"/>
      <c r="N113" s="1644"/>
      <c r="O113" s="1644"/>
      <c r="P113" s="1644"/>
      <c r="Q113" s="1644"/>
      <c r="R113" s="1644"/>
      <c r="S113" s="1644"/>
      <c r="T113" s="1644"/>
      <c r="U113" s="1644"/>
    </row>
    <row r="114" spans="12:21" ht="15.75" thickBot="1" x14ac:dyDescent="0.3">
      <c r="L114" s="1656"/>
      <c r="M114" s="1656"/>
      <c r="N114" s="1656"/>
      <c r="O114" s="1656"/>
      <c r="P114" s="1656"/>
      <c r="Q114" s="1656"/>
      <c r="R114" s="1656"/>
      <c r="S114" s="1656"/>
      <c r="T114" s="1656"/>
      <c r="U114" s="1656"/>
    </row>
    <row r="115" spans="12:21" ht="15.75" x14ac:dyDescent="0.25">
      <c r="L115" s="1070" t="s">
        <v>348</v>
      </c>
      <c r="M115" s="1070" t="s">
        <v>351</v>
      </c>
      <c r="N115" s="1070"/>
      <c r="O115" s="1070" t="s">
        <v>348</v>
      </c>
      <c r="P115" s="1070" t="s">
        <v>1247</v>
      </c>
      <c r="Q115" s="1070"/>
      <c r="R115" s="1070" t="s">
        <v>348</v>
      </c>
      <c r="S115" s="1070" t="s">
        <v>350</v>
      </c>
      <c r="T115" s="1070"/>
      <c r="U115" s="1070" t="s">
        <v>1248</v>
      </c>
    </row>
    <row r="116" spans="12:21" x14ac:dyDescent="0.25">
      <c r="L116" s="1069" t="s">
        <v>1249</v>
      </c>
      <c r="M116" s="1068"/>
      <c r="N116" s="1068"/>
      <c r="O116" s="1068"/>
      <c r="P116" s="1068"/>
      <c r="Q116" s="1068"/>
      <c r="R116" s="1068"/>
      <c r="S116" s="1068"/>
      <c r="T116" s="1068"/>
      <c r="U116" s="1068"/>
    </row>
    <row r="117" spans="12:21" x14ac:dyDescent="0.25">
      <c r="L117" s="1067" t="s">
        <v>1521</v>
      </c>
      <c r="M117" s="1050">
        <v>28080903</v>
      </c>
      <c r="N117" s="1050">
        <v>0</v>
      </c>
      <c r="O117" s="1067" t="s">
        <v>1521</v>
      </c>
      <c r="P117" s="1050">
        <v>56290106</v>
      </c>
      <c r="Q117" s="1050">
        <v>0</v>
      </c>
      <c r="R117" s="1067" t="s">
        <v>1539</v>
      </c>
      <c r="S117" s="1050">
        <v>4372690</v>
      </c>
      <c r="T117" s="1050">
        <v>0</v>
      </c>
      <c r="U117" s="1067"/>
    </row>
    <row r="118" spans="12:21" x14ac:dyDescent="0.25">
      <c r="L118" s="1066" t="s">
        <v>1250</v>
      </c>
      <c r="M118" s="1033">
        <v>16499832</v>
      </c>
      <c r="N118" s="1033">
        <v>1</v>
      </c>
      <c r="O118" s="1066" t="s">
        <v>1538</v>
      </c>
      <c r="P118" s="1033">
        <v>15299432</v>
      </c>
      <c r="Q118" s="1033">
        <v>0</v>
      </c>
      <c r="R118" s="1066" t="s">
        <v>1521</v>
      </c>
      <c r="S118" s="1033">
        <v>2949928</v>
      </c>
      <c r="T118" s="1033">
        <v>0</v>
      </c>
      <c r="U118" s="1066"/>
    </row>
    <row r="119" spans="12:21" x14ac:dyDescent="0.25">
      <c r="L119" s="1066" t="s">
        <v>1251</v>
      </c>
      <c r="M119" s="1033">
        <v>11647537</v>
      </c>
      <c r="N119" s="1033">
        <v>1</v>
      </c>
      <c r="O119" s="1066" t="s">
        <v>1504</v>
      </c>
      <c r="P119" s="1033">
        <v>6561640</v>
      </c>
      <c r="Q119" s="1033">
        <v>1</v>
      </c>
      <c r="R119" s="1066" t="s">
        <v>1524</v>
      </c>
      <c r="S119" s="1033">
        <v>1343613</v>
      </c>
      <c r="T119" s="1033">
        <v>0</v>
      </c>
      <c r="U119" s="1066"/>
    </row>
    <row r="120" spans="12:21" x14ac:dyDescent="0.25">
      <c r="L120" s="1066" t="s">
        <v>1252</v>
      </c>
      <c r="M120" s="1033">
        <v>2322869</v>
      </c>
      <c r="N120" s="1033">
        <v>1</v>
      </c>
      <c r="O120" s="1066" t="s">
        <v>1537</v>
      </c>
      <c r="P120" s="1033">
        <v>6017081</v>
      </c>
      <c r="Q120" s="1033">
        <v>0</v>
      </c>
      <c r="R120" s="1066" t="s">
        <v>1536</v>
      </c>
      <c r="S120" s="1033">
        <v>1103500</v>
      </c>
      <c r="T120" s="1033">
        <v>0</v>
      </c>
      <c r="U120" s="1066"/>
    </row>
    <row r="121" spans="12:21" x14ac:dyDescent="0.25">
      <c r="L121" s="1066" t="s">
        <v>1518</v>
      </c>
      <c r="M121" s="1033">
        <v>2129964</v>
      </c>
      <c r="N121" s="1033">
        <v>1</v>
      </c>
      <c r="O121" s="1066" t="s">
        <v>1535</v>
      </c>
      <c r="P121" s="1033">
        <v>5577389</v>
      </c>
      <c r="Q121" s="1033">
        <v>0</v>
      </c>
      <c r="R121" s="1066" t="s">
        <v>1252</v>
      </c>
      <c r="S121" s="1033">
        <v>401505</v>
      </c>
      <c r="T121" s="1033">
        <v>1</v>
      </c>
      <c r="U121" s="1066"/>
    </row>
    <row r="122" spans="12:21" x14ac:dyDescent="0.25">
      <c r="L122" s="1066" t="s">
        <v>1524</v>
      </c>
      <c r="M122" s="1033">
        <v>1727701</v>
      </c>
      <c r="N122" s="1033">
        <v>0</v>
      </c>
      <c r="O122" s="1066" t="s">
        <v>1252</v>
      </c>
      <c r="P122" s="1033">
        <v>2559736</v>
      </c>
      <c r="Q122" s="1033">
        <v>1</v>
      </c>
      <c r="R122" s="1066" t="s">
        <v>1257</v>
      </c>
      <c r="S122" s="1033">
        <v>552861</v>
      </c>
      <c r="T122" s="1033">
        <v>1</v>
      </c>
      <c r="U122" s="1066"/>
    </row>
    <row r="123" spans="12:21" x14ac:dyDescent="0.25">
      <c r="L123" s="1066" t="s">
        <v>1534</v>
      </c>
      <c r="M123" s="1033">
        <v>1571606</v>
      </c>
      <c r="N123" s="1033">
        <v>1</v>
      </c>
      <c r="O123" s="1066" t="s">
        <v>1533</v>
      </c>
      <c r="P123" s="1033">
        <v>2310297</v>
      </c>
      <c r="Q123" s="1033">
        <v>1</v>
      </c>
      <c r="R123" s="1066"/>
      <c r="S123" s="1033"/>
      <c r="T123" s="1033"/>
      <c r="U123" s="1066"/>
    </row>
    <row r="124" spans="12:21" x14ac:dyDescent="0.25">
      <c r="L124" s="1066" t="s">
        <v>1253</v>
      </c>
      <c r="M124" s="1033">
        <v>957867</v>
      </c>
      <c r="N124" s="1033">
        <v>1</v>
      </c>
      <c r="O124" s="1066" t="s">
        <v>1525</v>
      </c>
      <c r="P124" s="1033">
        <v>1758815</v>
      </c>
      <c r="Q124" s="1033">
        <v>1</v>
      </c>
      <c r="R124" s="1066"/>
      <c r="S124" s="1033"/>
      <c r="T124" s="1033"/>
      <c r="U124" s="1066"/>
    </row>
    <row r="125" spans="12:21" x14ac:dyDescent="0.25">
      <c r="L125" s="1066" t="s">
        <v>1532</v>
      </c>
      <c r="M125" s="1033">
        <v>232151</v>
      </c>
      <c r="N125" s="1033">
        <v>1</v>
      </c>
      <c r="O125" s="1066" t="s">
        <v>1524</v>
      </c>
      <c r="P125" s="1033">
        <v>123365</v>
      </c>
      <c r="Q125" s="1033">
        <v>0</v>
      </c>
      <c r="R125" s="1066"/>
      <c r="S125" s="1033"/>
      <c r="T125" s="1033"/>
      <c r="U125" s="1066"/>
    </row>
    <row r="126" spans="12:21" x14ac:dyDescent="0.25">
      <c r="L126" s="1065" t="s">
        <v>1257</v>
      </c>
      <c r="M126" s="1048">
        <v>3894177</v>
      </c>
      <c r="N126" s="1048">
        <v>1</v>
      </c>
      <c r="O126" s="1065"/>
      <c r="P126" s="1048"/>
      <c r="Q126" s="1048"/>
      <c r="R126" s="1065"/>
      <c r="S126" s="1048"/>
      <c r="T126" s="1048"/>
      <c r="U126" s="1065"/>
    </row>
    <row r="127" spans="12:21" x14ac:dyDescent="0.25">
      <c r="L127" s="860" t="s">
        <v>1254</v>
      </c>
      <c r="M127" s="1032">
        <f>SUMPRODUCT(M117:M126,N117:N126)</f>
        <v>39256003</v>
      </c>
      <c r="N127" s="1032"/>
      <c r="O127" s="860" t="s">
        <v>1254</v>
      </c>
      <c r="P127" s="1032">
        <f>SUMPRODUCT(P117:P126,Q117:Q126)</f>
        <v>13190488</v>
      </c>
      <c r="Q127" s="1032"/>
      <c r="R127" s="860" t="s">
        <v>1254</v>
      </c>
      <c r="S127" s="1032">
        <f>SUMPRODUCT(S117:S126,T117:T126)</f>
        <v>954366</v>
      </c>
      <c r="T127" s="1032"/>
      <c r="U127" s="1032">
        <f>M127+P127+S127</f>
        <v>53400857</v>
      </c>
    </row>
    <row r="128" spans="12:21" x14ac:dyDescent="0.25">
      <c r="L128" s="1069" t="s">
        <v>1241</v>
      </c>
      <c r="M128" s="1068"/>
      <c r="N128" s="1068"/>
      <c r="O128" s="1068"/>
      <c r="P128" s="1068"/>
      <c r="Q128" s="1068"/>
      <c r="R128" s="1068"/>
      <c r="S128" s="1068"/>
      <c r="T128" s="1068"/>
      <c r="U128" s="1068"/>
    </row>
    <row r="129" spans="12:21" x14ac:dyDescent="0.25">
      <c r="L129" s="1067" t="s">
        <v>1250</v>
      </c>
      <c r="M129" s="1050">
        <v>7391929</v>
      </c>
      <c r="N129" s="1050">
        <v>1</v>
      </c>
      <c r="O129" s="1067" t="s">
        <v>1531</v>
      </c>
      <c r="P129" s="1050">
        <v>1051680</v>
      </c>
      <c r="Q129" s="1033">
        <v>1</v>
      </c>
      <c r="R129" s="1067" t="s">
        <v>1530</v>
      </c>
      <c r="S129" s="1050">
        <v>105081</v>
      </c>
      <c r="T129" s="1033">
        <v>1</v>
      </c>
      <c r="U129" s="1067"/>
    </row>
    <row r="130" spans="12:21" x14ac:dyDescent="0.25">
      <c r="L130" s="1066" t="s">
        <v>1251</v>
      </c>
      <c r="M130" s="1033">
        <v>3531634</v>
      </c>
      <c r="N130" s="1033">
        <v>1</v>
      </c>
      <c r="O130" s="1066" t="s">
        <v>1529</v>
      </c>
      <c r="P130" s="1033">
        <v>717894</v>
      </c>
      <c r="Q130" s="1033">
        <v>1</v>
      </c>
      <c r="R130" s="1066" t="s">
        <v>1252</v>
      </c>
      <c r="S130" s="1033">
        <v>68448</v>
      </c>
      <c r="T130" s="1033">
        <v>1</v>
      </c>
      <c r="U130" s="1066"/>
    </row>
    <row r="131" spans="12:21" ht="15" customHeight="1" x14ac:dyDescent="0.25">
      <c r="L131" s="1066" t="s">
        <v>1253</v>
      </c>
      <c r="M131" s="1033">
        <v>464385</v>
      </c>
      <c r="N131" s="1033">
        <v>1</v>
      </c>
      <c r="O131" s="1066" t="s">
        <v>1252</v>
      </c>
      <c r="P131" s="1033">
        <v>174640</v>
      </c>
      <c r="Q131" s="1033">
        <v>1</v>
      </c>
      <c r="R131" s="1066" t="s">
        <v>1528</v>
      </c>
      <c r="S131" s="1033">
        <v>62434</v>
      </c>
      <c r="T131" s="1033">
        <v>1</v>
      </c>
      <c r="U131" s="1066"/>
    </row>
    <row r="132" spans="12:21" x14ac:dyDescent="0.25">
      <c r="L132" s="1066" t="s">
        <v>1527</v>
      </c>
      <c r="M132" s="1033">
        <v>422928</v>
      </c>
      <c r="N132" s="1033">
        <v>1</v>
      </c>
      <c r="O132" s="1066" t="s">
        <v>1526</v>
      </c>
      <c r="P132" s="1033">
        <v>164942</v>
      </c>
      <c r="Q132" s="1033">
        <v>1</v>
      </c>
      <c r="R132" s="1066" t="s">
        <v>1525</v>
      </c>
      <c r="S132" s="1033">
        <v>41986</v>
      </c>
      <c r="T132" s="1033">
        <v>1</v>
      </c>
      <c r="U132" s="1066"/>
    </row>
    <row r="133" spans="12:21" x14ac:dyDescent="0.25">
      <c r="L133" s="1066" t="s">
        <v>1524</v>
      </c>
      <c r="M133" s="1033">
        <v>387556</v>
      </c>
      <c r="N133" s="1033">
        <v>0</v>
      </c>
      <c r="O133" s="1066" t="s">
        <v>1523</v>
      </c>
      <c r="P133" s="1033">
        <v>47795</v>
      </c>
      <c r="Q133" s="1033">
        <v>1</v>
      </c>
      <c r="R133" s="1066" t="s">
        <v>1522</v>
      </c>
      <c r="S133" s="1033">
        <v>9791</v>
      </c>
      <c r="T133" s="1033">
        <v>1</v>
      </c>
      <c r="U133" s="1066"/>
    </row>
    <row r="134" spans="12:21" x14ac:dyDescent="0.25">
      <c r="L134" s="1066" t="s">
        <v>1521</v>
      </c>
      <c r="M134" s="1033">
        <v>258739</v>
      </c>
      <c r="N134" s="1033">
        <v>0</v>
      </c>
      <c r="O134" s="1066" t="s">
        <v>1520</v>
      </c>
      <c r="P134" s="1033">
        <v>44385</v>
      </c>
      <c r="Q134" s="1033">
        <v>1</v>
      </c>
      <c r="R134" s="1066" t="s">
        <v>1519</v>
      </c>
      <c r="S134" s="1033">
        <v>6003</v>
      </c>
      <c r="T134" s="1033">
        <v>1</v>
      </c>
      <c r="U134" s="1066"/>
    </row>
    <row r="135" spans="12:21" x14ac:dyDescent="0.25">
      <c r="L135" s="1066" t="s">
        <v>1518</v>
      </c>
      <c r="M135" s="1033">
        <v>46151</v>
      </c>
      <c r="N135" s="1033">
        <v>1</v>
      </c>
      <c r="O135" s="1066" t="s">
        <v>1517</v>
      </c>
      <c r="P135" s="1033">
        <v>0</v>
      </c>
      <c r="Q135" s="1033">
        <v>1</v>
      </c>
      <c r="R135" s="1066" t="s">
        <v>1250</v>
      </c>
      <c r="S135" s="1033">
        <v>0</v>
      </c>
      <c r="T135" s="1033">
        <v>1</v>
      </c>
      <c r="U135" s="1066"/>
    </row>
    <row r="136" spans="12:21" x14ac:dyDescent="0.25">
      <c r="L136" s="1065" t="s">
        <v>1257</v>
      </c>
      <c r="M136" s="1048">
        <v>2700767</v>
      </c>
      <c r="N136" s="1048">
        <v>1</v>
      </c>
      <c r="O136" s="1065" t="s">
        <v>1257</v>
      </c>
      <c r="P136" s="1048">
        <v>450536</v>
      </c>
      <c r="Q136" s="1033">
        <v>1</v>
      </c>
      <c r="R136" s="1065" t="s">
        <v>1257</v>
      </c>
      <c r="S136" s="1048">
        <v>23160</v>
      </c>
      <c r="T136" s="1033">
        <v>1</v>
      </c>
      <c r="U136" s="1065"/>
    </row>
    <row r="137" spans="12:21" x14ac:dyDescent="0.25">
      <c r="L137" s="860" t="s">
        <v>1254</v>
      </c>
      <c r="M137" s="1032">
        <f>SUMPRODUCT(M129:M136,N129:N136)</f>
        <v>14557794</v>
      </c>
      <c r="N137" s="1032"/>
      <c r="O137" s="860" t="s">
        <v>1254</v>
      </c>
      <c r="P137" s="1032">
        <f>SUMPRODUCT(P129:P136,Q129:Q136)</f>
        <v>2651872</v>
      </c>
      <c r="Q137" s="1032"/>
      <c r="R137" s="860" t="s">
        <v>1254</v>
      </c>
      <c r="S137" s="1032">
        <f>SUMPRODUCT(S129:S136,T129:T136)</f>
        <v>316903</v>
      </c>
      <c r="T137" s="1032"/>
      <c r="U137" s="1032">
        <f>M137+P137+S137</f>
        <v>17526569</v>
      </c>
    </row>
    <row r="138" spans="12:21" x14ac:dyDescent="0.25">
      <c r="L138" s="1064" t="s">
        <v>1227</v>
      </c>
      <c r="M138" s="1052">
        <f>M127+M137</f>
        <v>53813797</v>
      </c>
      <c r="N138" s="1052"/>
      <c r="O138" s="1064" t="s">
        <v>1227</v>
      </c>
      <c r="P138" s="1052">
        <f>P127+P137</f>
        <v>15842360</v>
      </c>
      <c r="Q138" s="1052"/>
      <c r="R138" s="1064" t="s">
        <v>1227</v>
      </c>
      <c r="S138" s="1052">
        <f>S127+S137</f>
        <v>1271269</v>
      </c>
      <c r="T138" s="1052"/>
      <c r="U138" s="1052">
        <f>U127+U137</f>
        <v>70927426</v>
      </c>
    </row>
    <row r="139" spans="12:21" x14ac:dyDescent="0.25">
      <c r="M139" s="287"/>
      <c r="N139" s="287"/>
      <c r="P139" s="287"/>
      <c r="Q139" s="287"/>
      <c r="S139" s="287"/>
      <c r="T139" s="287"/>
    </row>
    <row r="145" spans="15:15" x14ac:dyDescent="0.25">
      <c r="O145" s="1063" t="s">
        <v>1516</v>
      </c>
    </row>
  </sheetData>
  <mergeCells count="18">
    <mergeCell ref="B22:B24"/>
    <mergeCell ref="B13:B15"/>
    <mergeCell ref="B16:B18"/>
    <mergeCell ref="B19:B21"/>
    <mergeCell ref="C35:D35"/>
    <mergeCell ref="L59:U60"/>
    <mergeCell ref="L86:U87"/>
    <mergeCell ref="L113:U114"/>
    <mergeCell ref="C47:D47"/>
    <mergeCell ref="C48:D48"/>
    <mergeCell ref="C49:C50"/>
    <mergeCell ref="C41:D41"/>
    <mergeCell ref="C42:D42"/>
    <mergeCell ref="C43:C44"/>
    <mergeCell ref="L2:U3"/>
    <mergeCell ref="L31:U32"/>
    <mergeCell ref="C36:D36"/>
    <mergeCell ref="C37:C38"/>
  </mergeCells>
  <conditionalFormatting sqref="U5">
    <cfRule type="duplicateValues" dxfId="9" priority="4"/>
  </conditionalFormatting>
  <conditionalFormatting sqref="U18">
    <cfRule type="duplicateValues" dxfId="8" priority="3"/>
  </conditionalFormatting>
  <conditionalFormatting sqref="U34">
    <cfRule type="duplicateValues" dxfId="7" priority="2"/>
  </conditionalFormatting>
  <conditionalFormatting sqref="U47">
    <cfRule type="duplicateValues" dxfId="6" priority="1"/>
  </conditionalFormatting>
  <conditionalFormatting sqref="U62">
    <cfRule type="duplicateValues" dxfId="5" priority="6"/>
  </conditionalFormatting>
  <conditionalFormatting sqref="U74">
    <cfRule type="duplicateValues" dxfId="4" priority="5"/>
  </conditionalFormatting>
  <conditionalFormatting sqref="U89">
    <cfRule type="duplicateValues" dxfId="3" priority="8"/>
  </conditionalFormatting>
  <conditionalFormatting sqref="U101">
    <cfRule type="duplicateValues" dxfId="2" priority="7"/>
  </conditionalFormatting>
  <conditionalFormatting sqref="U116 U85">
    <cfRule type="duplicateValues" dxfId="1" priority="10"/>
  </conditionalFormatting>
  <conditionalFormatting sqref="U128">
    <cfRule type="duplicateValues" dxfId="0" priority="9"/>
  </conditionalFormatting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20"/>
  <sheetViews>
    <sheetView workbookViewId="0">
      <selection activeCell="AC15" sqref="AC15"/>
    </sheetView>
  </sheetViews>
  <sheetFormatPr baseColWidth="10" defaultColWidth="11.42578125" defaultRowHeight="15" x14ac:dyDescent="0.25"/>
  <cols>
    <col min="1" max="1" width="7.85546875" customWidth="1"/>
    <col min="2" max="2" width="26.140625" hidden="1" customWidth="1"/>
    <col min="3" max="4" width="14" hidden="1" customWidth="1"/>
    <col min="5" max="5" width="0" hidden="1" customWidth="1"/>
    <col min="6" max="6" width="26.140625" hidden="1" customWidth="1"/>
    <col min="7" max="8" width="14" hidden="1" customWidth="1"/>
    <col min="9" max="9" width="0" hidden="1" customWidth="1"/>
    <col min="10" max="10" width="26.5703125" customWidth="1"/>
    <col min="11" max="12" width="14.140625" customWidth="1"/>
    <col min="13" max="13" width="5.42578125" customWidth="1"/>
    <col min="14" max="14" width="24.28515625" bestFit="1" customWidth="1"/>
    <col min="16" max="16" width="13.5703125" bestFit="1" customWidth="1"/>
    <col min="17" max="17" width="6" customWidth="1"/>
    <col min="18" max="18" width="24.28515625" bestFit="1" customWidth="1"/>
    <col min="20" max="20" width="13.5703125" bestFit="1" customWidth="1"/>
    <col min="21" max="21" width="5.7109375" customWidth="1"/>
    <col min="22" max="22" width="24.28515625" bestFit="1" customWidth="1"/>
    <col min="23" max="23" width="13.28515625" bestFit="1" customWidth="1"/>
    <col min="24" max="24" width="7.5703125" customWidth="1"/>
    <col min="25" max="25" width="24.28515625" bestFit="1" customWidth="1"/>
    <col min="26" max="26" width="12.7109375" bestFit="1" customWidth="1"/>
    <col min="28" max="28" width="13.5703125" bestFit="1" customWidth="1"/>
    <col min="29" max="29" width="13.5703125" customWidth="1"/>
    <col min="30" max="30" width="6.5703125" customWidth="1"/>
    <col min="31" max="31" width="26.140625" bestFit="1" customWidth="1"/>
  </cols>
  <sheetData>
    <row r="1" spans="1:32" x14ac:dyDescent="0.25">
      <c r="A1" t="s">
        <v>1821</v>
      </c>
      <c r="Y1" s="1125" t="s">
        <v>1550</v>
      </c>
    </row>
    <row r="2" spans="1:32" ht="21.75" thickBot="1" x14ac:dyDescent="0.3">
      <c r="B2" s="1656">
        <v>2019</v>
      </c>
      <c r="C2" s="1656"/>
      <c r="D2" s="1656"/>
      <c r="E2" s="830"/>
      <c r="F2" s="1656">
        <v>2020</v>
      </c>
      <c r="G2" s="1656"/>
      <c r="H2" s="1656"/>
      <c r="I2" s="830"/>
      <c r="J2" s="1656">
        <v>2021</v>
      </c>
      <c r="K2" s="1656"/>
      <c r="L2" s="1656"/>
      <c r="N2" s="1656">
        <v>2022</v>
      </c>
      <c r="O2" s="1656"/>
      <c r="P2" s="1656"/>
      <c r="R2" s="1644">
        <v>2023</v>
      </c>
      <c r="S2" s="1644"/>
      <c r="T2" s="1644"/>
      <c r="V2" s="1644">
        <v>2018</v>
      </c>
      <c r="W2" s="1644"/>
      <c r="Y2" s="1124"/>
      <c r="Z2" s="1657" t="s">
        <v>1549</v>
      </c>
      <c r="AA2" s="1657"/>
      <c r="AB2" s="965">
        <v>2017</v>
      </c>
      <c r="AC2" s="965"/>
    </row>
    <row r="3" spans="1:32" ht="16.5" thickBot="1" x14ac:dyDescent="0.3">
      <c r="B3" s="1028" t="s">
        <v>348</v>
      </c>
      <c r="C3" s="1028" t="s">
        <v>349</v>
      </c>
      <c r="D3" s="1028" t="s">
        <v>351</v>
      </c>
      <c r="F3" s="1028" t="s">
        <v>348</v>
      </c>
      <c r="G3" s="1028" t="s">
        <v>349</v>
      </c>
      <c r="H3" s="1028" t="s">
        <v>351</v>
      </c>
      <c r="J3" s="1028" t="s">
        <v>348</v>
      </c>
      <c r="K3" s="1028" t="s">
        <v>349</v>
      </c>
      <c r="L3" s="1028" t="s">
        <v>351</v>
      </c>
      <c r="N3" s="1028" t="s">
        <v>348</v>
      </c>
      <c r="O3" s="1028" t="s">
        <v>349</v>
      </c>
      <c r="P3" s="1028" t="s">
        <v>351</v>
      </c>
      <c r="R3" s="1028" t="s">
        <v>348</v>
      </c>
      <c r="S3" s="1028" t="s">
        <v>349</v>
      </c>
      <c r="T3" s="1028" t="s">
        <v>351</v>
      </c>
      <c r="V3" s="1028" t="s">
        <v>348</v>
      </c>
      <c r="W3" s="1028" t="s">
        <v>1472</v>
      </c>
      <c r="Y3" s="1028" t="s">
        <v>348</v>
      </c>
      <c r="Z3" s="1113" t="s">
        <v>349</v>
      </c>
      <c r="AA3" s="1113" t="s">
        <v>351</v>
      </c>
      <c r="AB3" s="1028" t="s">
        <v>1472</v>
      </c>
      <c r="AC3" s="1112" t="s">
        <v>1259</v>
      </c>
      <c r="AE3" s="1123" t="s">
        <v>348</v>
      </c>
      <c r="AF3" s="1123" t="s">
        <v>1548</v>
      </c>
    </row>
    <row r="4" spans="1:32" x14ac:dyDescent="0.25">
      <c r="B4" s="1061" t="s">
        <v>1231</v>
      </c>
      <c r="C4" s="1104">
        <f>+Transelec!D7/100</f>
        <v>7.399236491130703E-3</v>
      </c>
      <c r="D4" s="1104">
        <f>+'ISA REP'!E8/100</f>
        <v>6.9105341721842116E-3</v>
      </c>
      <c r="F4" s="1061" t="s">
        <v>1231</v>
      </c>
      <c r="G4" s="1104">
        <f>+Transelec!E7/100</f>
        <v>6.7100328728735229E-3</v>
      </c>
      <c r="H4" s="1104">
        <f>+'ISA REP'!F8/100</f>
        <v>6.7811814419684391E-3</v>
      </c>
      <c r="J4" s="1061" t="s">
        <v>1231</v>
      </c>
      <c r="K4" s="1104">
        <f>+Transelec!F7/100</f>
        <v>7.6519859201147119E-3</v>
      </c>
      <c r="L4" s="1104">
        <f>+'ISA REP'!G8/100</f>
        <v>4.6644252572255887E-3</v>
      </c>
      <c r="N4" s="1061" t="s">
        <v>1231</v>
      </c>
      <c r="O4" s="1104">
        <f>+Transelec!G7/100</f>
        <v>9.2537299653361917E-3</v>
      </c>
      <c r="P4" s="1104">
        <f>+'ISA REP'!H8/100</f>
        <v>5.2558090857588438E-3</v>
      </c>
      <c r="R4" s="1051" t="s">
        <v>1231</v>
      </c>
      <c r="S4" s="1105">
        <f>+Transelec!H7/100</f>
        <v>8.9339787766432675E-3</v>
      </c>
      <c r="T4" s="1105">
        <f>+'ISA REP'!I8/100</f>
        <v>7.0902632632689078E-3</v>
      </c>
      <c r="V4" s="1051" t="s">
        <v>1231</v>
      </c>
      <c r="W4" s="1105">
        <f>'CEMIG-GT'!C8/100</f>
        <v>1.0412593534972613E-2</v>
      </c>
      <c r="Y4" s="1051" t="s">
        <v>1231</v>
      </c>
      <c r="Z4" s="1109">
        <f>Transelec!I7/100</f>
        <v>8.6132315540313892E-3</v>
      </c>
      <c r="AA4" s="1109">
        <f>'ISA REP'!J8/100</f>
        <v>5.670165868751114E-3</v>
      </c>
      <c r="AB4" s="1105">
        <f>W4</f>
        <v>1.0412593534972613E-2</v>
      </c>
      <c r="AC4" s="1105">
        <f>AVERAGE(Z4:AB4)</f>
        <v>8.2319969859183714E-3</v>
      </c>
      <c r="AE4" s="1122" t="s">
        <v>1547</v>
      </c>
      <c r="AF4" s="1121">
        <f>'ISA REP'!E43</f>
        <v>0.7</v>
      </c>
    </row>
    <row r="5" spans="1:32" x14ac:dyDescent="0.25">
      <c r="B5" s="1034" t="s">
        <v>1233</v>
      </c>
      <c r="C5" s="1108">
        <f>+Transelec!D8/100</f>
        <v>1.2865059168989898E-2</v>
      </c>
      <c r="D5" s="1104">
        <f>+'ISA REP'!E9/100</f>
        <v>2.4552928283918186E-2</v>
      </c>
      <c r="F5" s="1034" t="s">
        <v>1233</v>
      </c>
      <c r="G5" s="1108">
        <f>+Transelec!E8/100</f>
        <v>1.3171223328371739E-2</v>
      </c>
      <c r="H5" s="1104">
        <f>+'ISA REP'!F9/100</f>
        <v>2.3802301853057185E-2</v>
      </c>
      <c r="J5" s="1034" t="s">
        <v>1233</v>
      </c>
      <c r="K5" s="1108">
        <f>+Transelec!F8/100</f>
        <v>1.1970601386111215E-2</v>
      </c>
      <c r="L5" s="1104">
        <f>+'ISA REP'!G9/100</f>
        <v>2.159810494777456E-2</v>
      </c>
      <c r="N5" s="1034" t="s">
        <v>1233</v>
      </c>
      <c r="O5" s="1108">
        <f>+Transelec!G8/100</f>
        <v>1.2162237100400746E-2</v>
      </c>
      <c r="P5" s="1104">
        <f>+'ISA REP'!H9/100</f>
        <v>2.1231544035100577E-2</v>
      </c>
      <c r="R5" s="1034" t="s">
        <v>1233</v>
      </c>
      <c r="S5" s="1108">
        <f>+Transelec!H8/100</f>
        <v>1.1051107745818013E-2</v>
      </c>
      <c r="T5" s="1104">
        <f>+'ISA REP'!I9/100</f>
        <v>2.1591063471316448E-2</v>
      </c>
      <c r="V5" s="1034" t="s">
        <v>1233</v>
      </c>
      <c r="W5" s="1104">
        <f>'CEMIG-GT'!C9/100</f>
        <v>1.5308118836393703E-2</v>
      </c>
      <c r="Y5" s="1034" t="s">
        <v>1233</v>
      </c>
      <c r="Z5" s="1105">
        <f>Transelec!I8/100</f>
        <v>1.1727982077443324E-2</v>
      </c>
      <c r="AA5" s="1105">
        <f>'ISA REP'!J9/100</f>
        <v>2.1473570818063861E-2</v>
      </c>
      <c r="AB5" s="1108">
        <f>W5</f>
        <v>1.5308118836393703E-2</v>
      </c>
      <c r="AC5" s="1108">
        <f>AVERAGE(Z5:AB5)</f>
        <v>1.6169890577300297E-2</v>
      </c>
      <c r="AE5" s="1120" t="s">
        <v>1546</v>
      </c>
      <c r="AF5" s="1119">
        <f>'ISA REP'!E49</f>
        <v>0.6</v>
      </c>
    </row>
    <row r="6" spans="1:32" x14ac:dyDescent="0.25">
      <c r="B6" s="1056" t="s">
        <v>353</v>
      </c>
      <c r="C6" s="1116">
        <f>+Transelec!D9/100</f>
        <v>2.0264295660120602E-2</v>
      </c>
      <c r="D6" s="1118">
        <f>+'ISA REP'!E10/100</f>
        <v>3.1463462456102403E-2</v>
      </c>
      <c r="F6" s="1056" t="s">
        <v>353</v>
      </c>
      <c r="G6" s="1116">
        <f>+Transelec!E9/100</f>
        <v>1.988125620124526E-2</v>
      </c>
      <c r="H6" s="1118">
        <f>+'ISA REP'!F10/100</f>
        <v>3.0583483295025624E-2</v>
      </c>
      <c r="J6" s="1056" t="s">
        <v>353</v>
      </c>
      <c r="K6" s="1116">
        <f>+Transelec!F9/100</f>
        <v>1.9622587306225927E-2</v>
      </c>
      <c r="L6" s="1118">
        <f>+'ISA REP'!G10/100</f>
        <v>2.6262530205000151E-2</v>
      </c>
      <c r="N6" s="1056" t="s">
        <v>353</v>
      </c>
      <c r="O6" s="1116">
        <f>+Transelec!G9/100</f>
        <v>2.1415967065736938E-2</v>
      </c>
      <c r="P6" s="1118">
        <f>+'ISA REP'!H10/100</f>
        <v>2.6487353120859421E-2</v>
      </c>
      <c r="R6" s="1056" t="s">
        <v>353</v>
      </c>
      <c r="S6" s="1116">
        <f>+Transelec!H9/100</f>
        <v>1.9985086522461278E-2</v>
      </c>
      <c r="T6" s="1118">
        <f>+'ISA REP'!I10/100</f>
        <v>2.8681326734585354E-2</v>
      </c>
      <c r="V6" s="1056" t="s">
        <v>353</v>
      </c>
      <c r="W6" s="1118">
        <f>'CEMIG-GT'!C10/100</f>
        <v>2.5720712371366316E-2</v>
      </c>
      <c r="Y6" s="1056" t="s">
        <v>353</v>
      </c>
      <c r="Z6" s="1117">
        <f>Transelec!I9/100</f>
        <v>2.0341213631474717E-2</v>
      </c>
      <c r="AA6" s="1117">
        <f>'ISA REP'!J10/100</f>
        <v>2.7143736686814975E-2</v>
      </c>
      <c r="AB6" s="1116">
        <f>W6</f>
        <v>2.5720712371366316E-2</v>
      </c>
      <c r="AC6" s="1116">
        <f>AVERAGE(Z6:AB6)</f>
        <v>2.4401887563218667E-2</v>
      </c>
      <c r="AE6" s="1115" t="s">
        <v>195</v>
      </c>
      <c r="AF6" s="1114">
        <f>'ISA REP'!E37</f>
        <v>0.6</v>
      </c>
    </row>
    <row r="7" spans="1:32" ht="24" customHeight="1" x14ac:dyDescent="0.25"/>
    <row r="8" spans="1:32" ht="24" customHeight="1" x14ac:dyDescent="0.25"/>
    <row r="9" spans="1:32" ht="16.5" thickBot="1" x14ac:dyDescent="0.3">
      <c r="B9" s="1028" t="s">
        <v>348</v>
      </c>
      <c r="C9" s="1028" t="s">
        <v>349</v>
      </c>
      <c r="D9" s="1028" t="s">
        <v>351</v>
      </c>
      <c r="F9" s="1028" t="s">
        <v>348</v>
      </c>
      <c r="G9" s="1028" t="s">
        <v>349</v>
      </c>
      <c r="H9" s="1028" t="s">
        <v>351</v>
      </c>
      <c r="J9" s="1028" t="s">
        <v>348</v>
      </c>
      <c r="K9" s="1028" t="s">
        <v>349</v>
      </c>
      <c r="L9" s="1028" t="s">
        <v>351</v>
      </c>
      <c r="N9" s="1028" t="s">
        <v>348</v>
      </c>
      <c r="O9" s="1028" t="s">
        <v>349</v>
      </c>
      <c r="P9" s="1028" t="s">
        <v>351</v>
      </c>
      <c r="R9" s="1028" t="s">
        <v>348</v>
      </c>
      <c r="S9" s="1028" t="s">
        <v>349</v>
      </c>
      <c r="T9" s="1028" t="s">
        <v>351</v>
      </c>
      <c r="V9" s="1028" t="s">
        <v>348</v>
      </c>
      <c r="W9" s="1028" t="s">
        <v>349</v>
      </c>
      <c r="Y9" s="1113" t="s">
        <v>348</v>
      </c>
      <c r="Z9" s="1113" t="s">
        <v>349</v>
      </c>
      <c r="AA9" s="1113" t="s">
        <v>351</v>
      </c>
      <c r="AB9" s="1113" t="str">
        <f>AB3</f>
        <v>CEMIG-GT</v>
      </c>
      <c r="AC9" s="1112" t="s">
        <v>1545</v>
      </c>
    </row>
    <row r="10" spans="1:32" x14ac:dyDescent="0.25">
      <c r="B10" s="1061" t="s">
        <v>1231</v>
      </c>
      <c r="C10" s="1108">
        <f t="shared" ref="C10:D12" si="0">+C4</f>
        <v>7.399236491130703E-3</v>
      </c>
      <c r="D10" s="1104">
        <f t="shared" si="0"/>
        <v>6.9105341721842116E-3</v>
      </c>
      <c r="F10" s="1061" t="s">
        <v>1231</v>
      </c>
      <c r="G10" s="1108">
        <f t="shared" ref="G10:H12" si="1">+G4</f>
        <v>6.7100328728735229E-3</v>
      </c>
      <c r="H10" s="1104">
        <f t="shared" si="1"/>
        <v>6.7811814419684391E-3</v>
      </c>
      <c r="J10" s="1061" t="s">
        <v>1231</v>
      </c>
      <c r="K10" s="1108">
        <f t="shared" ref="K10:L12" si="2">+K4</f>
        <v>7.6519859201147119E-3</v>
      </c>
      <c r="L10" s="1104">
        <f t="shared" si="2"/>
        <v>4.6644252572255887E-3</v>
      </c>
      <c r="N10" s="1061" t="s">
        <v>1231</v>
      </c>
      <c r="O10" s="1108">
        <f t="shared" ref="O10:P12" si="3">+O4</f>
        <v>9.2537299653361917E-3</v>
      </c>
      <c r="P10" s="1104">
        <f t="shared" si="3"/>
        <v>5.2558090857588438E-3</v>
      </c>
      <c r="R10" s="1061" t="s">
        <v>1231</v>
      </c>
      <c r="S10" s="1108">
        <f t="shared" ref="S10:T12" si="4">+S4</f>
        <v>8.9339787766432675E-3</v>
      </c>
      <c r="T10" s="1104">
        <f t="shared" si="4"/>
        <v>7.0902632632689078E-3</v>
      </c>
      <c r="V10" s="1061" t="s">
        <v>1231</v>
      </c>
      <c r="W10" s="1108">
        <f>+W4</f>
        <v>1.0412593534972613E-2</v>
      </c>
      <c r="Y10" s="1111" t="s">
        <v>1231</v>
      </c>
      <c r="Z10" s="1110">
        <f t="shared" ref="Z10:AB12" si="5">+Z4</f>
        <v>8.6132315540313892E-3</v>
      </c>
      <c r="AA10" s="1109">
        <f t="shared" si="5"/>
        <v>5.670165868751114E-3</v>
      </c>
      <c r="AB10" s="1110">
        <f t="shared" si="5"/>
        <v>1.0412593534972613E-2</v>
      </c>
      <c r="AC10" s="1109"/>
    </row>
    <row r="11" spans="1:32" x14ac:dyDescent="0.25">
      <c r="B11" s="1034" t="s">
        <v>1233</v>
      </c>
      <c r="C11" s="1108">
        <f t="shared" si="0"/>
        <v>1.2865059168989898E-2</v>
      </c>
      <c r="D11" s="1104">
        <f t="shared" si="0"/>
        <v>2.4552928283918186E-2</v>
      </c>
      <c r="F11" s="1034" t="s">
        <v>1233</v>
      </c>
      <c r="G11" s="1108">
        <f t="shared" si="1"/>
        <v>1.3171223328371739E-2</v>
      </c>
      <c r="H11" s="1104">
        <f t="shared" si="1"/>
        <v>2.3802301853057185E-2</v>
      </c>
      <c r="J11" s="1034" t="s">
        <v>1233</v>
      </c>
      <c r="K11" s="1108">
        <f t="shared" si="2"/>
        <v>1.1970601386111215E-2</v>
      </c>
      <c r="L11" s="1104">
        <f t="shared" si="2"/>
        <v>2.159810494777456E-2</v>
      </c>
      <c r="N11" s="1034" t="s">
        <v>1233</v>
      </c>
      <c r="O11" s="1108">
        <f t="shared" si="3"/>
        <v>1.2162237100400746E-2</v>
      </c>
      <c r="P11" s="1104">
        <f t="shared" si="3"/>
        <v>2.1231544035100577E-2</v>
      </c>
      <c r="R11" s="1034" t="s">
        <v>1233</v>
      </c>
      <c r="S11" s="1108">
        <f t="shared" si="4"/>
        <v>1.1051107745818013E-2</v>
      </c>
      <c r="T11" s="1104">
        <f t="shared" si="4"/>
        <v>2.1591063471316448E-2</v>
      </c>
      <c r="V11" s="1034" t="s">
        <v>1233</v>
      </c>
      <c r="W11" s="1108">
        <f>+W5</f>
        <v>1.5308118836393703E-2</v>
      </c>
      <c r="Y11" s="1034" t="s">
        <v>1233</v>
      </c>
      <c r="Z11" s="1108">
        <f t="shared" si="5"/>
        <v>1.1727982077443324E-2</v>
      </c>
      <c r="AA11" s="1104">
        <f t="shared" si="5"/>
        <v>2.1473570818063861E-2</v>
      </c>
      <c r="AB11" s="1108">
        <f t="shared" si="5"/>
        <v>1.5308118836393703E-2</v>
      </c>
      <c r="AC11" s="1104"/>
    </row>
    <row r="12" spans="1:32" x14ac:dyDescent="0.25">
      <c r="B12" s="1103" t="s">
        <v>353</v>
      </c>
      <c r="C12" s="1107">
        <f t="shared" si="0"/>
        <v>2.0264295660120602E-2</v>
      </c>
      <c r="D12" s="1102">
        <f t="shared" si="0"/>
        <v>3.1463462456102403E-2</v>
      </c>
      <c r="F12" s="1103" t="s">
        <v>353</v>
      </c>
      <c r="G12" s="1107">
        <f t="shared" si="1"/>
        <v>1.988125620124526E-2</v>
      </c>
      <c r="H12" s="1102">
        <f t="shared" si="1"/>
        <v>3.0583483295025624E-2</v>
      </c>
      <c r="J12" s="1103" t="s">
        <v>353</v>
      </c>
      <c r="K12" s="1107">
        <f t="shared" si="2"/>
        <v>1.9622587306225927E-2</v>
      </c>
      <c r="L12" s="1102">
        <f t="shared" si="2"/>
        <v>2.6262530205000151E-2</v>
      </c>
      <c r="N12" s="1103" t="s">
        <v>353</v>
      </c>
      <c r="O12" s="1107">
        <f t="shared" si="3"/>
        <v>2.1415967065736938E-2</v>
      </c>
      <c r="P12" s="1102">
        <f t="shared" si="3"/>
        <v>2.6487353120859421E-2</v>
      </c>
      <c r="R12" s="1103" t="s">
        <v>353</v>
      </c>
      <c r="S12" s="1107">
        <f t="shared" si="4"/>
        <v>1.9985086522461278E-2</v>
      </c>
      <c r="T12" s="1102">
        <f t="shared" si="4"/>
        <v>2.8681326734585354E-2</v>
      </c>
      <c r="V12" s="1103" t="s">
        <v>353</v>
      </c>
      <c r="W12" s="1107">
        <f>+W6</f>
        <v>2.5720712371366316E-2</v>
      </c>
      <c r="Y12" s="1103" t="s">
        <v>353</v>
      </c>
      <c r="Z12" s="1107">
        <f t="shared" si="5"/>
        <v>2.0341213631474717E-2</v>
      </c>
      <c r="AA12" s="1102">
        <f t="shared" si="5"/>
        <v>2.7143736686814975E-2</v>
      </c>
      <c r="AB12" s="1107">
        <f t="shared" si="5"/>
        <v>2.5720712371366316E-2</v>
      </c>
      <c r="AC12" s="1102"/>
    </row>
    <row r="13" spans="1:32" x14ac:dyDescent="0.25">
      <c r="B13" s="963" t="s">
        <v>354</v>
      </c>
      <c r="C13" s="1106">
        <v>0.08</v>
      </c>
      <c r="D13" s="1106">
        <v>0.08</v>
      </c>
      <c r="F13" s="963" t="s">
        <v>354</v>
      </c>
      <c r="G13" s="1106">
        <v>0.08</v>
      </c>
      <c r="H13" s="1106">
        <v>0.08</v>
      </c>
      <c r="J13" s="963" t="s">
        <v>354</v>
      </c>
      <c r="K13" s="1106">
        <v>0.08</v>
      </c>
      <c r="L13" s="1106">
        <v>0.08</v>
      </c>
      <c r="N13" s="963" t="s">
        <v>354</v>
      </c>
      <c r="O13" s="1106">
        <v>0.08</v>
      </c>
      <c r="P13" s="1106">
        <v>0.08</v>
      </c>
      <c r="R13" s="963" t="s">
        <v>354</v>
      </c>
      <c r="S13" s="1106">
        <v>0.08</v>
      </c>
      <c r="T13" s="1106">
        <v>0.08</v>
      </c>
      <c r="V13" s="963" t="s">
        <v>354</v>
      </c>
      <c r="W13" s="1106">
        <v>0.08</v>
      </c>
      <c r="Y13" s="963" t="s">
        <v>354</v>
      </c>
      <c r="Z13" s="1106">
        <v>0.08</v>
      </c>
      <c r="AA13" s="1106">
        <v>0.08</v>
      </c>
      <c r="AB13" s="1106">
        <v>0.08</v>
      </c>
      <c r="AC13" s="1106"/>
    </row>
    <row r="14" spans="1:32" x14ac:dyDescent="0.25">
      <c r="B14" s="1051" t="s">
        <v>1231</v>
      </c>
      <c r="C14" s="1105">
        <f>+C10</f>
        <v>7.399236491130703E-3</v>
      </c>
      <c r="D14" s="1105">
        <f>+D10</f>
        <v>6.9105341721842116E-3</v>
      </c>
      <c r="F14" s="1051" t="s">
        <v>1231</v>
      </c>
      <c r="G14" s="1105">
        <f>+G10</f>
        <v>6.7100328728735229E-3</v>
      </c>
      <c r="H14" s="1105">
        <f>+H10</f>
        <v>6.7811814419684391E-3</v>
      </c>
      <c r="J14" s="1051" t="s">
        <v>1231</v>
      </c>
      <c r="K14" s="1105">
        <f>+K10</f>
        <v>7.6519859201147119E-3</v>
      </c>
      <c r="L14" s="1105">
        <f>+L10</f>
        <v>4.6644252572255887E-3</v>
      </c>
      <c r="N14" s="1051" t="s">
        <v>1231</v>
      </c>
      <c r="O14" s="1105">
        <f>+O10</f>
        <v>9.2537299653361917E-3</v>
      </c>
      <c r="P14" s="1105">
        <f>+P10</f>
        <v>5.2558090857588438E-3</v>
      </c>
      <c r="R14" s="1051" t="s">
        <v>1231</v>
      </c>
      <c r="S14" s="1105">
        <f>+S10</f>
        <v>8.9339787766432675E-3</v>
      </c>
      <c r="T14" s="1105">
        <f>+T10</f>
        <v>7.0902632632689078E-3</v>
      </c>
      <c r="V14" s="1051" t="s">
        <v>1231</v>
      </c>
      <c r="W14" s="1105">
        <f>+W10</f>
        <v>1.0412593534972613E-2</v>
      </c>
      <c r="Y14" s="1051" t="s">
        <v>1231</v>
      </c>
      <c r="Z14" s="1105">
        <f>+Z10</f>
        <v>8.6132315540313892E-3</v>
      </c>
      <c r="AA14" s="1105">
        <f>+AA10</f>
        <v>5.670165868751114E-3</v>
      </c>
      <c r="AB14" s="1105">
        <f>+AB10</f>
        <v>1.0412593534972613E-2</v>
      </c>
      <c r="AC14" s="1105">
        <f>AVERAGE(Z14:AB14)</f>
        <v>8.2319969859183714E-3</v>
      </c>
    </row>
    <row r="15" spans="1:32" x14ac:dyDescent="0.25">
      <c r="B15" s="1034" t="s">
        <v>1233</v>
      </c>
      <c r="C15" s="1104">
        <f>(1+C13)*C11</f>
        <v>1.389426390250909E-2</v>
      </c>
      <c r="D15" s="1104">
        <f>(1+D13)*D11</f>
        <v>2.6517162546631643E-2</v>
      </c>
      <c r="F15" s="1034" t="s">
        <v>1233</v>
      </c>
      <c r="G15" s="1104">
        <f>(1+G13)*G11</f>
        <v>1.4224921194641478E-2</v>
      </c>
      <c r="H15" s="1104">
        <f>(1+H13)*H11</f>
        <v>2.5706486001301761E-2</v>
      </c>
      <c r="J15" s="1034" t="s">
        <v>1233</v>
      </c>
      <c r="K15" s="1104">
        <f>(1+K13)*K11</f>
        <v>1.2928249497000112E-2</v>
      </c>
      <c r="L15" s="1104">
        <f>(1+L13)*L11</f>
        <v>2.3325953343596526E-2</v>
      </c>
      <c r="N15" s="1034" t="s">
        <v>1233</v>
      </c>
      <c r="O15" s="1104">
        <f>(1+O13)*O11</f>
        <v>1.3135216068432806E-2</v>
      </c>
      <c r="P15" s="1104">
        <f>(1+P13)*P11</f>
        <v>2.2930067557908624E-2</v>
      </c>
      <c r="R15" s="1034" t="s">
        <v>1233</v>
      </c>
      <c r="S15" s="1104">
        <f>(1+S13)*S11</f>
        <v>1.1935196365483455E-2</v>
      </c>
      <c r="T15" s="1104">
        <f>(1+T13)*T11</f>
        <v>2.3318348549021765E-2</v>
      </c>
      <c r="V15" s="1034" t="s">
        <v>1233</v>
      </c>
      <c r="W15" s="1104">
        <f>(1+W13)*W11</f>
        <v>1.65327683433052E-2</v>
      </c>
      <c r="Y15" s="1034" t="s">
        <v>1233</v>
      </c>
      <c r="Z15" s="1104">
        <f>(1+Z13)*Z11</f>
        <v>1.266622064363879E-2</v>
      </c>
      <c r="AA15" s="1104">
        <f>(1+AA13)*AA11</f>
        <v>2.3191456483508972E-2</v>
      </c>
      <c r="AB15" s="1104">
        <f>(1+AB13)*AB11</f>
        <v>1.65327683433052E-2</v>
      </c>
      <c r="AC15" s="1104">
        <f>AVERAGE(Z15:AB15)</f>
        <v>1.7463481823484322E-2</v>
      </c>
    </row>
    <row r="16" spans="1:32" x14ac:dyDescent="0.25">
      <c r="B16" s="1101" t="s">
        <v>353</v>
      </c>
      <c r="C16" s="1100">
        <f>+C15+C14</f>
        <v>2.1293500393639794E-2</v>
      </c>
      <c r="D16" s="1100">
        <f>+D15+D14</f>
        <v>3.3427696718815854E-2</v>
      </c>
      <c r="F16" s="1101" t="s">
        <v>353</v>
      </c>
      <c r="G16" s="1100">
        <f>+G15+G14</f>
        <v>2.0934954067514999E-2</v>
      </c>
      <c r="H16" s="1100">
        <f>+H15+H14</f>
        <v>3.2487667443270203E-2</v>
      </c>
      <c r="J16" s="1101" t="s">
        <v>353</v>
      </c>
      <c r="K16" s="1100">
        <f>+K15+K14</f>
        <v>2.0580235417114824E-2</v>
      </c>
      <c r="L16" s="1100">
        <f>+L15+L14</f>
        <v>2.7990378600822114E-2</v>
      </c>
      <c r="N16" s="1101" t="s">
        <v>353</v>
      </c>
      <c r="O16" s="1100">
        <f>+O15+O14</f>
        <v>2.2388946033768998E-2</v>
      </c>
      <c r="P16" s="1100">
        <f>+P15+P14</f>
        <v>2.8185876643667469E-2</v>
      </c>
      <c r="R16" s="1103" t="s">
        <v>353</v>
      </c>
      <c r="S16" s="1102">
        <f>+S15+S14</f>
        <v>2.0869175142126724E-2</v>
      </c>
      <c r="T16" s="1102">
        <f>+T15+T14</f>
        <v>3.0408611812290674E-2</v>
      </c>
      <c r="V16" s="1101" t="s">
        <v>353</v>
      </c>
      <c r="W16" s="1100">
        <f>+W15+W14</f>
        <v>2.6945361878277813E-2</v>
      </c>
      <c r="Y16" s="1101" t="s">
        <v>353</v>
      </c>
      <c r="Z16" s="1100">
        <f>+Z15+Z14</f>
        <v>2.127945219767018E-2</v>
      </c>
      <c r="AA16" s="1100">
        <f>+AA15+AA14</f>
        <v>2.8861622352260086E-2</v>
      </c>
      <c r="AB16" s="1100">
        <f>+AB15+AB14</f>
        <v>2.6945361878277813E-2</v>
      </c>
      <c r="AC16" s="1100">
        <f>AVERAGE(Z16:AB16)</f>
        <v>2.5695478809402691E-2</v>
      </c>
    </row>
    <row r="17" spans="2:20" ht="16.5" thickBot="1" x14ac:dyDescent="0.3">
      <c r="B17" s="1099" t="s">
        <v>1258</v>
      </c>
      <c r="C17" s="1098"/>
      <c r="D17" s="1097" t="s">
        <v>353</v>
      </c>
      <c r="F17" s="1099" t="s">
        <v>1258</v>
      </c>
      <c r="G17" s="1098"/>
      <c r="H17" s="1097" t="s">
        <v>353</v>
      </c>
      <c r="J17" s="1099" t="s">
        <v>1258</v>
      </c>
      <c r="K17" s="1098"/>
      <c r="L17" s="1097" t="s">
        <v>353</v>
      </c>
      <c r="N17" s="1099" t="s">
        <v>1258</v>
      </c>
      <c r="O17" s="1098"/>
      <c r="P17" s="1097" t="s">
        <v>353</v>
      </c>
      <c r="R17" s="1099" t="s">
        <v>1258</v>
      </c>
      <c r="S17" s="1098"/>
      <c r="T17" s="1097" t="s">
        <v>353</v>
      </c>
    </row>
    <row r="18" spans="2:20" x14ac:dyDescent="0.25">
      <c r="B18" s="1096" t="s">
        <v>1259</v>
      </c>
      <c r="C18" s="1095"/>
      <c r="D18" s="1092">
        <f>AVERAGE(C16:D16)</f>
        <v>2.7360598556227824E-2</v>
      </c>
      <c r="F18" s="1096" t="s">
        <v>1259</v>
      </c>
      <c r="G18" s="1095"/>
      <c r="H18" s="1092">
        <f>AVERAGE(G16:H16)</f>
        <v>2.6711310755392601E-2</v>
      </c>
      <c r="J18" s="1096" t="s">
        <v>1259</v>
      </c>
      <c r="K18" s="1095"/>
      <c r="L18" s="1092">
        <f>AVERAGE(K16:L16)</f>
        <v>2.4285307008968471E-2</v>
      </c>
      <c r="N18" s="1096" t="s">
        <v>1259</v>
      </c>
      <c r="O18" s="1095"/>
      <c r="P18" s="1092">
        <f>AVERAGE(O16:P16)</f>
        <v>2.5287411338718233E-2</v>
      </c>
      <c r="R18" s="1094" t="s">
        <v>1259</v>
      </c>
      <c r="S18" s="1093"/>
      <c r="T18" s="1092">
        <f>AVERAGE(S16:T16)</f>
        <v>2.5638893477208699E-2</v>
      </c>
    </row>
    <row r="19" spans="2:20" x14ac:dyDescent="0.25">
      <c r="D19" s="679"/>
      <c r="H19" s="679"/>
      <c r="L19" s="679"/>
    </row>
    <row r="20" spans="2:20" x14ac:dyDescent="0.25">
      <c r="D20" s="679"/>
      <c r="H20" s="679"/>
      <c r="L20" s="679"/>
    </row>
  </sheetData>
  <mergeCells count="7">
    <mergeCell ref="Z2:AA2"/>
    <mergeCell ref="V2:W2"/>
    <mergeCell ref="B2:D2"/>
    <mergeCell ref="F2:H2"/>
    <mergeCell ref="J2:L2"/>
    <mergeCell ref="N2:P2"/>
    <mergeCell ref="R2:T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13"/>
  <dimension ref="B2:J75"/>
  <sheetViews>
    <sheetView showGridLines="0" topLeftCell="A70" zoomScale="85" zoomScaleNormal="85" workbookViewId="0">
      <selection activeCell="C24" sqref="C24:C25"/>
    </sheetView>
  </sheetViews>
  <sheetFormatPr baseColWidth="10" defaultColWidth="11.42578125" defaultRowHeight="15" x14ac:dyDescent="0.25"/>
  <cols>
    <col min="1" max="1" width="3.42578125" style="102" customWidth="1"/>
    <col min="2" max="4" width="28.42578125" style="102" customWidth="1"/>
    <col min="5" max="5" width="11.140625" style="102" customWidth="1"/>
    <col min="6" max="6" width="14.28515625" style="102" bestFit="1" customWidth="1"/>
    <col min="7" max="7" width="11.140625" style="102" customWidth="1"/>
    <col min="8" max="10" width="13.85546875" style="102" customWidth="1"/>
    <col min="11" max="16384" width="11.42578125" style="102"/>
  </cols>
  <sheetData>
    <row r="2" spans="2:4" ht="30" customHeight="1" x14ac:dyDescent="0.25">
      <c r="B2" s="850" t="s">
        <v>1260</v>
      </c>
      <c r="C2" s="850" t="s">
        <v>227</v>
      </c>
      <c r="D2" s="850" t="s">
        <v>228</v>
      </c>
    </row>
    <row r="3" spans="2:4" x14ac:dyDescent="0.25">
      <c r="B3" s="843">
        <v>2012</v>
      </c>
      <c r="C3" s="851" t="e">
        <f>+#REF!</f>
        <v>#REF!</v>
      </c>
      <c r="D3" s="851" t="e">
        <f>+#REF!</f>
        <v>#REF!</v>
      </c>
    </row>
    <row r="4" spans="2:4" x14ac:dyDescent="0.25">
      <c r="B4" s="843">
        <v>2013</v>
      </c>
      <c r="C4" s="851" t="e">
        <f>+#REF!</f>
        <v>#REF!</v>
      </c>
      <c r="D4" s="851" t="e">
        <f>+#REF!</f>
        <v>#REF!</v>
      </c>
    </row>
    <row r="5" spans="2:4" x14ac:dyDescent="0.25">
      <c r="B5" s="843">
        <v>2014</v>
      </c>
      <c r="C5" s="851" t="e">
        <f>+#REF!</f>
        <v>#REF!</v>
      </c>
      <c r="D5" s="851" t="e">
        <f>+#REF!</f>
        <v>#REF!</v>
      </c>
    </row>
    <row r="6" spans="2:4" x14ac:dyDescent="0.25">
      <c r="B6" s="843">
        <v>2015</v>
      </c>
      <c r="C6" s="851" t="e">
        <f>+#REF!</f>
        <v>#REF!</v>
      </c>
      <c r="D6" s="851" t="e">
        <f>+#REF!</f>
        <v>#REF!</v>
      </c>
    </row>
    <row r="7" spans="2:4" x14ac:dyDescent="0.25">
      <c r="B7" s="843">
        <v>2016</v>
      </c>
      <c r="C7" s="851" t="e">
        <f>+#REF!</f>
        <v>#REF!</v>
      </c>
      <c r="D7" s="851" t="e">
        <f>+#REF!</f>
        <v>#REF!</v>
      </c>
    </row>
    <row r="8" spans="2:4" ht="6" customHeight="1" x14ac:dyDescent="0.25">
      <c r="B8" s="109"/>
      <c r="C8" s="109"/>
      <c r="D8" s="109"/>
    </row>
    <row r="9" spans="2:4" ht="30" customHeight="1" x14ac:dyDescent="0.25">
      <c r="B9" s="850" t="s">
        <v>1261</v>
      </c>
      <c r="C9" s="850" t="s">
        <v>227</v>
      </c>
      <c r="D9" s="850" t="s">
        <v>228</v>
      </c>
    </row>
    <row r="10" spans="2:4" x14ac:dyDescent="0.25">
      <c r="B10" s="843">
        <v>2013</v>
      </c>
      <c r="C10" s="851" t="e">
        <f>+#REF!</f>
        <v>#REF!</v>
      </c>
      <c r="D10" s="851" t="e">
        <f>+#REF!</f>
        <v>#REF!</v>
      </c>
    </row>
    <row r="11" spans="2:4" x14ac:dyDescent="0.25">
      <c r="B11" s="843">
        <v>2014</v>
      </c>
      <c r="C11" s="851" t="e">
        <f>+#REF!</f>
        <v>#REF!</v>
      </c>
      <c r="D11" s="851" t="e">
        <f>+#REF!</f>
        <v>#REF!</v>
      </c>
    </row>
    <row r="12" spans="2:4" x14ac:dyDescent="0.25">
      <c r="B12" s="843">
        <v>2015</v>
      </c>
      <c r="C12" s="851" t="e">
        <f>+#REF!</f>
        <v>#REF!</v>
      </c>
      <c r="D12" s="851" t="e">
        <f>+#REF!</f>
        <v>#REF!</v>
      </c>
    </row>
    <row r="13" spans="2:4" x14ac:dyDescent="0.25">
      <c r="B13" s="843">
        <v>2016</v>
      </c>
      <c r="C13" s="851" t="e">
        <f>+#REF!</f>
        <v>#REF!</v>
      </c>
      <c r="D13" s="851" t="e">
        <f>+#REF!</f>
        <v>#REF!</v>
      </c>
    </row>
    <row r="14" spans="2:4" ht="6" customHeight="1" x14ac:dyDescent="0.25">
      <c r="B14" s="109"/>
      <c r="C14" s="109"/>
      <c r="D14" s="109"/>
    </row>
    <row r="15" spans="2:4" ht="30" customHeight="1" x14ac:dyDescent="0.25">
      <c r="B15" s="850" t="s">
        <v>1262</v>
      </c>
      <c r="C15" s="850" t="s">
        <v>227</v>
      </c>
      <c r="D15" s="850" t="s">
        <v>228</v>
      </c>
    </row>
    <row r="16" spans="2:4" x14ac:dyDescent="0.25">
      <c r="B16" s="843">
        <v>2013</v>
      </c>
      <c r="C16" s="851" t="e">
        <f>+#REF!</f>
        <v>#REF!</v>
      </c>
      <c r="D16" s="851" t="e">
        <f>+#REF!</f>
        <v>#REF!</v>
      </c>
    </row>
    <row r="17" spans="2:10" x14ac:dyDescent="0.25">
      <c r="B17" s="843">
        <v>2014</v>
      </c>
      <c r="C17" s="851" t="e">
        <f>+#REF!</f>
        <v>#REF!</v>
      </c>
      <c r="D17" s="851" t="e">
        <f>+#REF!</f>
        <v>#REF!</v>
      </c>
      <c r="E17" s="109"/>
      <c r="F17" s="109"/>
      <c r="G17" s="109"/>
      <c r="H17" s="109"/>
      <c r="I17" s="109"/>
      <c r="J17" s="109"/>
    </row>
    <row r="18" spans="2:10" x14ac:dyDescent="0.25">
      <c r="B18" s="843">
        <v>2015</v>
      </c>
      <c r="C18" s="851" t="e">
        <f>+#REF!</f>
        <v>#REF!</v>
      </c>
      <c r="D18" s="851" t="e">
        <f>+#REF!</f>
        <v>#REF!</v>
      </c>
      <c r="E18" s="109"/>
      <c r="F18" s="109"/>
      <c r="G18" s="109"/>
      <c r="H18" s="109"/>
      <c r="I18" s="109"/>
      <c r="J18" s="109"/>
    </row>
    <row r="19" spans="2:10" x14ac:dyDescent="0.25">
      <c r="B19" s="843">
        <v>2016</v>
      </c>
      <c r="C19" s="851" t="e">
        <f>+#REF!</f>
        <v>#REF!</v>
      </c>
      <c r="D19" s="851" t="e">
        <f>+#REF!</f>
        <v>#REF!</v>
      </c>
      <c r="E19" s="109"/>
      <c r="F19" s="109"/>
      <c r="G19" s="109"/>
      <c r="H19" s="109"/>
      <c r="I19" s="109"/>
      <c r="J19" s="109"/>
    </row>
    <row r="21" spans="2:10" ht="25.5" x14ac:dyDescent="0.25">
      <c r="B21" s="852"/>
      <c r="C21" s="853" t="s">
        <v>1260</v>
      </c>
      <c r="D21" s="33" t="s">
        <v>333</v>
      </c>
      <c r="E21" s="33" t="s">
        <v>148</v>
      </c>
      <c r="F21" s="854" t="s">
        <v>1263</v>
      </c>
      <c r="G21" s="33" t="s">
        <v>1264</v>
      </c>
      <c r="H21" s="853" t="s">
        <v>1260</v>
      </c>
      <c r="I21" s="33" t="s">
        <v>1261</v>
      </c>
      <c r="J21" s="853" t="s">
        <v>1262</v>
      </c>
    </row>
    <row r="22" spans="2:10" x14ac:dyDescent="0.25">
      <c r="B22" s="32"/>
      <c r="C22" s="855">
        <v>41274</v>
      </c>
      <c r="D22" s="33">
        <v>2013</v>
      </c>
      <c r="E22" s="33">
        <v>2013</v>
      </c>
      <c r="F22" s="33">
        <v>2013</v>
      </c>
      <c r="G22" s="33">
        <v>2013</v>
      </c>
      <c r="H22" s="855">
        <v>41639</v>
      </c>
      <c r="I22" s="855">
        <v>41639</v>
      </c>
      <c r="J22" s="855">
        <v>41639</v>
      </c>
    </row>
    <row r="23" spans="2:10" ht="6" customHeight="1" x14ac:dyDescent="0.25">
      <c r="B23" s="109"/>
      <c r="C23" s="18"/>
      <c r="D23" s="14"/>
      <c r="E23" s="14"/>
      <c r="F23" s="14"/>
      <c r="G23" s="18"/>
      <c r="H23" s="14"/>
      <c r="I23" s="14"/>
      <c r="J23" s="14"/>
    </row>
    <row r="24" spans="2:10" x14ac:dyDescent="0.25">
      <c r="B24" s="19" t="s">
        <v>752</v>
      </c>
      <c r="C24" s="21">
        <v>328214907.00403386</v>
      </c>
      <c r="D24" s="21">
        <v>3969341.29</v>
      </c>
      <c r="E24" s="21">
        <v>0</v>
      </c>
      <c r="F24" s="21">
        <v>-2786994.1800000006</v>
      </c>
      <c r="G24" s="21">
        <v>0</v>
      </c>
      <c r="H24" s="21">
        <v>329397254.11403394</v>
      </c>
      <c r="I24" s="21">
        <v>143353569.64399999</v>
      </c>
      <c r="J24" s="21">
        <v>186043684.47003388</v>
      </c>
    </row>
    <row r="25" spans="2:10" x14ac:dyDescent="0.25">
      <c r="B25" s="19" t="s">
        <v>1025</v>
      </c>
      <c r="C25" s="21">
        <v>36777497.809999995</v>
      </c>
      <c r="D25" s="21">
        <v>2145997.2799999998</v>
      </c>
      <c r="E25" s="21">
        <v>1455220.3299999998</v>
      </c>
      <c r="F25" s="21">
        <v>0</v>
      </c>
      <c r="G25" s="21">
        <v>0</v>
      </c>
      <c r="H25" s="21">
        <v>37468274.759999998</v>
      </c>
      <c r="I25" s="21">
        <v>29688404.170000006</v>
      </c>
      <c r="J25" s="21">
        <v>7779870.589999998</v>
      </c>
    </row>
    <row r="27" spans="2:10" ht="25.5" x14ac:dyDescent="0.25">
      <c r="B27" s="852"/>
      <c r="C27" s="853" t="s">
        <v>1260</v>
      </c>
      <c r="D27" s="33" t="s">
        <v>333</v>
      </c>
      <c r="E27" s="33" t="s">
        <v>148</v>
      </c>
      <c r="F27" s="854" t="s">
        <v>1263</v>
      </c>
      <c r="G27" s="33" t="s">
        <v>1264</v>
      </c>
      <c r="H27" s="853" t="s">
        <v>1260</v>
      </c>
      <c r="I27" s="33" t="s">
        <v>1261</v>
      </c>
      <c r="J27" s="853" t="s">
        <v>1262</v>
      </c>
    </row>
    <row r="28" spans="2:10" x14ac:dyDescent="0.25">
      <c r="B28" s="32"/>
      <c r="C28" s="855">
        <v>41639</v>
      </c>
      <c r="D28" s="33">
        <v>2014</v>
      </c>
      <c r="E28" s="33">
        <v>2014</v>
      </c>
      <c r="F28" s="33">
        <v>2014</v>
      </c>
      <c r="G28" s="33">
        <v>2014</v>
      </c>
      <c r="H28" s="855">
        <v>42004</v>
      </c>
      <c r="I28" s="855">
        <v>42004</v>
      </c>
      <c r="J28" s="855">
        <v>42004</v>
      </c>
    </row>
    <row r="29" spans="2:10" ht="6" customHeight="1" x14ac:dyDescent="0.25">
      <c r="B29" s="109"/>
      <c r="C29" s="109"/>
      <c r="D29" s="109"/>
      <c r="E29" s="109"/>
      <c r="F29" s="109"/>
      <c r="G29" s="109"/>
      <c r="H29" s="109"/>
      <c r="I29" s="109"/>
      <c r="J29" s="109"/>
    </row>
    <row r="30" spans="2:10" x14ac:dyDescent="0.25">
      <c r="B30" s="19" t="s">
        <v>752</v>
      </c>
      <c r="C30" s="21">
        <v>329397254.11403394</v>
      </c>
      <c r="D30" s="21">
        <v>9920305.3399999999</v>
      </c>
      <c r="E30" s="21">
        <v>0</v>
      </c>
      <c r="F30" s="21">
        <v>0</v>
      </c>
      <c r="G30" s="21">
        <v>0</v>
      </c>
      <c r="H30" s="21">
        <v>339317559.45403385</v>
      </c>
      <c r="I30" s="21">
        <v>153153465.88940001</v>
      </c>
      <c r="J30" s="21">
        <v>186164093.56463391</v>
      </c>
    </row>
    <row r="31" spans="2:10" x14ac:dyDescent="0.25">
      <c r="B31" s="19" t="s">
        <v>1025</v>
      </c>
      <c r="C31" s="21">
        <v>37468274.759999998</v>
      </c>
      <c r="D31" s="21">
        <v>2739449.5300000003</v>
      </c>
      <c r="E31" s="21">
        <v>599006.34</v>
      </c>
      <c r="F31" s="21">
        <v>0</v>
      </c>
      <c r="G31" s="21">
        <v>0</v>
      </c>
      <c r="H31" s="21">
        <v>39608717.949999996</v>
      </c>
      <c r="I31" s="21">
        <v>31975231.719999999</v>
      </c>
      <c r="J31" s="21">
        <v>7633486.2299999977</v>
      </c>
    </row>
    <row r="33" spans="2:10" ht="25.5" x14ac:dyDescent="0.25">
      <c r="B33" s="852"/>
      <c r="C33" s="853" t="s">
        <v>1260</v>
      </c>
      <c r="D33" s="33" t="s">
        <v>333</v>
      </c>
      <c r="E33" s="33" t="s">
        <v>148</v>
      </c>
      <c r="F33" s="854" t="s">
        <v>1263</v>
      </c>
      <c r="G33" s="33" t="s">
        <v>1264</v>
      </c>
      <c r="H33" s="853" t="s">
        <v>1260</v>
      </c>
      <c r="I33" s="33" t="s">
        <v>1261</v>
      </c>
      <c r="J33" s="853" t="s">
        <v>1262</v>
      </c>
    </row>
    <row r="34" spans="2:10" x14ac:dyDescent="0.25">
      <c r="B34" s="32"/>
      <c r="C34" s="855">
        <v>42004</v>
      </c>
      <c r="D34" s="33">
        <v>2015</v>
      </c>
      <c r="E34" s="33">
        <v>2015</v>
      </c>
      <c r="F34" s="33">
        <v>2015</v>
      </c>
      <c r="G34" s="33">
        <v>2015</v>
      </c>
      <c r="H34" s="855">
        <v>42369</v>
      </c>
      <c r="I34" s="855">
        <v>42369</v>
      </c>
      <c r="J34" s="855">
        <v>42369</v>
      </c>
    </row>
    <row r="35" spans="2:10" ht="6" customHeight="1" x14ac:dyDescent="0.25">
      <c r="B35" s="109"/>
      <c r="C35" s="109"/>
      <c r="D35" s="109"/>
      <c r="E35" s="109"/>
      <c r="F35" s="109"/>
      <c r="G35" s="109"/>
      <c r="H35" s="109"/>
      <c r="I35" s="109"/>
      <c r="J35" s="109"/>
    </row>
    <row r="36" spans="2:10" x14ac:dyDescent="0.25">
      <c r="B36" s="19" t="s">
        <v>752</v>
      </c>
      <c r="C36" s="21">
        <v>339317559.45403385</v>
      </c>
      <c r="D36" s="21">
        <v>-490185.29</v>
      </c>
      <c r="E36" s="21">
        <v>0</v>
      </c>
      <c r="F36" s="21">
        <v>0</v>
      </c>
      <c r="G36" s="21">
        <v>0</v>
      </c>
      <c r="H36" s="21">
        <v>338827374.16403389</v>
      </c>
      <c r="I36" s="21">
        <v>162298861.1144</v>
      </c>
      <c r="J36" s="21">
        <v>176528513.04963389</v>
      </c>
    </row>
    <row r="37" spans="2:10" x14ac:dyDescent="0.25">
      <c r="B37" s="19" t="s">
        <v>1025</v>
      </c>
      <c r="C37" s="21">
        <v>39608717.949999996</v>
      </c>
      <c r="D37" s="21">
        <v>2130496.66</v>
      </c>
      <c r="E37" s="21">
        <v>682162.01</v>
      </c>
      <c r="F37" s="21">
        <v>0</v>
      </c>
      <c r="G37" s="21">
        <v>0</v>
      </c>
      <c r="H37" s="21">
        <v>41057052.599999994</v>
      </c>
      <c r="I37" s="21">
        <v>33927841.800000004</v>
      </c>
      <c r="J37" s="21">
        <v>7129210.7999999989</v>
      </c>
    </row>
    <row r="39" spans="2:10" ht="25.5" x14ac:dyDescent="0.25">
      <c r="B39" s="852"/>
      <c r="C39" s="853" t="s">
        <v>1260</v>
      </c>
      <c r="D39" s="33" t="s">
        <v>333</v>
      </c>
      <c r="E39" s="33" t="s">
        <v>148</v>
      </c>
      <c r="F39" s="854" t="s">
        <v>1263</v>
      </c>
      <c r="G39" s="33" t="s">
        <v>1264</v>
      </c>
      <c r="H39" s="853" t="s">
        <v>1260</v>
      </c>
      <c r="I39" s="33" t="s">
        <v>1261</v>
      </c>
      <c r="J39" s="853" t="s">
        <v>1262</v>
      </c>
    </row>
    <row r="40" spans="2:10" x14ac:dyDescent="0.25">
      <c r="B40" s="32"/>
      <c r="C40" s="855">
        <v>42369</v>
      </c>
      <c r="D40" s="33">
        <v>2016</v>
      </c>
      <c r="E40" s="33">
        <v>2016</v>
      </c>
      <c r="F40" s="33">
        <v>2016</v>
      </c>
      <c r="G40" s="33">
        <v>2016</v>
      </c>
      <c r="H40" s="855">
        <v>42735</v>
      </c>
      <c r="I40" s="855">
        <v>42735</v>
      </c>
      <c r="J40" s="855">
        <v>42735</v>
      </c>
    </row>
    <row r="41" spans="2:10" ht="6" customHeight="1" x14ac:dyDescent="0.25">
      <c r="B41" s="109"/>
      <c r="C41" s="109"/>
      <c r="D41" s="109"/>
      <c r="E41" s="109"/>
      <c r="F41" s="109"/>
      <c r="G41" s="109"/>
      <c r="H41" s="109"/>
      <c r="I41" s="109"/>
      <c r="J41" s="109"/>
    </row>
    <row r="42" spans="2:10" x14ac:dyDescent="0.25">
      <c r="B42" s="19" t="s">
        <v>752</v>
      </c>
      <c r="C42" s="21">
        <v>338827374.16403389</v>
      </c>
      <c r="D42" s="21">
        <v>31216473.799999997</v>
      </c>
      <c r="E42" s="21">
        <v>3100</v>
      </c>
      <c r="F42" s="21">
        <v>0</v>
      </c>
      <c r="G42" s="21">
        <v>-2365980</v>
      </c>
      <c r="H42" s="21">
        <v>395482206.29000002</v>
      </c>
      <c r="I42" s="21">
        <v>172470143.84</v>
      </c>
      <c r="J42" s="21">
        <v>223012062.44999999</v>
      </c>
    </row>
    <row r="43" spans="2:10" x14ac:dyDescent="0.25">
      <c r="B43" s="19" t="s">
        <v>1025</v>
      </c>
      <c r="C43" s="21">
        <v>40482365</v>
      </c>
      <c r="D43" s="21">
        <v>5274694</v>
      </c>
      <c r="E43" s="21">
        <v>109550</v>
      </c>
      <c r="F43" s="21">
        <v>-31565</v>
      </c>
      <c r="G43" s="21">
        <v>28409</v>
      </c>
      <c r="H43" s="21">
        <v>45644352</v>
      </c>
      <c r="I43" s="21">
        <v>36589010</v>
      </c>
      <c r="J43" s="21">
        <v>9055343</v>
      </c>
    </row>
    <row r="46" spans="2:10" ht="32.25" customHeight="1" x14ac:dyDescent="0.25">
      <c r="B46" s="853"/>
      <c r="C46" s="853" t="s">
        <v>1265</v>
      </c>
      <c r="D46" s="853" t="s">
        <v>1266</v>
      </c>
      <c r="E46" s="109"/>
      <c r="F46" s="109"/>
      <c r="G46" s="109"/>
      <c r="H46" s="109"/>
      <c r="I46" s="109"/>
      <c r="J46" s="109"/>
    </row>
    <row r="47" spans="2:10" x14ac:dyDescent="0.25">
      <c r="B47" s="1" t="s">
        <v>302</v>
      </c>
      <c r="C47" s="856">
        <v>4819791.26</v>
      </c>
      <c r="D47" s="856">
        <v>4819791.26</v>
      </c>
      <c r="E47" s="109"/>
      <c r="F47" s="109"/>
      <c r="G47" s="109"/>
      <c r="H47" s="109"/>
      <c r="I47" s="109"/>
      <c r="J47" s="109"/>
    </row>
    <row r="48" spans="2:10" x14ac:dyDescent="0.25">
      <c r="B48" s="1" t="s">
        <v>303</v>
      </c>
      <c r="C48" s="856">
        <v>15954394.66</v>
      </c>
      <c r="D48" s="856">
        <v>7145202.8900000006</v>
      </c>
      <c r="E48" s="109"/>
      <c r="F48" s="109"/>
      <c r="G48" s="109"/>
      <c r="H48" s="109"/>
      <c r="I48" s="109"/>
      <c r="J48" s="109"/>
    </row>
    <row r="49" spans="2:4" x14ac:dyDescent="0.25">
      <c r="B49" s="1" t="s">
        <v>304</v>
      </c>
      <c r="C49" s="856">
        <v>758817.42</v>
      </c>
      <c r="D49" s="856">
        <v>586961.55000000005</v>
      </c>
    </row>
    <row r="50" spans="2:4" x14ac:dyDescent="0.25">
      <c r="B50" s="1" t="s">
        <v>305</v>
      </c>
      <c r="C50" s="856">
        <v>26223793.850000001</v>
      </c>
      <c r="D50" s="856">
        <v>20120041.690000001</v>
      </c>
    </row>
    <row r="51" spans="2:4" x14ac:dyDescent="0.25">
      <c r="B51" s="1" t="s">
        <v>306</v>
      </c>
      <c r="C51" s="856">
        <v>6947636.2599999998</v>
      </c>
      <c r="D51" s="856">
        <v>3422362.35</v>
      </c>
    </row>
    <row r="52" spans="2:4" x14ac:dyDescent="0.25">
      <c r="B52" s="1" t="s">
        <v>307</v>
      </c>
      <c r="C52" s="856">
        <v>69052.05</v>
      </c>
      <c r="D52" s="856">
        <v>5097.0400000000081</v>
      </c>
    </row>
    <row r="53" spans="2:4" x14ac:dyDescent="0.25">
      <c r="B53" s="1" t="s">
        <v>308</v>
      </c>
      <c r="C53" s="856">
        <v>85294899.799999997</v>
      </c>
      <c r="D53" s="856">
        <v>54867094.93</v>
      </c>
    </row>
    <row r="54" spans="2:4" x14ac:dyDescent="0.25">
      <c r="B54" s="1" t="s">
        <v>309</v>
      </c>
      <c r="C54" s="856">
        <v>97229480.859999999</v>
      </c>
      <c r="D54" s="856">
        <v>52572802.25</v>
      </c>
    </row>
    <row r="55" spans="2:4" x14ac:dyDescent="0.25">
      <c r="B55" s="1" t="s">
        <v>310</v>
      </c>
      <c r="C55" s="856">
        <v>96796583.969999999</v>
      </c>
      <c r="D55" s="856">
        <v>52400586.07</v>
      </c>
    </row>
    <row r="56" spans="2:4" x14ac:dyDescent="0.25">
      <c r="B56" s="1" t="s">
        <v>311</v>
      </c>
      <c r="C56" s="856">
        <v>31826.04</v>
      </c>
      <c r="D56" s="856">
        <v>6748.630000000001</v>
      </c>
    </row>
    <row r="57" spans="2:4" x14ac:dyDescent="0.25">
      <c r="B57" s="1" t="s">
        <v>312</v>
      </c>
      <c r="C57" s="856">
        <v>3267407.56</v>
      </c>
      <c r="D57" s="856">
        <v>2425893.7600000002</v>
      </c>
    </row>
    <row r="58" spans="2:4" x14ac:dyDescent="0.25">
      <c r="B58" s="1" t="s">
        <v>313</v>
      </c>
      <c r="C58" s="856">
        <v>39402174.299999997</v>
      </c>
      <c r="D58" s="856">
        <v>20388813.389999997</v>
      </c>
    </row>
    <row r="59" spans="2:4" x14ac:dyDescent="0.25">
      <c r="B59" s="1" t="s">
        <v>314</v>
      </c>
      <c r="C59" s="856">
        <v>18597336.09</v>
      </c>
      <c r="D59" s="856">
        <v>4246908.74</v>
      </c>
    </row>
    <row r="60" spans="2:4" x14ac:dyDescent="0.25">
      <c r="B60" s="1" t="s">
        <v>315</v>
      </c>
      <c r="C60" s="856">
        <v>89012.17</v>
      </c>
      <c r="D60" s="856">
        <v>3757.8999999999942</v>
      </c>
    </row>
    <row r="61" spans="2:4" x14ac:dyDescent="0.25">
      <c r="B61" s="1" t="s">
        <v>316</v>
      </c>
      <c r="C61" s="856">
        <v>0</v>
      </c>
      <c r="D61" s="856">
        <v>0</v>
      </c>
    </row>
    <row r="62" spans="2:4" x14ac:dyDescent="0.25">
      <c r="B62" s="857" t="s">
        <v>325</v>
      </c>
      <c r="C62" s="858">
        <f>+SUM(C47:C61)</f>
        <v>395482206.29000002</v>
      </c>
      <c r="D62" s="858">
        <f>+SUM(D47:D61)</f>
        <v>223012062.44999999</v>
      </c>
    </row>
    <row r="64" spans="2:4" ht="32.25" customHeight="1" x14ac:dyDescent="0.25">
      <c r="B64" s="853"/>
      <c r="C64" s="853" t="s">
        <v>1265</v>
      </c>
      <c r="D64" s="853" t="s">
        <v>1266</v>
      </c>
    </row>
    <row r="65" spans="2:4" x14ac:dyDescent="0.25">
      <c r="B65" s="1" t="s">
        <v>302</v>
      </c>
      <c r="C65" s="856">
        <v>272475</v>
      </c>
      <c r="D65" s="856">
        <v>272475</v>
      </c>
    </row>
    <row r="66" spans="2:4" x14ac:dyDescent="0.25">
      <c r="B66" s="1" t="s">
        <v>303</v>
      </c>
      <c r="C66" s="856">
        <v>981996</v>
      </c>
      <c r="D66" s="856">
        <v>653660</v>
      </c>
    </row>
    <row r="67" spans="2:4" x14ac:dyDescent="0.25">
      <c r="B67" s="1" t="s">
        <v>307</v>
      </c>
      <c r="C67" s="856">
        <v>554148</v>
      </c>
      <c r="D67" s="856">
        <v>146216</v>
      </c>
    </row>
    <row r="68" spans="2:4" x14ac:dyDescent="0.25">
      <c r="B68" s="1" t="s">
        <v>323</v>
      </c>
      <c r="C68" s="856">
        <v>1286786</v>
      </c>
      <c r="D68" s="856">
        <v>1247</v>
      </c>
    </row>
    <row r="69" spans="2:4" x14ac:dyDescent="0.25">
      <c r="B69" s="1" t="s">
        <v>311</v>
      </c>
      <c r="C69" s="856">
        <v>316816</v>
      </c>
      <c r="D69" s="856">
        <v>266345</v>
      </c>
    </row>
    <row r="70" spans="2:4" x14ac:dyDescent="0.25">
      <c r="B70" s="1" t="s">
        <v>312</v>
      </c>
      <c r="C70" s="856">
        <v>16759306</v>
      </c>
      <c r="D70" s="856">
        <v>4260331</v>
      </c>
    </row>
    <row r="71" spans="2:4" x14ac:dyDescent="0.25">
      <c r="B71" s="1" t="s">
        <v>324</v>
      </c>
      <c r="C71" s="856">
        <v>15851735</v>
      </c>
      <c r="D71" s="856">
        <v>1987956</v>
      </c>
    </row>
    <row r="72" spans="2:4" x14ac:dyDescent="0.25">
      <c r="B72" s="1" t="s">
        <v>321</v>
      </c>
      <c r="C72" s="856">
        <v>2994646</v>
      </c>
      <c r="D72" s="856">
        <v>336813</v>
      </c>
    </row>
    <row r="73" spans="2:4" x14ac:dyDescent="0.25">
      <c r="B73" s="1" t="s">
        <v>322</v>
      </c>
      <c r="C73" s="856">
        <v>4797535</v>
      </c>
      <c r="D73" s="856">
        <v>935898</v>
      </c>
    </row>
    <row r="74" spans="2:4" x14ac:dyDescent="0.25">
      <c r="B74" s="1" t="s">
        <v>316</v>
      </c>
      <c r="C74" s="856">
        <v>1828909</v>
      </c>
      <c r="D74" s="856">
        <v>194402</v>
      </c>
    </row>
    <row r="75" spans="2:4" x14ac:dyDescent="0.25">
      <c r="B75" s="857" t="s">
        <v>325</v>
      </c>
      <c r="C75" s="858">
        <f>+SUM(C65:C74)</f>
        <v>45644352</v>
      </c>
      <c r="D75" s="858">
        <f>+SUM(D65:D74)</f>
        <v>9055343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8" tint="-0.499984740745262"/>
  </sheetPr>
  <dimension ref="A1:U194"/>
  <sheetViews>
    <sheetView showGridLines="0" topLeftCell="A57" zoomScale="110" zoomScaleNormal="110" workbookViewId="0">
      <selection activeCell="K28" sqref="K28"/>
    </sheetView>
  </sheetViews>
  <sheetFormatPr baseColWidth="10" defaultColWidth="9.140625" defaultRowHeight="12.75" x14ac:dyDescent="0.2"/>
  <cols>
    <col min="1" max="1" width="3.7109375" style="193" customWidth="1"/>
    <col min="2" max="2" width="51.28515625" style="193" bestFit="1" customWidth="1"/>
    <col min="3" max="3" width="8" style="193" customWidth="1"/>
    <col min="4" max="4" width="8.28515625" style="193" customWidth="1"/>
    <col min="5" max="8" width="9.85546875" style="193" bestFit="1" customWidth="1"/>
    <col min="9" max="9" width="14.140625" style="193" customWidth="1"/>
    <col min="10" max="11" width="14.42578125" style="193" customWidth="1"/>
    <col min="12" max="12" width="10.7109375" style="193" customWidth="1"/>
    <col min="13" max="13" width="10.42578125" style="193" customWidth="1"/>
    <col min="14" max="14" width="10.5703125" style="193" customWidth="1"/>
    <col min="15" max="16384" width="9.140625" style="193"/>
  </cols>
  <sheetData>
    <row r="1" spans="2:11" s="11" customFormat="1" x14ac:dyDescent="0.2"/>
    <row r="2" spans="2:11" s="11" customFormat="1" x14ac:dyDescent="0.2">
      <c r="B2" s="1570" t="s">
        <v>0</v>
      </c>
      <c r="C2" s="1570"/>
      <c r="D2" s="1570"/>
      <c r="E2" s="1570"/>
      <c r="F2" s="1570"/>
      <c r="G2" s="1570"/>
      <c r="H2" s="1570"/>
      <c r="I2" s="1570"/>
    </row>
    <row r="3" spans="2:11" s="11" customFormat="1" x14ac:dyDescent="0.2">
      <c r="B3" s="1570" t="s">
        <v>60</v>
      </c>
      <c r="C3" s="1570"/>
      <c r="D3" s="1570"/>
      <c r="E3" s="1570"/>
      <c r="F3" s="1570"/>
      <c r="G3" s="1570"/>
      <c r="H3" s="1570"/>
      <c r="I3" s="1570"/>
    </row>
    <row r="4" spans="2:11" s="11" customFormat="1" x14ac:dyDescent="0.2">
      <c r="B4" s="1570" t="s">
        <v>1653</v>
      </c>
      <c r="C4" s="1570"/>
      <c r="D4" s="1570"/>
      <c r="E4" s="1570"/>
      <c r="F4" s="1570"/>
      <c r="G4" s="1570"/>
      <c r="H4" s="1570"/>
      <c r="I4" s="1570"/>
    </row>
    <row r="5" spans="2:11" s="11" customFormat="1" ht="6" customHeight="1" x14ac:dyDescent="0.2"/>
    <row r="6" spans="2:11" s="327" customFormat="1" x14ac:dyDescent="0.2">
      <c r="B6" s="20" t="s">
        <v>61</v>
      </c>
    </row>
    <row r="7" spans="2:11" ht="6" customHeight="1" thickBot="1" x14ac:dyDescent="0.25">
      <c r="B7" s="194"/>
      <c r="C7" s="194"/>
      <c r="D7" s="194"/>
      <c r="E7" s="194"/>
      <c r="F7" s="194"/>
      <c r="G7" s="194"/>
      <c r="H7" s="194"/>
      <c r="I7" s="194"/>
    </row>
    <row r="8" spans="2:11" ht="13.5" thickBot="1" x14ac:dyDescent="0.25">
      <c r="B8" s="328"/>
      <c r="C8" s="329" t="s">
        <v>3</v>
      </c>
      <c r="D8" s="329">
        <v>2024</v>
      </c>
      <c r="E8" s="329">
        <f>D8+1</f>
        <v>2025</v>
      </c>
      <c r="F8" s="329">
        <f>+E8+1</f>
        <v>2026</v>
      </c>
      <c r="G8" s="329">
        <f>+F8+1</f>
        <v>2027</v>
      </c>
      <c r="H8" s="329">
        <f>+G8+1</f>
        <v>2028</v>
      </c>
      <c r="I8" s="329">
        <f>+H8+1</f>
        <v>2029</v>
      </c>
    </row>
    <row r="9" spans="2:11" x14ac:dyDescent="0.2">
      <c r="B9" s="330" t="s">
        <v>4</v>
      </c>
      <c r="C9" s="331" t="s">
        <v>5</v>
      </c>
      <c r="D9" s="332"/>
      <c r="E9" s="333">
        <f>+'OMT%_ADMT%'!F14</f>
        <v>1.7463481823484322E-2</v>
      </c>
      <c r="F9" s="332">
        <f>$E$9</f>
        <v>1.7463481823484322E-2</v>
      </c>
      <c r="G9" s="332">
        <f t="shared" ref="G9:I9" si="0">$E$9</f>
        <v>1.7463481823484322E-2</v>
      </c>
      <c r="H9" s="332">
        <f t="shared" si="0"/>
        <v>1.7463481823484322E-2</v>
      </c>
      <c r="I9" s="332">
        <f t="shared" si="0"/>
        <v>1.7463481823484322E-2</v>
      </c>
      <c r="J9" s="196"/>
    </row>
    <row r="10" spans="2:11" x14ac:dyDescent="0.2">
      <c r="B10" s="334" t="s">
        <v>6</v>
      </c>
      <c r="C10" s="335" t="s">
        <v>5</v>
      </c>
      <c r="D10" s="336"/>
      <c r="E10" s="336">
        <f>+'OMT%_ADMT%'!F13</f>
        <v>8.2319969859183714E-3</v>
      </c>
      <c r="F10" s="336">
        <f>$E$10</f>
        <v>8.2319969859183714E-3</v>
      </c>
      <c r="G10" s="336">
        <f t="shared" ref="G10:I10" si="1">$E$10</f>
        <v>8.2319969859183714E-3</v>
      </c>
      <c r="H10" s="336">
        <f t="shared" si="1"/>
        <v>8.2319969859183714E-3</v>
      </c>
      <c r="I10" s="336">
        <f t="shared" si="1"/>
        <v>8.2319969859183714E-3</v>
      </c>
      <c r="J10" s="196"/>
    </row>
    <row r="11" spans="2:11" ht="9" customHeight="1" x14ac:dyDescent="0.2">
      <c r="E11" s="198"/>
      <c r="F11" s="198"/>
      <c r="G11" s="198"/>
      <c r="H11" s="198"/>
      <c r="I11" s="198"/>
      <c r="J11" s="196"/>
    </row>
    <row r="12" spans="2:11" ht="13.5" thickBot="1" x14ac:dyDescent="0.25">
      <c r="E12" s="198" t="s">
        <v>1657</v>
      </c>
      <c r="F12" s="198" t="s">
        <v>1658</v>
      </c>
      <c r="G12" s="198" t="s">
        <v>1659</v>
      </c>
      <c r="H12" s="198" t="s">
        <v>1660</v>
      </c>
      <c r="I12" s="198" t="s">
        <v>1668</v>
      </c>
      <c r="J12" s="196"/>
    </row>
    <row r="13" spans="2:11" ht="13.5" thickBot="1" x14ac:dyDescent="0.25">
      <c r="B13" s="337" t="s">
        <v>7</v>
      </c>
      <c r="C13" s="338" t="s">
        <v>5</v>
      </c>
      <c r="D13" s="339">
        <f>+'IMP Existente'!D10</f>
        <v>3.2314329354868353E-2</v>
      </c>
      <c r="J13" s="199"/>
    </row>
    <row r="14" spans="2:11" ht="13.5" thickBot="1" x14ac:dyDescent="0.25">
      <c r="B14" s="1202" t="s">
        <v>8</v>
      </c>
      <c r="C14" s="1207" t="s">
        <v>5</v>
      </c>
      <c r="D14" s="1208">
        <f>+'IMP Existente'!RRT</f>
        <v>9.6000000000000002E-2</v>
      </c>
      <c r="G14" s="198"/>
      <c r="H14" s="198"/>
      <c r="J14" s="199"/>
    </row>
    <row r="15" spans="2:11" ht="13.5" thickBot="1" x14ac:dyDescent="0.25">
      <c r="B15" s="337" t="s">
        <v>1665</v>
      </c>
      <c r="C15" s="1213"/>
      <c r="D15" s="1214"/>
      <c r="E15" s="1215"/>
      <c r="F15" s="1215">
        <v>6.5000000000000002E-2</v>
      </c>
      <c r="G15" s="1215">
        <v>6.5000000000000002E-2</v>
      </c>
      <c r="H15" s="1215">
        <v>6.5000000000000002E-2</v>
      </c>
      <c r="I15" s="1216">
        <f>H15</f>
        <v>6.5000000000000002E-2</v>
      </c>
      <c r="J15" s="199"/>
      <c r="K15" s="193" t="s">
        <v>1666</v>
      </c>
    </row>
    <row r="16" spans="2:11" ht="13.5" thickBot="1" x14ac:dyDescent="0.25">
      <c r="B16" s="1209" t="s">
        <v>1663</v>
      </c>
      <c r="C16" s="1210"/>
      <c r="D16" s="1210"/>
      <c r="E16" s="1211">
        <f>'Plan de Expansión'!AS2</f>
        <v>7.240931862774854</v>
      </c>
      <c r="F16" s="1211">
        <f>'Plan de Expansión'!AT2</f>
        <v>6.7397260273972588</v>
      </c>
      <c r="G16" s="1211">
        <f>'Plan de Expansión'!AU2</f>
        <v>0</v>
      </c>
      <c r="H16" s="1212">
        <f>'Plan de Expansión'!AV2</f>
        <v>0</v>
      </c>
      <c r="J16" s="201"/>
    </row>
    <row r="17" spans="2:21" ht="13.5" thickBot="1" x14ac:dyDescent="0.25">
      <c r="B17" s="1203" t="s">
        <v>1664</v>
      </c>
      <c r="C17" s="1204"/>
      <c r="D17" s="1204"/>
      <c r="E17" s="1205">
        <f>E16</f>
        <v>7.240931862774854</v>
      </c>
      <c r="F17" s="1205">
        <f>F16</f>
        <v>6.7397260273972588</v>
      </c>
      <c r="G17" s="1205">
        <f t="shared" ref="G17:H17" si="2">G16</f>
        <v>0</v>
      </c>
      <c r="H17" s="1206">
        <f t="shared" si="2"/>
        <v>0</v>
      </c>
      <c r="J17" s="201"/>
    </row>
    <row r="18" spans="2:21" ht="9" customHeight="1" x14ac:dyDescent="0.2">
      <c r="B18" s="200"/>
      <c r="J18" s="201"/>
    </row>
    <row r="19" spans="2:21" s="327" customFormat="1" x14ac:dyDescent="0.2">
      <c r="B19" s="20" t="s">
        <v>9</v>
      </c>
    </row>
    <row r="20" spans="2:21" ht="9" customHeight="1" thickBot="1" x14ac:dyDescent="0.25">
      <c r="B20" s="194"/>
    </row>
    <row r="21" spans="2:21" ht="13.5" thickBot="1" x14ac:dyDescent="0.25">
      <c r="B21" s="328" t="s">
        <v>62</v>
      </c>
      <c r="C21" s="329" t="s">
        <v>3</v>
      </c>
      <c r="D21" s="329">
        <f>D$8</f>
        <v>2024</v>
      </c>
      <c r="E21" s="329">
        <f t="shared" ref="E21:I21" si="3">E$8</f>
        <v>2025</v>
      </c>
      <c r="F21" s="329">
        <f t="shared" si="3"/>
        <v>2026</v>
      </c>
      <c r="G21" s="329">
        <f t="shared" si="3"/>
        <v>2027</v>
      </c>
      <c r="H21" s="329">
        <f t="shared" si="3"/>
        <v>2028</v>
      </c>
      <c r="I21" s="329">
        <f t="shared" si="3"/>
        <v>2029</v>
      </c>
      <c r="K21" s="303" t="s">
        <v>63</v>
      </c>
      <c r="L21" s="303"/>
      <c r="M21" s="303"/>
      <c r="N21" s="303"/>
      <c r="O21" s="303"/>
      <c r="P21" s="303"/>
      <c r="Q21" s="303"/>
      <c r="R21" s="303"/>
      <c r="S21" s="303"/>
      <c r="T21" s="303"/>
      <c r="U21" s="303"/>
    </row>
    <row r="22" spans="2:21" x14ac:dyDescent="0.2">
      <c r="B22" s="1191" t="s">
        <v>1755</v>
      </c>
      <c r="C22" s="331" t="s">
        <v>14</v>
      </c>
      <c r="D22" s="358"/>
      <c r="E22" s="358">
        <f>'Activos Reconocidos'!D146/1000</f>
        <v>84055.412761993968</v>
      </c>
      <c r="F22" s="376">
        <f>'Activos Reconocidos'!E146/1000</f>
        <v>103332.35139650147</v>
      </c>
      <c r="G22" s="358">
        <f>'Activos Reconocidos'!F146/1000</f>
        <v>99840.319902476185</v>
      </c>
      <c r="H22" s="358">
        <f>'Activos Reconocidos'!G146/1000</f>
        <v>96348.288408450928</v>
      </c>
      <c r="I22" s="377">
        <f>'Activos Reconocidos'!H146/1000</f>
        <v>92856.25691442567</v>
      </c>
    </row>
    <row r="23" spans="2:21" ht="13.5" thickBot="1" x14ac:dyDescent="0.25">
      <c r="B23" s="1192" t="s">
        <v>64</v>
      </c>
      <c r="C23" s="335" t="s">
        <v>14</v>
      </c>
      <c r="D23" s="350"/>
      <c r="E23" s="350">
        <f>'Activos Reconocidos'!D151/1000</f>
        <v>102734.39337577042</v>
      </c>
      <c r="F23" s="351">
        <f>'Activos Reconocidos'!E151/1000</f>
        <v>126295.09615127958</v>
      </c>
      <c r="G23" s="350">
        <f>'Activos Reconocidos'!F151/1000</f>
        <v>122027.05765858204</v>
      </c>
      <c r="H23" s="350">
        <f>'Activos Reconocidos'!G151/1000</f>
        <v>117759.0191658845</v>
      </c>
      <c r="I23" s="352">
        <f>'Activos Reconocidos'!H151/1000</f>
        <v>113490.98067318695</v>
      </c>
    </row>
    <row r="24" spans="2:21" x14ac:dyDescent="0.2">
      <c r="B24" s="1191" t="s">
        <v>1756</v>
      </c>
      <c r="C24" s="331" t="s">
        <v>14</v>
      </c>
      <c r="D24" s="358"/>
      <c r="E24" s="358">
        <f>'Activos Reconocidos'!D148/1000</f>
        <v>85613.540869935008</v>
      </c>
      <c r="F24" s="358">
        <f>'Activos Reconocidos'!E148/1000</f>
        <v>108064.48915206001</v>
      </c>
      <c r="G24" s="358">
        <f>'Activos Reconocidos'!F148/1000</f>
        <v>108064.48915206001</v>
      </c>
      <c r="H24" s="358">
        <f>'Activos Reconocidos'!G148/1000</f>
        <v>108064.48915206001</v>
      </c>
      <c r="I24" s="358">
        <f>'Activos Reconocidos'!H148/1000</f>
        <v>108064.48915206001</v>
      </c>
    </row>
    <row r="25" spans="2:21" x14ac:dyDescent="0.2">
      <c r="B25" s="1192" t="s">
        <v>1667</v>
      </c>
      <c r="C25" s="335" t="s">
        <v>14</v>
      </c>
      <c r="D25" s="350"/>
      <c r="E25" s="350">
        <f>'Activos Reconocidos'!D153/1000</f>
        <v>104638.77217436502</v>
      </c>
      <c r="F25" s="350">
        <f>'Activos Reconocidos'!E153/1000</f>
        <v>132078.82007474001</v>
      </c>
      <c r="G25" s="350">
        <f>'Activos Reconocidos'!F153/1000</f>
        <v>132078.82007474001</v>
      </c>
      <c r="H25" s="350">
        <f>'Activos Reconocidos'!G153/1000</f>
        <v>132078.82007474001</v>
      </c>
      <c r="I25" s="350">
        <f>'Activos Reconocidos'!H153/1000</f>
        <v>132078.82007474001</v>
      </c>
    </row>
    <row r="26" spans="2:21" ht="13.5" thickBot="1" x14ac:dyDescent="0.25">
      <c r="B26" s="200"/>
      <c r="C26" s="208"/>
      <c r="D26" s="207"/>
      <c r="E26" s="207"/>
      <c r="F26" s="207"/>
      <c r="G26" s="207"/>
      <c r="H26" s="207"/>
      <c r="I26" s="207"/>
    </row>
    <row r="27" spans="2:21" ht="13.5" thickBot="1" x14ac:dyDescent="0.25">
      <c r="B27" s="328" t="s">
        <v>65</v>
      </c>
      <c r="C27" s="329" t="s">
        <v>3</v>
      </c>
      <c r="D27" s="329">
        <f>D$8</f>
        <v>2024</v>
      </c>
      <c r="E27" s="329">
        <f t="shared" ref="E27:I27" si="4">E$8</f>
        <v>2025</v>
      </c>
      <c r="F27" s="329">
        <f t="shared" si="4"/>
        <v>2026</v>
      </c>
      <c r="G27" s="329">
        <f t="shared" si="4"/>
        <v>2027</v>
      </c>
      <c r="H27" s="329">
        <f t="shared" si="4"/>
        <v>2028</v>
      </c>
      <c r="I27" s="329">
        <f t="shared" si="4"/>
        <v>2029</v>
      </c>
    </row>
    <row r="28" spans="2:21" x14ac:dyDescent="0.2">
      <c r="B28" s="1191" t="s">
        <v>1757</v>
      </c>
      <c r="C28" s="331" t="s">
        <v>14</v>
      </c>
      <c r="D28" s="358"/>
      <c r="E28" s="358">
        <f>'Activos Reconocidos'!D149/1000</f>
        <v>48217.869256392005</v>
      </c>
      <c r="F28" s="376">
        <f>'Activos Reconocidos'!E149/1000</f>
        <v>12609.436706398976</v>
      </c>
      <c r="G28" s="358">
        <f>'Activos Reconocidos'!F149/1000</f>
        <v>0</v>
      </c>
      <c r="H28" s="358">
        <f>'Activos Reconocidos'!G149/1000</f>
        <v>0</v>
      </c>
      <c r="I28" s="377">
        <f>'Activos Reconocidos'!H149/1000</f>
        <v>0</v>
      </c>
    </row>
    <row r="29" spans="2:21" x14ac:dyDescent="0.2">
      <c r="B29" s="1192" t="s">
        <v>66</v>
      </c>
      <c r="C29" s="335" t="s">
        <v>14</v>
      </c>
      <c r="D29" s="350"/>
      <c r="E29" s="350">
        <f>'Activos Reconocidos'!D154/1000</f>
        <v>58932.951313368001</v>
      </c>
      <c r="F29" s="351">
        <f>'Activos Reconocidos'!E154/1000</f>
        <v>15411.533752265414</v>
      </c>
      <c r="G29" s="350">
        <f>'Activos Reconocidos'!F154/1000</f>
        <v>0</v>
      </c>
      <c r="H29" s="350">
        <f>'Activos Reconocidos'!G154/1000</f>
        <v>0</v>
      </c>
      <c r="I29" s="352">
        <f>'Activos Reconocidos'!H154/1000</f>
        <v>0</v>
      </c>
      <c r="L29" s="209"/>
    </row>
    <row r="30" spans="2:21" x14ac:dyDescent="0.2">
      <c r="C30" s="208"/>
      <c r="D30" s="207"/>
      <c r="E30" s="207"/>
      <c r="F30" s="207"/>
      <c r="G30" s="207"/>
      <c r="H30" s="207"/>
      <c r="I30" s="207"/>
    </row>
    <row r="31" spans="2:21" s="327" customFormat="1" x14ac:dyDescent="0.2">
      <c r="B31" s="20" t="s">
        <v>18</v>
      </c>
    </row>
    <row r="32" spans="2:21" ht="13.5" thickBot="1" x14ac:dyDescent="0.25">
      <c r="B32" s="194"/>
      <c r="J32" s="210"/>
    </row>
    <row r="33" spans="2:12" ht="13.5" thickBot="1" x14ac:dyDescent="0.25">
      <c r="B33" s="328" t="s">
        <v>67</v>
      </c>
      <c r="C33" s="329"/>
      <c r="D33" s="329">
        <f>D$8</f>
        <v>2024</v>
      </c>
      <c r="E33" s="329">
        <f t="shared" ref="E33:I33" si="5">E$8</f>
        <v>2025</v>
      </c>
      <c r="F33" s="329">
        <f t="shared" si="5"/>
        <v>2026</v>
      </c>
      <c r="G33" s="329">
        <f t="shared" si="5"/>
        <v>2027</v>
      </c>
      <c r="H33" s="329">
        <f t="shared" si="5"/>
        <v>2028</v>
      </c>
      <c r="I33" s="329">
        <f t="shared" si="5"/>
        <v>2029</v>
      </c>
      <c r="J33" s="212"/>
    </row>
    <row r="34" spans="2:12" x14ac:dyDescent="0.2">
      <c r="B34" s="1191" t="s">
        <v>1758</v>
      </c>
      <c r="C34" s="331" t="s">
        <v>14</v>
      </c>
      <c r="D34" s="343"/>
      <c r="E34" s="358">
        <f>('Activos Reconocidos'!D199+'Activos Reconocidos'!D201)/1000</f>
        <v>85613.540869935008</v>
      </c>
      <c r="F34" s="347">
        <f>('Activos Reconocidos'!E199+'Activos Reconocidos'!E201)/1000</f>
        <v>108064.48915206001</v>
      </c>
      <c r="G34" s="343">
        <f>('Activos Reconocidos'!F199+'Activos Reconocidos'!F201)/1000</f>
        <v>108064.48915206001</v>
      </c>
      <c r="H34" s="343">
        <f>('Activos Reconocidos'!G199+'Activos Reconocidos'!G201)/1000</f>
        <v>108064.48915206001</v>
      </c>
      <c r="I34" s="348">
        <f>('Activos Reconocidos'!H199+'Activos Reconocidos'!H201)/1000</f>
        <v>108064.48915206001</v>
      </c>
      <c r="J34" s="212"/>
    </row>
    <row r="35" spans="2:12" x14ac:dyDescent="0.2">
      <c r="B35" s="1193" t="s">
        <v>68</v>
      </c>
      <c r="C35" s="195" t="s">
        <v>14</v>
      </c>
      <c r="D35" s="202"/>
      <c r="E35" s="204">
        <f>('Activos Reconocidos'!D200+'Activos Reconocidos'!D202)/1000</f>
        <v>104638.77217436502</v>
      </c>
      <c r="F35" s="211">
        <f>('Activos Reconocidos'!E200+'Activos Reconocidos'!E202)/1000</f>
        <v>132078.82007474001</v>
      </c>
      <c r="G35" s="202">
        <f>('Activos Reconocidos'!F200+'Activos Reconocidos'!F202)/1000</f>
        <v>132078.82007474001</v>
      </c>
      <c r="H35" s="202">
        <f>('Activos Reconocidos'!G200+'Activos Reconocidos'!G202)/1000</f>
        <v>132078.82007474001</v>
      </c>
      <c r="I35" s="349">
        <f>('Activos Reconocidos'!H200+'Activos Reconocidos'!H202)/1000</f>
        <v>132078.82007474001</v>
      </c>
      <c r="J35" s="212"/>
    </row>
    <row r="36" spans="2:12" x14ac:dyDescent="0.2">
      <c r="B36" s="1192" t="s">
        <v>69</v>
      </c>
      <c r="C36" s="335" t="s">
        <v>14</v>
      </c>
      <c r="D36" s="354"/>
      <c r="E36" s="350"/>
      <c r="F36" s="378"/>
      <c r="G36" s="354"/>
      <c r="H36" s="354"/>
      <c r="I36" s="379"/>
      <c r="J36" s="212"/>
    </row>
    <row r="37" spans="2:12" ht="13.5" thickBot="1" x14ac:dyDescent="0.25">
      <c r="C37" s="208"/>
      <c r="D37" s="207"/>
      <c r="E37" s="207"/>
      <c r="F37" s="207"/>
      <c r="G37" s="207"/>
      <c r="H37" s="207"/>
      <c r="I37" s="207"/>
    </row>
    <row r="38" spans="2:12" ht="13.5" thickBot="1" x14ac:dyDescent="0.25">
      <c r="B38" s="328" t="s">
        <v>70</v>
      </c>
      <c r="C38" s="329"/>
      <c r="D38" s="329">
        <f>D$8</f>
        <v>2024</v>
      </c>
      <c r="E38" s="329">
        <f t="shared" ref="E38:I38" si="6">E$8</f>
        <v>2025</v>
      </c>
      <c r="F38" s="329">
        <f t="shared" si="6"/>
        <v>2026</v>
      </c>
      <c r="G38" s="329">
        <f t="shared" si="6"/>
        <v>2027</v>
      </c>
      <c r="H38" s="329">
        <f t="shared" si="6"/>
        <v>2028</v>
      </c>
      <c r="I38" s="329">
        <f t="shared" si="6"/>
        <v>2029</v>
      </c>
      <c r="J38" s="212"/>
    </row>
    <row r="39" spans="2:12" x14ac:dyDescent="0.2">
      <c r="B39" s="1191" t="s">
        <v>1759</v>
      </c>
      <c r="C39" s="331" t="s">
        <v>14</v>
      </c>
      <c r="D39" s="358"/>
      <c r="E39" s="358">
        <f>('Activos Reconocidos'!D205+'Activos Reconocidos'!D207)/1000</f>
        <v>48217.869256392005</v>
      </c>
      <c r="F39" s="358">
        <f>('Activos Reconocidos'!E205+'Activos Reconocidos'!E207)/1000</f>
        <v>12609.436706398976</v>
      </c>
      <c r="G39" s="358">
        <f>('Activos Reconocidos'!F205+'Activos Reconocidos'!F207)/1000</f>
        <v>0</v>
      </c>
      <c r="H39" s="358">
        <f>('Activos Reconocidos'!G205+'Activos Reconocidos'!G207)/1000</f>
        <v>0</v>
      </c>
      <c r="I39" s="358">
        <f>('Activos Reconocidos'!H205+'Activos Reconocidos'!H207)/1000</f>
        <v>0</v>
      </c>
      <c r="J39" s="212"/>
      <c r="K39" s="212"/>
    </row>
    <row r="40" spans="2:12" x14ac:dyDescent="0.2">
      <c r="B40" s="1192" t="s">
        <v>1656</v>
      </c>
      <c r="C40" s="335" t="s">
        <v>14</v>
      </c>
      <c r="D40" s="350"/>
      <c r="E40" s="350">
        <f>('Activos Reconocidos'!D206+'Activos Reconocidos'!D208)/1000</f>
        <v>58932.951313368001</v>
      </c>
      <c r="F40" s="350">
        <f>('Activos Reconocidos'!E206+'Activos Reconocidos'!E208)/1000</f>
        <v>15411.533752265414</v>
      </c>
      <c r="G40" s="350">
        <f>('Activos Reconocidos'!F206+'Activos Reconocidos'!F208)/1000</f>
        <v>0</v>
      </c>
      <c r="H40" s="350">
        <f>('Activos Reconocidos'!G206+'Activos Reconocidos'!G208)/1000</f>
        <v>0</v>
      </c>
      <c r="I40" s="350">
        <f>('Activos Reconocidos'!H206+'Activos Reconocidos'!H208)/1000</f>
        <v>0</v>
      </c>
      <c r="J40" s="212"/>
      <c r="K40" s="212"/>
      <c r="L40" s="209"/>
    </row>
    <row r="41" spans="2:12" x14ac:dyDescent="0.2">
      <c r="B41" s="200"/>
      <c r="C41" s="200"/>
      <c r="D41" s="200"/>
      <c r="E41" s="200"/>
      <c r="F41" s="200"/>
      <c r="G41" s="200"/>
      <c r="H41" s="200"/>
      <c r="I41" s="200"/>
    </row>
    <row r="42" spans="2:12" s="327" customFormat="1" x14ac:dyDescent="0.2">
      <c r="B42" s="20" t="s">
        <v>71</v>
      </c>
    </row>
    <row r="43" spans="2:12" ht="13.5" thickBot="1" x14ac:dyDescent="0.25">
      <c r="B43" s="194"/>
    </row>
    <row r="44" spans="2:12" ht="25.5" customHeight="1" thickBot="1" x14ac:dyDescent="0.25">
      <c r="B44" s="328" t="s">
        <v>1760</v>
      </c>
      <c r="C44" s="329"/>
      <c r="D44" s="329"/>
      <c r="E44" s="329" t="str">
        <f>"jul"&amp;E8-2000&amp;"-jun"&amp;F8-2000</f>
        <v>jul25-jun26</v>
      </c>
      <c r="F44" s="329" t="str">
        <f>"jul"&amp;F8-2000&amp;"-jun"&amp;G8-2000</f>
        <v>jul26-jun27</v>
      </c>
      <c r="G44" s="329" t="str">
        <f>"jul"&amp;G8-2000&amp;"-jun"&amp;H8-2000</f>
        <v>jul27-jun28</v>
      </c>
      <c r="H44" s="329" t="str">
        <f>"jul"&amp;H8-2000&amp;"-jun"&amp;I8-2000</f>
        <v>jul28-jun29</v>
      </c>
      <c r="I44" s="796" t="s">
        <v>72</v>
      </c>
    </row>
    <row r="45" spans="2:12" x14ac:dyDescent="0.2">
      <c r="B45" s="1194" t="s">
        <v>1761</v>
      </c>
      <c r="C45" s="1195" t="s">
        <v>14</v>
      </c>
      <c r="D45" s="1194"/>
      <c r="E45" s="1196"/>
      <c r="F45" s="1196">
        <f>E34*F$9*(1+F15)^0.5</f>
        <v>1542.9366661967529</v>
      </c>
      <c r="G45" s="1196">
        <f t="shared" ref="G45:H45" si="7">F34*G$9*(1+G15)^0.5</f>
        <v>1947.5501297142089</v>
      </c>
      <c r="H45" s="1196">
        <f t="shared" si="7"/>
        <v>1947.5501297142089</v>
      </c>
      <c r="I45" s="1196"/>
      <c r="K45" s="212"/>
    </row>
    <row r="46" spans="2:12" x14ac:dyDescent="0.2">
      <c r="B46" s="214" t="s">
        <v>1762</v>
      </c>
      <c r="C46" s="195" t="s">
        <v>14</v>
      </c>
      <c r="D46" s="214"/>
      <c r="E46" s="202"/>
      <c r="F46" s="202">
        <f>E39*E$9*(1+F15)^((E16/12)/2+0.5)</f>
        <v>885.65623082344109</v>
      </c>
      <c r="G46" s="202">
        <f t="shared" ref="G46:H46" si="8">F39*F$9*(1+G15)^((F16/12)/2+0.5)</f>
        <v>231.30322908408465</v>
      </c>
      <c r="H46" s="202">
        <f t="shared" si="8"/>
        <v>0</v>
      </c>
      <c r="I46" s="202">
        <f>H39*H$9*(1+I15)^((H16/12)/2+0.5)</f>
        <v>0</v>
      </c>
      <c r="K46" s="212"/>
    </row>
    <row r="47" spans="2:12" x14ac:dyDescent="0.2">
      <c r="B47" s="1197" t="s">
        <v>1763</v>
      </c>
      <c r="C47" s="1198" t="s">
        <v>14</v>
      </c>
      <c r="D47" s="1197"/>
      <c r="E47" s="1199"/>
      <c r="F47" s="1199">
        <f>E34*F$10*(1+F15)^0.5</f>
        <v>727.31486847680708</v>
      </c>
      <c r="G47" s="1199">
        <f t="shared" ref="G47:H47" si="9">F34*G$10*(1+G15)^0.5</f>
        <v>918.04297446415774</v>
      </c>
      <c r="H47" s="1199">
        <f t="shared" si="9"/>
        <v>918.04297446415774</v>
      </c>
      <c r="I47" s="1199"/>
      <c r="K47" s="307"/>
    </row>
    <row r="48" spans="2:12" x14ac:dyDescent="0.2">
      <c r="B48" s="214" t="s">
        <v>1764</v>
      </c>
      <c r="C48" s="195" t="s">
        <v>14</v>
      </c>
      <c r="D48" s="214"/>
      <c r="E48" s="202"/>
      <c r="F48" s="202">
        <f>E39*E$10*(1+F15)^((E16/12)/2+0.5)</f>
        <v>417.48372382957848</v>
      </c>
      <c r="G48" s="202">
        <f t="shared" ref="G48:H48" si="10">F39*F$10*(1+G15)^((F16/12)/2+0.5)</f>
        <v>109.03252306151323</v>
      </c>
      <c r="H48" s="202">
        <f t="shared" si="10"/>
        <v>0</v>
      </c>
      <c r="I48" s="202">
        <f>H39*H$10*(1+I15)^((H16/12)/2+0.5)</f>
        <v>0</v>
      </c>
      <c r="K48" s="212"/>
    </row>
    <row r="49" spans="2:11" x14ac:dyDescent="0.2">
      <c r="B49" s="1197" t="s">
        <v>25</v>
      </c>
      <c r="C49" s="1198" t="s">
        <v>14</v>
      </c>
      <c r="D49" s="1197"/>
      <c r="E49" s="1199"/>
      <c r="F49" s="1199">
        <f>E24*$D$13*(1+F15)^0.5</f>
        <v>2855.0414006292685</v>
      </c>
      <c r="G49" s="1199">
        <f t="shared" ref="G49:H49" si="11">F24*$D$13*(1+G15)^0.5</f>
        <v>3603.7358965879434</v>
      </c>
      <c r="H49" s="1199">
        <f t="shared" si="11"/>
        <v>3603.7358965879434</v>
      </c>
      <c r="I49" s="1199"/>
      <c r="K49" s="212"/>
    </row>
    <row r="50" spans="2:11" x14ac:dyDescent="0.2">
      <c r="B50" s="214" t="s">
        <v>1765</v>
      </c>
      <c r="C50" s="195" t="s">
        <v>14</v>
      </c>
      <c r="D50" s="214"/>
      <c r="E50" s="202"/>
      <c r="F50" s="202">
        <f>E28*$D$13*(1+F15)^((E16/12)/2+0.5)</f>
        <v>1638.8133493249647</v>
      </c>
      <c r="G50" s="202">
        <f t="shared" ref="G50:H50" si="12">F28*$D$13*(1+G15)^((F16/12)/2+0.5)</f>
        <v>428.00220488770651</v>
      </c>
      <c r="H50" s="202">
        <f t="shared" si="12"/>
        <v>0</v>
      </c>
      <c r="I50" s="202">
        <f>H28*$D$13*(1+I15)^((H16/12)/2+0.5)</f>
        <v>0</v>
      </c>
      <c r="K50" s="212"/>
    </row>
    <row r="51" spans="2:11" x14ac:dyDescent="0.2">
      <c r="B51" s="1197" t="s">
        <v>26</v>
      </c>
      <c r="C51" s="1198" t="s">
        <v>14</v>
      </c>
      <c r="D51" s="1197"/>
      <c r="E51" s="1199"/>
      <c r="F51" s="1199">
        <f>E22*$D$14*(1+F15)^0.5</f>
        <v>8327.44402332969</v>
      </c>
      <c r="G51" s="1199">
        <f t="shared" ref="G51" si="13">F22*$D$14*(1+G15)^0.5</f>
        <v>10237.227369163262</v>
      </c>
      <c r="H51" s="1199">
        <f>G22*$D$14*(1+H15)^0.5</f>
        <v>9891.2687230908177</v>
      </c>
      <c r="I51" s="1199"/>
      <c r="K51" s="212"/>
    </row>
    <row r="52" spans="2:11" x14ac:dyDescent="0.2">
      <c r="B52" s="214" t="s">
        <v>1766</v>
      </c>
      <c r="C52" s="195" t="s">
        <v>14</v>
      </c>
      <c r="D52" s="214"/>
      <c r="E52" s="202"/>
      <c r="F52" s="202">
        <f>E28*RRT*(1+F15)^((E16/12)/2+0.5)</f>
        <v>4868.6166377608715</v>
      </c>
      <c r="G52" s="202">
        <f>F28*RRT*(1+G15)^((F16/12)/2+0.5)</f>
        <v>1271.5167694801512</v>
      </c>
      <c r="H52" s="202">
        <f>G28*RRT*(1+H15)^((G16/12)/2+0.5)</f>
        <v>0</v>
      </c>
      <c r="I52" s="202">
        <f>H28*RRT*(1+I15)^((H16/12)/2+0.5)</f>
        <v>0</v>
      </c>
      <c r="K52" s="212"/>
    </row>
    <row r="53" spans="2:11" x14ac:dyDescent="0.2">
      <c r="B53" s="214" t="s">
        <v>73</v>
      </c>
      <c r="C53" s="195" t="s">
        <v>14</v>
      </c>
      <c r="D53" s="214"/>
      <c r="E53" s="215"/>
      <c r="F53" s="215"/>
      <c r="G53" s="215"/>
      <c r="H53" s="214"/>
      <c r="I53" s="214"/>
    </row>
    <row r="54" spans="2:11" ht="13.5" thickBot="1" x14ac:dyDescent="0.25">
      <c r="B54" s="220" t="s">
        <v>27</v>
      </c>
      <c r="C54" s="197" t="s">
        <v>14</v>
      </c>
      <c r="D54" s="220"/>
      <c r="E54" s="220"/>
      <c r="F54" s="220"/>
      <c r="G54" s="220"/>
      <c r="H54" s="220"/>
      <c r="I54" s="220"/>
    </row>
    <row r="55" spans="2:11" ht="13.5" thickBot="1" x14ac:dyDescent="0.25">
      <c r="B55" s="355" t="s">
        <v>28</v>
      </c>
      <c r="C55" s="355"/>
      <c r="D55" s="355"/>
      <c r="E55" s="357">
        <f>SUM(E45:E54)</f>
        <v>0</v>
      </c>
      <c r="F55" s="357">
        <f t="shared" ref="F55:I55" si="14">SUM(F45:F54)</f>
        <v>21263.306900371372</v>
      </c>
      <c r="G55" s="357">
        <f t="shared" si="14"/>
        <v>18746.411096443029</v>
      </c>
      <c r="H55" s="357">
        <f t="shared" si="14"/>
        <v>16360.597723857129</v>
      </c>
      <c r="I55" s="357">
        <f t="shared" si="14"/>
        <v>0</v>
      </c>
    </row>
    <row r="56" spans="2:11" ht="13.5" thickBot="1" x14ac:dyDescent="0.25">
      <c r="B56" s="218"/>
      <c r="C56" s="217"/>
      <c r="D56" s="217"/>
      <c r="E56" s="219"/>
      <c r="F56" s="219"/>
      <c r="G56" s="219"/>
      <c r="H56" s="219"/>
      <c r="I56" s="219"/>
    </row>
    <row r="57" spans="2:11" ht="26.25" thickBot="1" x14ac:dyDescent="0.25">
      <c r="B57" s="328" t="s">
        <v>74</v>
      </c>
      <c r="C57" s="329"/>
      <c r="D57" s="329"/>
      <c r="E57" s="329" t="str">
        <f>E44</f>
        <v>jul25-jun26</v>
      </c>
      <c r="F57" s="329" t="str">
        <f t="shared" ref="F57:I57" si="15">F44</f>
        <v>jul26-jun27</v>
      </c>
      <c r="G57" s="329" t="str">
        <f t="shared" si="15"/>
        <v>jul27-jun28</v>
      </c>
      <c r="H57" s="329" t="str">
        <f t="shared" si="15"/>
        <v>jul28-jun29</v>
      </c>
      <c r="I57" s="796" t="str">
        <f t="shared" si="15"/>
        <v>Diferido Proximo Período</v>
      </c>
    </row>
    <row r="58" spans="2:11" x14ac:dyDescent="0.2">
      <c r="B58" s="1194" t="s">
        <v>75</v>
      </c>
      <c r="C58" s="1195" t="s">
        <v>14</v>
      </c>
      <c r="D58" s="1194"/>
      <c r="E58" s="1196"/>
      <c r="F58" s="1196">
        <f>E35*F$9*(1+F15)^0.5</f>
        <v>1885.8114809071428</v>
      </c>
      <c r="G58" s="1196">
        <f t="shared" ref="G58:H58" si="16">F35*G$9*(1+G15)^0.5</f>
        <v>2380.3390474284774</v>
      </c>
      <c r="H58" s="1196">
        <f t="shared" si="16"/>
        <v>2380.3390474284774</v>
      </c>
      <c r="I58" s="1196"/>
      <c r="K58" s="212"/>
    </row>
    <row r="59" spans="2:11" x14ac:dyDescent="0.2">
      <c r="B59" s="214" t="s">
        <v>76</v>
      </c>
      <c r="C59" s="195" t="s">
        <v>14</v>
      </c>
      <c r="D59" s="214"/>
      <c r="E59" s="202"/>
      <c r="F59" s="202">
        <f>E40*E$9*(1+F15)^((E17/12)/2+0.5)</f>
        <v>1082.4687265619834</v>
      </c>
      <c r="G59" s="202">
        <f t="shared" ref="G59" si="17">F40*F$9*(1+G15)^((F17/12)/2+0.5)</f>
        <v>282.70394665832561</v>
      </c>
      <c r="H59" s="202">
        <f>G40*G$9*(1+H15)^((G17/12)/2+0.5)</f>
        <v>0</v>
      </c>
      <c r="I59" s="202">
        <f>H40*H$9*(1+I15)^((H17/12)/2+0.5)</f>
        <v>0</v>
      </c>
      <c r="K59" s="212"/>
    </row>
    <row r="60" spans="2:11" x14ac:dyDescent="0.2">
      <c r="B60" s="1197" t="s">
        <v>77</v>
      </c>
      <c r="C60" s="1198" t="s">
        <v>14</v>
      </c>
      <c r="D60" s="1197"/>
      <c r="E60" s="1199"/>
      <c r="F60" s="1199">
        <f>E35*F$10*(1+F15)^0.5</f>
        <v>888.94039480498657</v>
      </c>
      <c r="G60" s="1199">
        <f t="shared" ref="G60:H60" si="18">F35*G$10*(1+G15)^0.5</f>
        <v>1122.0525243450818</v>
      </c>
      <c r="H60" s="1199">
        <f t="shared" si="18"/>
        <v>1122.0525243450818</v>
      </c>
      <c r="I60" s="1199"/>
      <c r="K60" s="212"/>
    </row>
    <row r="61" spans="2:11" x14ac:dyDescent="0.2">
      <c r="B61" s="214" t="s">
        <v>78</v>
      </c>
      <c r="C61" s="195" t="s">
        <v>14</v>
      </c>
      <c r="D61" s="214"/>
      <c r="E61" s="202"/>
      <c r="F61" s="202">
        <f>E40*E$10*(1+F15)^((E17/12)/2+0.5)</f>
        <v>510.25788468059591</v>
      </c>
      <c r="G61" s="202">
        <f t="shared" ref="G61:H61" si="19">F40*F$10*(1+G15)^((F17/12)/2+0.5)</f>
        <v>133.26197263073837</v>
      </c>
      <c r="H61" s="202">
        <f t="shared" si="19"/>
        <v>0</v>
      </c>
      <c r="I61" s="202">
        <f>H40*H$10*(1+I15)^((H17/12)/2+0.5)</f>
        <v>0</v>
      </c>
      <c r="K61" s="212"/>
    </row>
    <row r="62" spans="2:11" x14ac:dyDescent="0.2">
      <c r="B62" s="1197" t="s">
        <v>25</v>
      </c>
      <c r="C62" s="1198" t="s">
        <v>14</v>
      </c>
      <c r="D62" s="1197"/>
      <c r="E62" s="1199"/>
      <c r="F62" s="1199">
        <f>E25*$D$13*(1+F15)^0.5</f>
        <v>3489.4950452135504</v>
      </c>
      <c r="G62" s="1199">
        <f t="shared" ref="G62" si="20">F25*$D$13*(1+G15)^0.5</f>
        <v>4404.5660958297085</v>
      </c>
      <c r="H62" s="1199">
        <f>G25*$D$13*(1+H15)^0.5</f>
        <v>4404.5660958297085</v>
      </c>
      <c r="I62" s="1199"/>
      <c r="K62" s="212"/>
    </row>
    <row r="63" spans="2:11" x14ac:dyDescent="0.2">
      <c r="B63" s="214" t="s">
        <v>79</v>
      </c>
      <c r="C63" s="195" t="s">
        <v>14</v>
      </c>
      <c r="D63" s="214"/>
      <c r="E63" s="202"/>
      <c r="F63" s="202">
        <f>E29*$D$13*(1+F15)^((E17/12)/2+0.5)</f>
        <v>2002.9940936194012</v>
      </c>
      <c r="G63" s="202">
        <f t="shared" ref="G63:H63" si="21">F29*$D$13*(1+G15)^((F17/12)/2+0.5)</f>
        <v>523.11380597386358</v>
      </c>
      <c r="H63" s="202">
        <f t="shared" si="21"/>
        <v>0</v>
      </c>
      <c r="I63" s="202">
        <f>H29*$D$13*(1+I15)^((H17/12)/2+0.5)</f>
        <v>0</v>
      </c>
      <c r="K63" s="212"/>
    </row>
    <row r="64" spans="2:11" x14ac:dyDescent="0.2">
      <c r="B64" s="1197" t="s">
        <v>26</v>
      </c>
      <c r="C64" s="1198" t="s">
        <v>14</v>
      </c>
      <c r="D64" s="1197"/>
      <c r="E64" s="1199"/>
      <c r="F64" s="1199">
        <f>E23*$D$14*(1+F15)^0.5</f>
        <v>10177.987139625178</v>
      </c>
      <c r="G64" s="1199">
        <f t="shared" ref="G64:H64" si="22">F23*$D$14*(1+G15)^0.5</f>
        <v>12512.166784532874</v>
      </c>
      <c r="H64" s="1199">
        <f t="shared" si="22"/>
        <v>12089.328439333225</v>
      </c>
      <c r="I64" s="1199"/>
      <c r="K64" s="212"/>
    </row>
    <row r="65" spans="1:11" x14ac:dyDescent="0.2">
      <c r="B65" s="214" t="s">
        <v>80</v>
      </c>
      <c r="C65" s="195" t="s">
        <v>14</v>
      </c>
      <c r="D65" s="214"/>
      <c r="E65" s="202"/>
      <c r="F65" s="202">
        <f>E29*RRT*(1+F15)^((E17/12)/2+0.5)</f>
        <v>5950.5314461521766</v>
      </c>
      <c r="G65" s="202">
        <f>F29*RRT*(1+G15)^((F17/12)/2+0.5)</f>
        <v>1554.0760515868512</v>
      </c>
      <c r="H65" s="202">
        <f>G29*RRT*(1+H15)^((G17/12)/2+0.5)</f>
        <v>0</v>
      </c>
      <c r="I65" s="202">
        <f>H29*RRT*(1+I15)^((H17/12)/2+0.5)</f>
        <v>0</v>
      </c>
      <c r="K65" s="212"/>
    </row>
    <row r="66" spans="1:11" x14ac:dyDescent="0.2">
      <c r="B66" s="214" t="s">
        <v>73</v>
      </c>
      <c r="C66" s="195" t="s">
        <v>14</v>
      </c>
      <c r="D66" s="214"/>
      <c r="E66" s="215"/>
      <c r="F66" s="215"/>
      <c r="G66" s="215"/>
      <c r="H66" s="214"/>
      <c r="I66" s="214"/>
    </row>
    <row r="67" spans="1:11" ht="13.5" thickBot="1" x14ac:dyDescent="0.25">
      <c r="B67" s="220" t="s">
        <v>27</v>
      </c>
      <c r="C67" s="197" t="s">
        <v>14</v>
      </c>
      <c r="D67" s="220"/>
      <c r="E67" s="220"/>
      <c r="F67" s="220"/>
      <c r="G67" s="220"/>
      <c r="H67" s="220"/>
      <c r="I67" s="220"/>
    </row>
    <row r="68" spans="1:11" ht="13.5" thickBot="1" x14ac:dyDescent="0.25">
      <c r="B68" s="355" t="s">
        <v>28</v>
      </c>
      <c r="C68" s="355"/>
      <c r="D68" s="355"/>
      <c r="E68" s="357">
        <f>SUM(E58:E67)</f>
        <v>0</v>
      </c>
      <c r="F68" s="357">
        <f t="shared" ref="F68:I68" si="23">SUM(F58:F67)</f>
        <v>25988.486211565018</v>
      </c>
      <c r="G68" s="357">
        <f t="shared" si="23"/>
        <v>22912.280228985921</v>
      </c>
      <c r="H68" s="357">
        <f t="shared" si="23"/>
        <v>19996.286106936492</v>
      </c>
      <c r="I68" s="357">
        <f t="shared" si="23"/>
        <v>0</v>
      </c>
    </row>
    <row r="69" spans="1:11" ht="13.5" thickBot="1" x14ac:dyDescent="0.25">
      <c r="A69" s="217"/>
      <c r="B69" s="218"/>
      <c r="C69" s="217"/>
      <c r="D69" s="217"/>
      <c r="E69" s="219"/>
      <c r="F69" s="219"/>
      <c r="G69" s="219"/>
      <c r="H69" s="219"/>
      <c r="I69" s="219"/>
    </row>
    <row r="70" spans="1:11" ht="22.5" customHeight="1" thickBot="1" x14ac:dyDescent="0.25">
      <c r="B70" s="359" t="s">
        <v>37</v>
      </c>
      <c r="C70" s="359"/>
      <c r="D70" s="359"/>
      <c r="E70" s="359" t="str">
        <f>E44</f>
        <v>jul25-jun26</v>
      </c>
      <c r="F70" s="359" t="str">
        <f>F44</f>
        <v>jul26-jun27</v>
      </c>
      <c r="G70" s="359" t="str">
        <f>G44</f>
        <v>jul27-jun28</v>
      </c>
      <c r="H70" s="359" t="str">
        <f>H44</f>
        <v>jul28-jun29</v>
      </c>
      <c r="I70" s="834" t="str">
        <f>I44</f>
        <v>Diferido Proximo Período</v>
      </c>
    </row>
    <row r="71" spans="1:11" hidden="1" x14ac:dyDescent="0.2">
      <c r="B71" s="367"/>
      <c r="C71" s="361"/>
      <c r="D71" s="368"/>
      <c r="E71" s="362"/>
      <c r="F71" s="362"/>
      <c r="G71" s="362"/>
      <c r="H71" s="362"/>
      <c r="I71" s="362"/>
    </row>
    <row r="72" spans="1:11" x14ac:dyDescent="0.2">
      <c r="B72" s="371" t="s">
        <v>1767</v>
      </c>
      <c r="C72" s="815" t="s">
        <v>14</v>
      </c>
      <c r="D72" s="222"/>
      <c r="E72" s="223">
        <f>E55</f>
        <v>0</v>
      </c>
      <c r="F72" s="223">
        <f>F55</f>
        <v>21263.306900371372</v>
      </c>
      <c r="G72" s="223">
        <f>G55</f>
        <v>18746.411096443029</v>
      </c>
      <c r="H72" s="223">
        <f>H55</f>
        <v>16360.597723857129</v>
      </c>
      <c r="I72" s="223">
        <f>I55</f>
        <v>0</v>
      </c>
      <c r="K72" s="212"/>
    </row>
    <row r="73" spans="1:11" hidden="1" x14ac:dyDescent="0.2">
      <c r="B73" s="380" t="s">
        <v>81</v>
      </c>
      <c r="C73" s="224" t="s">
        <v>14</v>
      </c>
      <c r="D73" s="225"/>
      <c r="E73" s="226">
        <f>+E72</f>
        <v>0</v>
      </c>
      <c r="F73" s="226">
        <f>F72</f>
        <v>21263.306900371372</v>
      </c>
      <c r="G73" s="226">
        <f t="shared" ref="G73:I73" si="24">G72</f>
        <v>18746.411096443029</v>
      </c>
      <c r="H73" s="226">
        <f t="shared" si="24"/>
        <v>16360.597723857129</v>
      </c>
      <c r="I73" s="226">
        <f t="shared" si="24"/>
        <v>0</v>
      </c>
      <c r="K73" s="212"/>
    </row>
    <row r="74" spans="1:11" hidden="1" x14ac:dyDescent="0.2">
      <c r="B74" s="369"/>
      <c r="C74" s="221"/>
      <c r="D74" s="222"/>
      <c r="E74" s="223"/>
      <c r="F74" s="223"/>
      <c r="G74" s="223"/>
      <c r="H74" s="223"/>
      <c r="I74" s="223"/>
    </row>
    <row r="75" spans="1:11" ht="16.5" customHeight="1" thickBot="1" x14ac:dyDescent="0.25">
      <c r="B75" s="371" t="s">
        <v>82</v>
      </c>
      <c r="C75" s="815" t="s">
        <v>14</v>
      </c>
      <c r="D75" s="222"/>
      <c r="E75" s="223">
        <f>E68</f>
        <v>0</v>
      </c>
      <c r="F75" s="223">
        <f>F68</f>
        <v>25988.486211565018</v>
      </c>
      <c r="G75" s="223">
        <f>G68</f>
        <v>22912.280228985921</v>
      </c>
      <c r="H75" s="223">
        <f>H68</f>
        <v>19996.286106936492</v>
      </c>
      <c r="I75" s="223">
        <f>I68</f>
        <v>0</v>
      </c>
    </row>
    <row r="76" spans="1:11" ht="15" hidden="1" customHeight="1" thickBot="1" x14ac:dyDescent="0.25">
      <c r="B76" s="381" t="s">
        <v>83</v>
      </c>
      <c r="C76" s="229" t="s">
        <v>14</v>
      </c>
      <c r="D76" s="230"/>
      <c r="E76" s="231">
        <f>E75</f>
        <v>0</v>
      </c>
      <c r="F76" s="231">
        <f>+F75</f>
        <v>25988.486211565018</v>
      </c>
      <c r="G76" s="231">
        <f t="shared" ref="G76:I76" si="25">+G75</f>
        <v>22912.280228985921</v>
      </c>
      <c r="H76" s="231">
        <f t="shared" si="25"/>
        <v>19996.286106936492</v>
      </c>
      <c r="I76" s="235">
        <f t="shared" si="25"/>
        <v>0</v>
      </c>
    </row>
    <row r="77" spans="1:11" ht="13.5" thickBot="1" x14ac:dyDescent="0.25">
      <c r="B77" s="814" t="s">
        <v>84</v>
      </c>
      <c r="C77" s="814" t="s">
        <v>14</v>
      </c>
      <c r="D77" s="355"/>
      <c r="E77" s="357">
        <f>E73+E76</f>
        <v>0</v>
      </c>
      <c r="F77" s="357">
        <f t="shared" ref="F77:I77" si="26">F73+F76</f>
        <v>47251.793111936393</v>
      </c>
      <c r="G77" s="357">
        <f t="shared" si="26"/>
        <v>41658.691325428954</v>
      </c>
      <c r="H77" s="357">
        <f t="shared" si="26"/>
        <v>36356.883830793624</v>
      </c>
      <c r="I77" s="357">
        <f t="shared" si="26"/>
        <v>0</v>
      </c>
    </row>
    <row r="78" spans="1:11" ht="13.5" thickBot="1" x14ac:dyDescent="0.25">
      <c r="B78" s="218"/>
      <c r="C78" s="217"/>
      <c r="D78" s="217"/>
      <c r="E78" s="219"/>
      <c r="F78" s="219"/>
      <c r="G78" s="219"/>
      <c r="H78" s="219"/>
      <c r="I78" s="219"/>
    </row>
    <row r="79" spans="1:11" ht="15.75" customHeight="1" thickBot="1" x14ac:dyDescent="0.25">
      <c r="B79" s="1577" t="s">
        <v>41</v>
      </c>
      <c r="C79" s="1578"/>
      <c r="D79" s="849"/>
      <c r="E79" s="329" t="str">
        <f>+E70</f>
        <v>jul25-jun26</v>
      </c>
      <c r="F79" s="329" t="str">
        <f>+F70</f>
        <v>jul26-jun27</v>
      </c>
      <c r="G79" s="329" t="str">
        <f>+G70</f>
        <v>jul27-jun28</v>
      </c>
      <c r="H79" s="329" t="str">
        <f>+H70</f>
        <v>jul28-jun29</v>
      </c>
      <c r="I79" s="219"/>
    </row>
    <row r="80" spans="1:11" ht="15" customHeight="1" thickBot="1" x14ac:dyDescent="0.25">
      <c r="B80" s="1579"/>
      <c r="C80" s="1580"/>
      <c r="D80" s="848"/>
      <c r="E80" s="804">
        <f>1/(1+RRT)^0.5</f>
        <v>0.95520089987608769</v>
      </c>
      <c r="F80" s="804">
        <f>E80/(1+RRT)</f>
        <v>0.87153366777015295</v>
      </c>
      <c r="G80" s="804">
        <f>F80/(1+RRT)</f>
        <v>0.79519495234503002</v>
      </c>
      <c r="H80" s="805">
        <f>G80/(1+RRT)</f>
        <v>0.72554283973086675</v>
      </c>
      <c r="I80" s="219"/>
    </row>
    <row r="81" spans="2:14" ht="13.5" thickBot="1" x14ac:dyDescent="0.25">
      <c r="B81" s="218"/>
      <c r="C81" s="217"/>
      <c r="D81" s="217"/>
      <c r="E81" s="219"/>
      <c r="F81" s="232"/>
      <c r="G81" s="219"/>
      <c r="H81" s="219"/>
      <c r="I81" s="219"/>
    </row>
    <row r="82" spans="2:14" ht="13.5" thickBot="1" x14ac:dyDescent="0.25">
      <c r="B82" s="328" t="s">
        <v>42</v>
      </c>
      <c r="C82" s="329"/>
      <c r="D82" s="329" t="s">
        <v>43</v>
      </c>
      <c r="E82" s="329" t="str">
        <f>E44</f>
        <v>jul25-jun26</v>
      </c>
      <c r="F82" s="329" t="str">
        <f>F44</f>
        <v>jul26-jun27</v>
      </c>
      <c r="G82" s="329" t="str">
        <f>G44</f>
        <v>jul27-jun28</v>
      </c>
      <c r="H82" s="329" t="str">
        <f>H44</f>
        <v>jul28-jun29</v>
      </c>
      <c r="I82" s="286"/>
    </row>
    <row r="83" spans="2:14" ht="6.75" customHeight="1" x14ac:dyDescent="0.2">
      <c r="B83" s="367"/>
      <c r="C83" s="361"/>
      <c r="D83" s="368"/>
      <c r="E83" s="362"/>
      <c r="F83" s="362"/>
      <c r="G83" s="362"/>
      <c r="H83" s="362"/>
      <c r="I83" s="212"/>
    </row>
    <row r="84" spans="2:14" x14ac:dyDescent="0.2">
      <c r="B84" s="371" t="s">
        <v>1767</v>
      </c>
      <c r="C84" s="221" t="s">
        <v>14</v>
      </c>
      <c r="D84" s="223">
        <f t="shared" ref="D84:D85" si="27">SUM(E84:H84)</f>
        <v>45309.053862541077</v>
      </c>
      <c r="E84" s="223">
        <f>E72*E$80</f>
        <v>0</v>
      </c>
      <c r="F84" s="223">
        <f>F72*F$80</f>
        <v>18531.687851803064</v>
      </c>
      <c r="G84" s="223">
        <f>G72*G$80</f>
        <v>14907.051478476356</v>
      </c>
      <c r="H84" s="223">
        <f>H72*H$80</f>
        <v>11870.314532261656</v>
      </c>
      <c r="I84" s="212"/>
    </row>
    <row r="85" spans="2:14" ht="13.5" thickBot="1" x14ac:dyDescent="0.25">
      <c r="B85" s="371" t="s">
        <v>82</v>
      </c>
      <c r="C85" s="229" t="s">
        <v>14</v>
      </c>
      <c r="D85" s="235">
        <f t="shared" si="27"/>
        <v>55377.732498661324</v>
      </c>
      <c r="E85" s="235">
        <f>E75*E$80</f>
        <v>0</v>
      </c>
      <c r="F85" s="235">
        <f>F75*F$80</f>
        <v>22649.840707759307</v>
      </c>
      <c r="G85" s="235">
        <f>G75*G$80</f>
        <v>18219.729584804434</v>
      </c>
      <c r="H85" s="235">
        <f>H75*H$80</f>
        <v>14508.162206097581</v>
      </c>
      <c r="I85" s="212"/>
    </row>
    <row r="86" spans="2:14" ht="13.5" thickBot="1" x14ac:dyDescent="0.25">
      <c r="B86" s="372" t="s">
        <v>84</v>
      </c>
      <c r="C86" s="373" t="s">
        <v>14</v>
      </c>
      <c r="D86" s="374">
        <f>+D84+D85</f>
        <v>100686.78636120239</v>
      </c>
      <c r="E86" s="374">
        <f>+E84+E85</f>
        <v>0</v>
      </c>
      <c r="F86" s="374">
        <f>+F84+F85</f>
        <v>41181.528559562372</v>
      </c>
      <c r="G86" s="374">
        <f>+G84+G85</f>
        <v>33126.781063280789</v>
      </c>
      <c r="H86" s="375">
        <f>+H84+H85</f>
        <v>26378.476738359237</v>
      </c>
      <c r="I86" s="212"/>
    </row>
    <row r="87" spans="2:14" x14ac:dyDescent="0.2">
      <c r="B87" s="217"/>
      <c r="C87" s="233"/>
      <c r="D87" s="217"/>
      <c r="E87" s="217"/>
      <c r="F87" s="217"/>
      <c r="G87" s="217"/>
      <c r="H87" s="217"/>
      <c r="I87" s="217"/>
    </row>
    <row r="88" spans="2:14" x14ac:dyDescent="0.2">
      <c r="C88" s="206"/>
      <c r="D88" s="206"/>
      <c r="E88" s="234"/>
      <c r="F88" s="234"/>
      <c r="G88" s="234"/>
      <c r="H88" s="234"/>
      <c r="I88" s="234"/>
      <c r="J88" s="234"/>
      <c r="K88" s="234"/>
      <c r="L88" s="234"/>
      <c r="M88" s="234"/>
      <c r="N88" s="234"/>
    </row>
    <row r="89" spans="2:14" x14ac:dyDescent="0.2">
      <c r="C89" s="206"/>
      <c r="D89" s="206"/>
      <c r="E89" s="234"/>
      <c r="F89" s="234"/>
      <c r="G89" s="234"/>
      <c r="H89" s="234"/>
      <c r="I89" s="234"/>
      <c r="J89" s="234"/>
      <c r="K89" s="234"/>
      <c r="L89" s="234"/>
      <c r="M89" s="234"/>
      <c r="N89" s="234"/>
    </row>
    <row r="90" spans="2:14" x14ac:dyDescent="0.2">
      <c r="C90" s="206"/>
      <c r="D90" s="206"/>
      <c r="E90" s="234"/>
      <c r="F90" s="234"/>
      <c r="G90" s="234"/>
      <c r="H90" s="234"/>
      <c r="I90" s="234"/>
      <c r="J90" s="234"/>
      <c r="K90" s="234"/>
      <c r="L90" s="234"/>
      <c r="M90" s="234"/>
      <c r="N90" s="234"/>
    </row>
    <row r="91" spans="2:14" x14ac:dyDescent="0.2">
      <c r="C91" s="206"/>
      <c r="D91" s="206"/>
      <c r="E91" s="234"/>
      <c r="F91" s="234"/>
      <c r="G91" s="234"/>
      <c r="H91" s="234"/>
      <c r="I91" s="234"/>
      <c r="J91" s="234"/>
      <c r="K91" s="234"/>
      <c r="L91" s="234"/>
      <c r="M91" s="234"/>
      <c r="N91" s="234"/>
    </row>
    <row r="92" spans="2:14" x14ac:dyDescent="0.2">
      <c r="C92" s="206"/>
      <c r="D92" s="206"/>
      <c r="E92" s="238"/>
      <c r="F92" s="238"/>
      <c r="G92" s="238"/>
      <c r="H92" s="238"/>
      <c r="I92" s="238"/>
      <c r="J92" s="238"/>
      <c r="K92" s="238"/>
      <c r="L92" s="238"/>
      <c r="M92" s="238"/>
      <c r="N92" s="238"/>
    </row>
    <row r="93" spans="2:14" x14ac:dyDescent="0.2">
      <c r="B93" s="194"/>
      <c r="C93" s="206"/>
      <c r="D93" s="206"/>
      <c r="E93" s="236"/>
      <c r="F93" s="236"/>
      <c r="G93" s="236"/>
      <c r="H93" s="236"/>
      <c r="I93" s="236"/>
      <c r="J93" s="236"/>
      <c r="K93" s="236"/>
      <c r="L93" s="236"/>
      <c r="M93" s="236"/>
      <c r="N93" s="236"/>
    </row>
    <row r="94" spans="2:14" x14ac:dyDescent="0.2">
      <c r="C94" s="206"/>
      <c r="D94" s="206"/>
      <c r="E94" s="234"/>
      <c r="F94" s="234"/>
      <c r="G94" s="234"/>
      <c r="H94" s="234"/>
      <c r="I94" s="234"/>
      <c r="J94" s="234"/>
      <c r="K94" s="234"/>
      <c r="L94" s="234"/>
      <c r="M94" s="234"/>
      <c r="N94" s="234"/>
    </row>
    <row r="95" spans="2:14" x14ac:dyDescent="0.2">
      <c r="C95" s="206"/>
      <c r="D95" s="206"/>
      <c r="E95" s="234"/>
      <c r="F95" s="234"/>
      <c r="G95" s="234"/>
      <c r="H95" s="234"/>
      <c r="I95" s="234"/>
      <c r="J95" s="234"/>
      <c r="K95" s="234"/>
      <c r="L95" s="234"/>
      <c r="M95" s="234"/>
      <c r="N95" s="234"/>
    </row>
    <row r="96" spans="2:14" x14ac:dyDescent="0.2">
      <c r="C96" s="206"/>
      <c r="D96" s="206"/>
      <c r="E96" s="234"/>
      <c r="F96" s="234"/>
      <c r="G96" s="234"/>
      <c r="H96" s="234"/>
      <c r="I96" s="234"/>
      <c r="J96" s="234"/>
      <c r="K96" s="234"/>
      <c r="L96" s="234"/>
      <c r="M96" s="234"/>
      <c r="N96" s="234"/>
    </row>
    <row r="97" spans="2:15" x14ac:dyDescent="0.2">
      <c r="C97" s="206"/>
      <c r="D97" s="206"/>
      <c r="E97" s="234"/>
      <c r="F97" s="234"/>
      <c r="G97" s="234"/>
      <c r="H97" s="234"/>
      <c r="I97" s="234"/>
      <c r="J97" s="234"/>
      <c r="K97" s="234"/>
      <c r="L97" s="234"/>
      <c r="M97" s="234"/>
      <c r="N97" s="234"/>
    </row>
    <row r="98" spans="2:15" x14ac:dyDescent="0.2">
      <c r="C98" s="206"/>
      <c r="D98" s="206"/>
      <c r="E98" s="234"/>
      <c r="F98" s="234"/>
      <c r="G98" s="234"/>
      <c r="H98" s="234"/>
      <c r="J98" s="234"/>
      <c r="K98" s="234"/>
      <c r="L98" s="234"/>
      <c r="M98" s="234"/>
      <c r="N98" s="234"/>
    </row>
    <row r="99" spans="2:15" x14ac:dyDescent="0.2">
      <c r="B99" s="194"/>
      <c r="C99" s="206"/>
      <c r="D99" s="206"/>
      <c r="E99" s="236"/>
      <c r="F99" s="236"/>
      <c r="G99" s="236"/>
      <c r="H99" s="236"/>
      <c r="I99" s="236"/>
      <c r="J99" s="236"/>
      <c r="K99" s="236"/>
      <c r="L99" s="236"/>
      <c r="M99" s="236"/>
      <c r="N99" s="236"/>
    </row>
    <row r="100" spans="2:15" x14ac:dyDescent="0.2">
      <c r="C100" s="206"/>
      <c r="D100" s="239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</row>
    <row r="101" spans="2:15" x14ac:dyDescent="0.2">
      <c r="C101" s="206"/>
      <c r="D101" s="239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38"/>
    </row>
    <row r="102" spans="2:15" x14ac:dyDescent="0.2">
      <c r="C102" s="206"/>
      <c r="D102" s="206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</row>
    <row r="103" spans="2:15" x14ac:dyDescent="0.2">
      <c r="B103" s="194"/>
      <c r="C103" s="20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</row>
    <row r="104" spans="2:15" x14ac:dyDescent="0.2"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</row>
    <row r="105" spans="2:15" x14ac:dyDescent="0.2"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</row>
    <row r="106" spans="2:15" x14ac:dyDescent="0.2">
      <c r="B106" s="1567"/>
      <c r="C106" s="1567"/>
      <c r="D106" s="1567"/>
      <c r="E106" s="1567"/>
      <c r="F106" s="1567"/>
      <c r="G106" s="1567"/>
      <c r="H106" s="1567"/>
      <c r="I106" s="1567"/>
    </row>
    <row r="107" spans="2:15" x14ac:dyDescent="0.2">
      <c r="B107" s="1567"/>
      <c r="C107" s="1567"/>
      <c r="D107" s="1567"/>
      <c r="E107" s="1567"/>
      <c r="F107" s="1567"/>
      <c r="G107" s="1567"/>
      <c r="H107" s="1567"/>
      <c r="I107" s="1567"/>
    </row>
    <row r="108" spans="2:15" x14ac:dyDescent="0.2">
      <c r="B108" s="1567"/>
      <c r="C108" s="1567"/>
      <c r="D108" s="1567"/>
      <c r="E108" s="1567"/>
      <c r="F108" s="1567"/>
      <c r="G108" s="1567"/>
      <c r="H108" s="1567"/>
      <c r="I108" s="1567"/>
    </row>
    <row r="109" spans="2:15" ht="3" customHeight="1" x14ac:dyDescent="0.2">
      <c r="B109" s="194"/>
    </row>
    <row r="110" spans="2:15" ht="3" customHeight="1" x14ac:dyDescent="0.2">
      <c r="B110" s="194"/>
    </row>
    <row r="111" spans="2:15" x14ac:dyDescent="0.2">
      <c r="B111" s="241"/>
      <c r="C111" s="242"/>
      <c r="D111" s="242"/>
      <c r="E111" s="241"/>
      <c r="F111" s="241"/>
      <c r="G111" s="241"/>
      <c r="H111" s="241"/>
      <c r="I111" s="241"/>
    </row>
    <row r="112" spans="2:15" x14ac:dyDescent="0.2">
      <c r="B112" s="243"/>
      <c r="C112" s="242"/>
      <c r="D112" s="242"/>
      <c r="E112" s="242"/>
      <c r="F112" s="244"/>
      <c r="G112" s="244"/>
      <c r="H112" s="244"/>
      <c r="I112" s="244"/>
    </row>
    <row r="113" spans="2:15" x14ac:dyDescent="0.2">
      <c r="B113" s="242"/>
      <c r="C113" s="242"/>
      <c r="D113" s="242"/>
      <c r="E113" s="245"/>
      <c r="F113" s="245"/>
      <c r="G113" s="245"/>
      <c r="H113" s="245"/>
      <c r="I113" s="245"/>
      <c r="J113" s="207"/>
    </row>
    <row r="114" spans="2:15" x14ac:dyDescent="0.2">
      <c r="B114" s="246"/>
      <c r="C114" s="242"/>
      <c r="D114" s="242"/>
      <c r="E114" s="245"/>
      <c r="F114" s="245"/>
      <c r="G114" s="245"/>
      <c r="H114" s="245"/>
      <c r="I114" s="245"/>
      <c r="J114" s="207"/>
    </row>
    <row r="115" spans="2:15" x14ac:dyDescent="0.2">
      <c r="B115" s="242"/>
      <c r="C115" s="242"/>
      <c r="D115" s="242"/>
      <c r="E115" s="245"/>
      <c r="F115" s="245"/>
      <c r="G115" s="245"/>
      <c r="H115" s="245"/>
      <c r="I115" s="245"/>
      <c r="J115" s="207"/>
    </row>
    <row r="116" spans="2:15" x14ac:dyDescent="0.2">
      <c r="B116" s="242"/>
      <c r="C116" s="242"/>
      <c r="D116" s="242"/>
      <c r="E116" s="245"/>
      <c r="F116" s="245"/>
      <c r="G116" s="245"/>
      <c r="H116" s="245"/>
      <c r="I116" s="245"/>
      <c r="J116" s="207"/>
    </row>
    <row r="117" spans="2:15" x14ac:dyDescent="0.2">
      <c r="B117" s="242"/>
      <c r="C117" s="242"/>
      <c r="D117" s="242"/>
      <c r="E117" s="245"/>
      <c r="F117" s="245"/>
      <c r="G117" s="245"/>
      <c r="H117" s="245"/>
      <c r="I117" s="245"/>
      <c r="J117" s="207"/>
    </row>
    <row r="118" spans="2:15" x14ac:dyDescent="0.2">
      <c r="B118" s="242"/>
      <c r="C118" s="242"/>
      <c r="D118" s="242"/>
      <c r="E118" s="245"/>
      <c r="F118" s="245"/>
      <c r="G118" s="245"/>
      <c r="H118" s="245"/>
      <c r="I118" s="245"/>
      <c r="J118" s="207"/>
    </row>
    <row r="119" spans="2:15" x14ac:dyDescent="0.2">
      <c r="B119" s="242"/>
      <c r="C119" s="242"/>
      <c r="D119" s="242"/>
      <c r="E119" s="242"/>
      <c r="F119" s="242"/>
      <c r="G119" s="242"/>
      <c r="H119" s="242"/>
      <c r="I119" s="242"/>
    </row>
    <row r="120" spans="2:15" x14ac:dyDescent="0.2">
      <c r="B120" s="243"/>
      <c r="C120" s="242"/>
      <c r="D120" s="242"/>
      <c r="E120" s="241"/>
      <c r="F120" s="241"/>
      <c r="G120" s="241"/>
      <c r="H120" s="241"/>
      <c r="I120" s="241"/>
    </row>
    <row r="121" spans="2:15" x14ac:dyDescent="0.2">
      <c r="B121" s="243"/>
      <c r="C121" s="242"/>
      <c r="D121" s="242"/>
      <c r="E121" s="245"/>
      <c r="F121" s="245"/>
      <c r="G121" s="245"/>
      <c r="H121" s="245"/>
      <c r="I121" s="245"/>
    </row>
    <row r="122" spans="2:15" x14ac:dyDescent="0.2">
      <c r="B122" s="247"/>
      <c r="C122" s="242"/>
      <c r="D122" s="242"/>
      <c r="E122" s="245"/>
      <c r="F122" s="245"/>
      <c r="G122" s="245"/>
      <c r="H122" s="245"/>
      <c r="I122" s="245"/>
      <c r="J122" s="207"/>
    </row>
    <row r="123" spans="2:15" x14ac:dyDescent="0.2">
      <c r="B123" s="243"/>
      <c r="C123" s="242"/>
      <c r="D123" s="242"/>
      <c r="E123" s="245"/>
      <c r="F123" s="245"/>
      <c r="G123" s="245"/>
      <c r="H123" s="245"/>
      <c r="I123" s="245"/>
    </row>
    <row r="124" spans="2:15" x14ac:dyDescent="0.2">
      <c r="B124" s="243"/>
      <c r="C124" s="242"/>
      <c r="D124" s="242"/>
      <c r="E124" s="245"/>
      <c r="F124" s="245"/>
      <c r="G124" s="245"/>
      <c r="H124" s="245"/>
      <c r="I124" s="245"/>
    </row>
    <row r="125" spans="2:15" x14ac:dyDescent="0.2">
      <c r="B125" s="242"/>
      <c r="C125" s="242"/>
      <c r="D125" s="242"/>
      <c r="E125" s="245"/>
      <c r="F125" s="245"/>
      <c r="G125" s="245"/>
      <c r="H125" s="245"/>
      <c r="I125" s="245"/>
      <c r="J125" s="209"/>
    </row>
    <row r="126" spans="2:15" x14ac:dyDescent="0.2">
      <c r="B126" s="242"/>
      <c r="C126" s="242"/>
      <c r="D126" s="242"/>
      <c r="E126" s="245"/>
      <c r="F126" s="245"/>
      <c r="G126" s="245"/>
      <c r="H126" s="245"/>
      <c r="I126" s="245"/>
    </row>
    <row r="127" spans="2:15" x14ac:dyDescent="0.2">
      <c r="B127" s="242"/>
      <c r="C127" s="242"/>
      <c r="D127" s="242"/>
      <c r="E127" s="242"/>
      <c r="F127" s="242"/>
      <c r="G127" s="242"/>
      <c r="H127" s="242"/>
      <c r="I127" s="242"/>
    </row>
    <row r="128" spans="2:15" x14ac:dyDescent="0.2">
      <c r="B128" s="243"/>
      <c r="C128" s="242"/>
      <c r="D128" s="242"/>
      <c r="E128" s="248"/>
      <c r="F128" s="248"/>
      <c r="G128" s="248"/>
      <c r="H128" s="248"/>
      <c r="I128" s="248"/>
      <c r="M128" s="194"/>
      <c r="N128" s="194"/>
      <c r="O128" s="194"/>
    </row>
    <row r="129" spans="2:15" x14ac:dyDescent="0.2">
      <c r="B129" s="242"/>
      <c r="C129" s="242"/>
      <c r="D129" s="242"/>
      <c r="E129" s="242"/>
      <c r="F129" s="242"/>
      <c r="G129" s="242"/>
      <c r="H129" s="242"/>
      <c r="I129" s="242"/>
      <c r="K129" s="194"/>
      <c r="M129" s="194"/>
      <c r="N129" s="194"/>
      <c r="O129" s="194"/>
    </row>
    <row r="130" spans="2:15" x14ac:dyDescent="0.2">
      <c r="B130" s="243"/>
      <c r="C130" s="242"/>
      <c r="D130" s="241"/>
      <c r="E130" s="242"/>
      <c r="F130" s="242"/>
      <c r="G130" s="242"/>
      <c r="H130" s="249"/>
      <c r="I130" s="249"/>
      <c r="M130" s="250"/>
      <c r="N130" s="250"/>
      <c r="O130" s="250"/>
    </row>
    <row r="131" spans="2:15" x14ac:dyDescent="0.2">
      <c r="B131" s="243"/>
      <c r="C131" s="242"/>
      <c r="D131" s="251"/>
      <c r="E131" s="252"/>
      <c r="F131" s="252"/>
      <c r="G131" s="252"/>
      <c r="H131" s="252"/>
      <c r="I131" s="253"/>
      <c r="M131" s="254"/>
      <c r="N131" s="254"/>
      <c r="O131" s="254"/>
    </row>
    <row r="132" spans="2:15" x14ac:dyDescent="0.2">
      <c r="B132" s="255"/>
      <c r="C132" s="242"/>
      <c r="D132" s="256"/>
      <c r="E132" s="257"/>
      <c r="F132" s="257"/>
      <c r="G132" s="257"/>
      <c r="H132" s="257"/>
      <c r="I132" s="253"/>
      <c r="M132" s="254"/>
      <c r="N132" s="254"/>
      <c r="O132" s="254"/>
    </row>
    <row r="133" spans="2:15" x14ac:dyDescent="0.2">
      <c r="B133" s="255"/>
      <c r="C133" s="242"/>
      <c r="D133" s="256"/>
      <c r="E133" s="257"/>
      <c r="F133" s="257"/>
      <c r="G133" s="257"/>
      <c r="H133" s="257"/>
      <c r="I133" s="253"/>
      <c r="K133" s="258"/>
      <c r="M133" s="254"/>
      <c r="N133" s="254"/>
      <c r="O133" s="254"/>
    </row>
    <row r="134" spans="2:15" ht="13.5" customHeight="1" x14ac:dyDescent="0.2">
      <c r="B134" s="247"/>
      <c r="C134" s="242"/>
      <c r="D134" s="259"/>
      <c r="E134" s="252"/>
      <c r="F134" s="252"/>
      <c r="G134" s="252"/>
      <c r="H134" s="252"/>
      <c r="I134" s="253"/>
      <c r="M134" s="254"/>
      <c r="N134" s="254"/>
      <c r="O134" s="254"/>
    </row>
    <row r="135" spans="2:15" x14ac:dyDescent="0.2">
      <c r="B135" s="255"/>
      <c r="C135" s="242"/>
      <c r="D135" s="259"/>
      <c r="E135" s="252"/>
      <c r="F135" s="252"/>
      <c r="G135" s="252"/>
      <c r="H135" s="252"/>
      <c r="I135" s="253"/>
      <c r="K135" s="258"/>
      <c r="M135" s="254"/>
      <c r="N135" s="254"/>
      <c r="O135" s="254"/>
    </row>
    <row r="136" spans="2:15" x14ac:dyDescent="0.2">
      <c r="B136" s="243"/>
      <c r="C136" s="242"/>
      <c r="D136" s="259"/>
      <c r="E136" s="253"/>
      <c r="F136" s="253"/>
      <c r="G136" s="253"/>
      <c r="H136" s="253"/>
      <c r="I136" s="253"/>
      <c r="K136" s="194"/>
      <c r="M136" s="260"/>
      <c r="N136" s="260"/>
      <c r="O136" s="260"/>
    </row>
    <row r="137" spans="2:15" x14ac:dyDescent="0.2">
      <c r="B137" s="243"/>
      <c r="C137" s="242"/>
      <c r="D137" s="259"/>
      <c r="E137" s="253"/>
      <c r="F137" s="253"/>
      <c r="G137" s="253"/>
      <c r="H137" s="253"/>
      <c r="I137" s="253"/>
      <c r="M137" s="254"/>
      <c r="N137" s="254"/>
      <c r="O137" s="254"/>
    </row>
    <row r="138" spans="2:15" x14ac:dyDescent="0.2">
      <c r="B138" s="255"/>
      <c r="C138" s="242"/>
      <c r="D138" s="245"/>
      <c r="E138" s="253"/>
      <c r="F138" s="253"/>
      <c r="G138" s="253"/>
      <c r="H138" s="253"/>
      <c r="I138" s="253"/>
      <c r="K138" s="194"/>
      <c r="M138" s="261"/>
      <c r="N138" s="261"/>
      <c r="O138" s="261"/>
    </row>
    <row r="139" spans="2:15" x14ac:dyDescent="0.2">
      <c r="B139" s="255"/>
      <c r="C139" s="242"/>
      <c r="D139" s="245"/>
      <c r="E139" s="253"/>
      <c r="F139" s="253"/>
      <c r="G139" s="253"/>
      <c r="H139" s="253"/>
      <c r="I139" s="253"/>
    </row>
    <row r="140" spans="2:15" x14ac:dyDescent="0.2">
      <c r="B140" s="243"/>
      <c r="C140" s="242"/>
      <c r="D140" s="259"/>
      <c r="E140" s="262"/>
      <c r="F140" s="262"/>
      <c r="G140" s="262"/>
      <c r="H140" s="262"/>
      <c r="I140" s="262"/>
      <c r="K140" s="212"/>
      <c r="M140" s="263"/>
      <c r="N140" s="263"/>
      <c r="O140" s="263"/>
    </row>
    <row r="141" spans="2:15" x14ac:dyDescent="0.2">
      <c r="B141" s="194"/>
      <c r="D141" s="212"/>
      <c r="E141" s="264"/>
      <c r="G141" s="264"/>
      <c r="H141" s="264"/>
      <c r="I141" s="264"/>
      <c r="K141" s="194"/>
    </row>
    <row r="142" spans="2:15" x14ac:dyDescent="0.2">
      <c r="I142" s="212"/>
      <c r="K142" s="210"/>
    </row>
    <row r="143" spans="2:15" x14ac:dyDescent="0.2">
      <c r="E143" s="212"/>
      <c r="F143" s="212"/>
      <c r="G143" s="212"/>
      <c r="H143" s="212"/>
      <c r="I143" s="212"/>
      <c r="K143" s="210"/>
    </row>
    <row r="144" spans="2:15" x14ac:dyDescent="0.2">
      <c r="D144" s="237"/>
      <c r="E144" s="194"/>
    </row>
    <row r="145" spans="1:15" x14ac:dyDescent="0.2">
      <c r="F145" s="265"/>
      <c r="G145" s="265"/>
      <c r="H145" s="265"/>
      <c r="I145" s="265"/>
    </row>
    <row r="146" spans="1:15" ht="21" customHeight="1" x14ac:dyDescent="0.2">
      <c r="B146" s="1568"/>
      <c r="C146" s="1569"/>
      <c r="F146" s="266"/>
      <c r="G146" s="266"/>
      <c r="H146" s="266"/>
      <c r="I146" s="266"/>
      <c r="M146" s="1567"/>
      <c r="N146" s="1567"/>
      <c r="O146" s="1567"/>
    </row>
    <row r="147" spans="1:15" ht="18.75" customHeight="1" x14ac:dyDescent="0.2">
      <c r="B147" s="267"/>
      <c r="C147" s="268"/>
      <c r="D147" s="266"/>
      <c r="E147" s="266"/>
      <c r="F147" s="266"/>
      <c r="G147" s="266"/>
      <c r="M147" s="210"/>
      <c r="N147" s="210"/>
      <c r="O147" s="210"/>
    </row>
    <row r="148" spans="1:15" ht="18.75" customHeight="1" x14ac:dyDescent="0.2">
      <c r="B148" s="267"/>
      <c r="C148" s="268"/>
      <c r="D148" s="266"/>
      <c r="E148" s="266"/>
      <c r="F148" s="266"/>
      <c r="G148" s="269"/>
      <c r="H148" s="194"/>
      <c r="I148" s="269"/>
      <c r="J148" s="194"/>
      <c r="K148" s="269"/>
      <c r="M148" s="210"/>
      <c r="N148" s="210"/>
      <c r="O148" s="210"/>
    </row>
    <row r="149" spans="1:15" ht="21" customHeight="1" x14ac:dyDescent="0.2">
      <c r="B149" s="241"/>
      <c r="C149" s="270"/>
      <c r="D149" s="266"/>
      <c r="E149" s="266"/>
      <c r="F149" s="194"/>
      <c r="G149" s="212"/>
      <c r="H149" s="212"/>
      <c r="I149" s="212"/>
      <c r="J149" s="212"/>
      <c r="K149" s="212"/>
      <c r="M149" s="210"/>
      <c r="N149" s="210"/>
      <c r="O149" s="210"/>
    </row>
    <row r="150" spans="1:15" x14ac:dyDescent="0.2">
      <c r="D150" s="266"/>
      <c r="E150" s="266"/>
      <c r="M150" s="210"/>
      <c r="N150" s="210"/>
      <c r="O150" s="210"/>
    </row>
    <row r="151" spans="1:15" x14ac:dyDescent="0.2">
      <c r="G151" s="266"/>
      <c r="H151" s="194"/>
      <c r="I151" s="194"/>
      <c r="J151" s="194"/>
      <c r="K151" s="254"/>
      <c r="L151" s="254"/>
      <c r="M151" s="254"/>
      <c r="N151" s="254"/>
      <c r="O151" s="254"/>
    </row>
    <row r="152" spans="1:15" x14ac:dyDescent="0.2">
      <c r="F152" s="194"/>
      <c r="G152" s="212"/>
      <c r="H152" s="212"/>
      <c r="I152" s="212"/>
      <c r="J152" s="212"/>
      <c r="K152" s="254"/>
      <c r="L152" s="254"/>
      <c r="M152" s="254"/>
      <c r="N152" s="254"/>
      <c r="O152" s="254"/>
    </row>
    <row r="153" spans="1:15" x14ac:dyDescent="0.2">
      <c r="A153" s="209"/>
      <c r="B153" s="209"/>
      <c r="C153" s="209"/>
      <c r="D153" s="209"/>
      <c r="E153" s="209"/>
      <c r="F153" s="209"/>
      <c r="G153" s="209"/>
      <c r="H153" s="209"/>
      <c r="I153" s="209"/>
      <c r="J153" s="271"/>
      <c r="K153" s="271"/>
      <c r="L153" s="271"/>
      <c r="M153" s="271"/>
      <c r="N153" s="271"/>
      <c r="O153" s="271"/>
    </row>
    <row r="154" spans="1:15" x14ac:dyDescent="0.2">
      <c r="E154" s="212"/>
      <c r="J154" s="254"/>
      <c r="K154" s="254"/>
      <c r="L154" s="254"/>
      <c r="M154" s="254"/>
      <c r="N154" s="254"/>
      <c r="O154" s="254"/>
    </row>
    <row r="155" spans="1:15" x14ac:dyDescent="0.2">
      <c r="J155" s="254"/>
      <c r="K155" s="254"/>
      <c r="L155" s="254"/>
      <c r="M155" s="254"/>
      <c r="N155" s="254"/>
      <c r="O155" s="254"/>
    </row>
    <row r="156" spans="1:15" x14ac:dyDescent="0.2">
      <c r="D156" s="212"/>
      <c r="I156" s="263"/>
      <c r="J156" s="254"/>
      <c r="K156" s="254"/>
      <c r="L156" s="254"/>
      <c r="M156" s="254"/>
      <c r="N156" s="254"/>
      <c r="O156" s="254"/>
    </row>
    <row r="158" spans="1:15" x14ac:dyDescent="0.2">
      <c r="B158" s="194"/>
      <c r="C158" s="210"/>
      <c r="D158" s="210"/>
      <c r="E158" s="210"/>
      <c r="F158" s="210"/>
      <c r="G158" s="210"/>
      <c r="H158" s="210"/>
      <c r="I158" s="210"/>
    </row>
    <row r="159" spans="1:15" x14ac:dyDescent="0.2">
      <c r="C159" s="206"/>
      <c r="D159" s="272"/>
      <c r="E159" s="272"/>
      <c r="F159" s="272"/>
      <c r="G159" s="272"/>
      <c r="H159" s="272"/>
      <c r="I159" s="272"/>
    </row>
    <row r="160" spans="1:15" x14ac:dyDescent="0.2">
      <c r="C160" s="206"/>
      <c r="D160" s="272"/>
      <c r="E160" s="272"/>
      <c r="F160" s="272"/>
      <c r="G160" s="272"/>
      <c r="H160" s="272"/>
      <c r="I160" s="272"/>
    </row>
    <row r="161" spans="2:15" x14ac:dyDescent="0.2">
      <c r="C161" s="206"/>
      <c r="D161" s="273"/>
      <c r="E161" s="272"/>
      <c r="F161" s="272"/>
      <c r="G161" s="272"/>
      <c r="H161" s="272"/>
      <c r="I161" s="272"/>
    </row>
    <row r="162" spans="2:15" x14ac:dyDescent="0.2">
      <c r="B162" s="194"/>
      <c r="C162" s="206"/>
      <c r="D162" s="206"/>
      <c r="H162" s="274"/>
    </row>
    <row r="163" spans="2:15" x14ac:dyDescent="0.2">
      <c r="C163" s="206"/>
      <c r="D163" s="207"/>
      <c r="E163" s="207"/>
      <c r="F163" s="207"/>
      <c r="G163" s="207"/>
      <c r="H163" s="207"/>
      <c r="I163" s="207"/>
    </row>
    <row r="164" spans="2:15" x14ac:dyDescent="0.2">
      <c r="C164" s="206"/>
      <c r="D164" s="207"/>
      <c r="E164" s="207"/>
      <c r="F164" s="207"/>
      <c r="G164" s="207"/>
      <c r="H164" s="207"/>
      <c r="I164" s="207"/>
    </row>
    <row r="165" spans="2:15" x14ac:dyDescent="0.2">
      <c r="C165" s="206"/>
      <c r="D165" s="207"/>
      <c r="E165" s="207"/>
      <c r="F165" s="207"/>
      <c r="G165" s="207"/>
      <c r="H165" s="207"/>
      <c r="I165" s="207"/>
    </row>
    <row r="166" spans="2:15" x14ac:dyDescent="0.2">
      <c r="C166" s="206"/>
      <c r="D166" s="207"/>
      <c r="E166" s="207"/>
      <c r="F166" s="207"/>
      <c r="G166" s="207"/>
      <c r="H166" s="207"/>
      <c r="I166" s="207"/>
    </row>
    <row r="167" spans="2:15" x14ac:dyDescent="0.2">
      <c r="C167" s="206"/>
      <c r="D167" s="207"/>
      <c r="E167" s="207"/>
      <c r="F167" s="207"/>
      <c r="G167" s="207"/>
      <c r="H167" s="207"/>
      <c r="I167" s="207"/>
    </row>
    <row r="168" spans="2:15" x14ac:dyDescent="0.2">
      <c r="C168" s="206"/>
      <c r="D168" s="207"/>
      <c r="E168" s="207"/>
      <c r="F168" s="207"/>
      <c r="G168" s="207"/>
      <c r="H168" s="207"/>
      <c r="I168" s="207"/>
    </row>
    <row r="169" spans="2:15" x14ac:dyDescent="0.2">
      <c r="B169" s="194"/>
      <c r="C169" s="206"/>
      <c r="D169" s="206"/>
    </row>
    <row r="170" spans="2:15" x14ac:dyDescent="0.2">
      <c r="C170" s="206"/>
      <c r="D170" s="207"/>
      <c r="E170" s="207"/>
      <c r="F170" s="207"/>
      <c r="G170" s="207"/>
      <c r="H170" s="207"/>
      <c r="I170" s="207"/>
    </row>
    <row r="171" spans="2:15" x14ac:dyDescent="0.2">
      <c r="C171" s="206"/>
      <c r="D171" s="207"/>
      <c r="E171" s="207"/>
      <c r="F171" s="207"/>
      <c r="G171" s="207"/>
      <c r="H171" s="207"/>
      <c r="I171" s="207"/>
    </row>
    <row r="172" spans="2:15" x14ac:dyDescent="0.2">
      <c r="B172" s="194"/>
      <c r="C172" s="206"/>
      <c r="D172" s="206"/>
    </row>
    <row r="173" spans="2:15" x14ac:dyDescent="0.2">
      <c r="C173" s="206"/>
      <c r="D173" s="239"/>
      <c r="E173" s="207"/>
      <c r="F173" s="207"/>
      <c r="G173" s="207"/>
      <c r="H173" s="207"/>
      <c r="I173" s="207"/>
    </row>
    <row r="174" spans="2:15" x14ac:dyDescent="0.2">
      <c r="C174" s="206"/>
      <c r="D174" s="239"/>
      <c r="E174" s="275"/>
      <c r="F174" s="275"/>
      <c r="G174" s="275"/>
      <c r="H174" s="275"/>
      <c r="I174" s="275"/>
    </row>
    <row r="176" spans="2:15" x14ac:dyDescent="0.2">
      <c r="B176" s="194"/>
      <c r="C176" s="206"/>
      <c r="D176" s="210"/>
      <c r="E176" s="210"/>
      <c r="F176" s="210"/>
      <c r="G176" s="210"/>
      <c r="H176" s="210"/>
      <c r="I176" s="210"/>
      <c r="J176" s="254"/>
      <c r="K176" s="254"/>
      <c r="L176" s="254"/>
      <c r="M176" s="254"/>
      <c r="N176" s="254"/>
      <c r="O176" s="254"/>
    </row>
    <row r="177" spans="2:15" x14ac:dyDescent="0.2">
      <c r="B177" s="194"/>
      <c r="C177" s="206"/>
      <c r="D177" s="206"/>
      <c r="E177" s="276"/>
      <c r="F177" s="194"/>
      <c r="G177" s="194"/>
      <c r="H177" s="194"/>
      <c r="I177" s="194"/>
      <c r="K177" s="194"/>
      <c r="M177" s="261"/>
      <c r="N177" s="261"/>
      <c r="O177" s="261"/>
    </row>
    <row r="178" spans="2:15" x14ac:dyDescent="0.2">
      <c r="B178" s="194"/>
      <c r="C178" s="206"/>
      <c r="D178" s="206"/>
      <c r="E178" s="237"/>
      <c r="F178" s="237"/>
      <c r="G178" s="237"/>
      <c r="H178" s="237"/>
      <c r="I178" s="237"/>
    </row>
    <row r="179" spans="2:15" x14ac:dyDescent="0.2">
      <c r="C179" s="206"/>
      <c r="D179" s="206"/>
      <c r="E179" s="207"/>
      <c r="F179" s="207"/>
      <c r="G179" s="207"/>
      <c r="H179" s="207"/>
      <c r="I179" s="207"/>
      <c r="M179" s="263"/>
      <c r="N179" s="263"/>
      <c r="O179" s="263"/>
    </row>
    <row r="180" spans="2:15" x14ac:dyDescent="0.2">
      <c r="C180" s="206"/>
      <c r="D180" s="206"/>
      <c r="E180" s="207"/>
      <c r="F180" s="207"/>
      <c r="G180" s="207"/>
      <c r="H180" s="207"/>
      <c r="I180" s="207"/>
      <c r="K180" s="194"/>
    </row>
    <row r="181" spans="2:15" x14ac:dyDescent="0.2">
      <c r="C181" s="206"/>
      <c r="D181" s="206"/>
      <c r="E181" s="207"/>
      <c r="F181" s="207"/>
      <c r="G181" s="207"/>
      <c r="H181" s="207"/>
      <c r="I181" s="207"/>
      <c r="K181" s="210"/>
    </row>
    <row r="182" spans="2:15" x14ac:dyDescent="0.2">
      <c r="C182" s="206"/>
      <c r="D182" s="206"/>
      <c r="E182" s="207"/>
      <c r="F182" s="207"/>
      <c r="G182" s="207"/>
      <c r="H182" s="207"/>
      <c r="I182" s="207"/>
      <c r="K182" s="210"/>
    </row>
    <row r="183" spans="2:15" x14ac:dyDescent="0.2">
      <c r="C183" s="206"/>
      <c r="D183" s="206"/>
      <c r="E183" s="277"/>
      <c r="F183" s="277"/>
      <c r="G183" s="277"/>
      <c r="H183" s="277"/>
      <c r="I183" s="277"/>
      <c r="K183" s="210"/>
    </row>
    <row r="184" spans="2:15" x14ac:dyDescent="0.2">
      <c r="B184" s="194"/>
      <c r="C184" s="206"/>
      <c r="D184" s="206"/>
      <c r="E184" s="237"/>
      <c r="F184" s="237"/>
      <c r="G184" s="237"/>
      <c r="H184" s="237"/>
      <c r="I184" s="237"/>
      <c r="K184" s="210"/>
    </row>
    <row r="185" spans="2:15" x14ac:dyDescent="0.2">
      <c r="C185" s="206"/>
      <c r="D185" s="206"/>
      <c r="E185" s="207"/>
      <c r="F185" s="207"/>
      <c r="G185" s="207"/>
      <c r="H185" s="207"/>
      <c r="I185" s="207"/>
    </row>
    <row r="186" spans="2:15" x14ac:dyDescent="0.2">
      <c r="C186" s="206"/>
      <c r="D186" s="206"/>
      <c r="E186" s="207"/>
      <c r="F186" s="207"/>
      <c r="G186" s="207"/>
      <c r="H186" s="207"/>
      <c r="I186" s="207"/>
    </row>
    <row r="187" spans="2:15" x14ac:dyDescent="0.2">
      <c r="C187" s="206"/>
      <c r="D187" s="206"/>
      <c r="E187" s="207"/>
      <c r="F187" s="207"/>
      <c r="G187" s="207"/>
      <c r="H187" s="207"/>
      <c r="I187" s="207"/>
    </row>
    <row r="188" spans="2:15" x14ac:dyDescent="0.2">
      <c r="C188" s="206"/>
      <c r="D188" s="206"/>
      <c r="E188" s="207"/>
      <c r="F188" s="207"/>
      <c r="G188" s="207"/>
      <c r="H188" s="207"/>
      <c r="I188" s="207"/>
    </row>
    <row r="189" spans="2:15" x14ac:dyDescent="0.2">
      <c r="C189" s="206"/>
      <c r="D189" s="206"/>
      <c r="E189" s="207"/>
      <c r="F189" s="207"/>
      <c r="G189" s="207"/>
      <c r="H189" s="207"/>
      <c r="I189" s="207"/>
    </row>
    <row r="190" spans="2:15" x14ac:dyDescent="0.2">
      <c r="B190" s="194"/>
      <c r="C190" s="206"/>
      <c r="D190" s="206"/>
      <c r="E190" s="237"/>
      <c r="F190" s="237"/>
      <c r="G190" s="237"/>
      <c r="H190" s="237"/>
      <c r="I190" s="237"/>
    </row>
    <row r="191" spans="2:15" x14ac:dyDescent="0.2">
      <c r="C191" s="206"/>
      <c r="D191" s="239"/>
      <c r="E191" s="239"/>
      <c r="F191" s="239"/>
      <c r="G191" s="239"/>
      <c r="H191" s="239"/>
      <c r="I191" s="239"/>
    </row>
    <row r="192" spans="2:15" x14ac:dyDescent="0.2">
      <c r="C192" s="206"/>
      <c r="D192" s="239"/>
      <c r="E192" s="239"/>
      <c r="F192" s="239"/>
      <c r="G192" s="239"/>
      <c r="H192" s="239"/>
      <c r="I192" s="239"/>
    </row>
    <row r="193" spans="2:9" x14ac:dyDescent="0.2">
      <c r="B193" s="200"/>
      <c r="C193" s="208"/>
      <c r="D193" s="208"/>
      <c r="E193" s="278"/>
      <c r="F193" s="278"/>
      <c r="G193" s="278"/>
      <c r="H193" s="278"/>
      <c r="I193" s="278"/>
    </row>
    <row r="194" spans="2:9" x14ac:dyDescent="0.2">
      <c r="B194" s="279"/>
      <c r="C194" s="200"/>
      <c r="D194" s="200"/>
      <c r="E194" s="280"/>
      <c r="F194" s="280"/>
      <c r="G194" s="280"/>
      <c r="H194" s="280"/>
      <c r="I194" s="280"/>
    </row>
  </sheetData>
  <mergeCells count="9">
    <mergeCell ref="M146:O146"/>
    <mergeCell ref="B106:I106"/>
    <mergeCell ref="B107:I107"/>
    <mergeCell ref="B2:I2"/>
    <mergeCell ref="B3:I3"/>
    <mergeCell ref="B4:I4"/>
    <mergeCell ref="B108:I108"/>
    <mergeCell ref="B146:C146"/>
    <mergeCell ref="B79:C8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3" manualBreakCount="3">
    <brk id="40" max="16383" man="1"/>
    <brk id="104" max="16383" man="1"/>
    <brk id="1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5"/>
  <sheetViews>
    <sheetView workbookViewId="0">
      <selection activeCell="B26" sqref="B26"/>
    </sheetView>
  </sheetViews>
  <sheetFormatPr baseColWidth="10" defaultColWidth="11.42578125" defaultRowHeight="15" x14ac:dyDescent="0.25"/>
  <cols>
    <col min="1" max="1" width="28.5703125" customWidth="1"/>
    <col min="2" max="2" width="14.140625" customWidth="1"/>
    <col min="3" max="3" width="10.85546875" customWidth="1"/>
    <col min="5" max="5" width="11.140625" customWidth="1"/>
  </cols>
  <sheetData>
    <row r="2" spans="1:12" x14ac:dyDescent="0.25">
      <c r="B2" s="2" t="s">
        <v>85</v>
      </c>
      <c r="I2" t="s">
        <v>86</v>
      </c>
      <c r="J2" t="s">
        <v>87</v>
      </c>
    </row>
    <row r="3" spans="1:12" x14ac:dyDescent="0.25">
      <c r="A3" s="110" t="s">
        <v>88</v>
      </c>
      <c r="B3" s="110" t="s">
        <v>89</v>
      </c>
      <c r="C3" s="110" t="s">
        <v>90</v>
      </c>
      <c r="D3" s="110" t="s">
        <v>91</v>
      </c>
      <c r="E3" s="110" t="s">
        <v>92</v>
      </c>
      <c r="F3" s="110" t="s">
        <v>93</v>
      </c>
      <c r="G3" s="110" t="s">
        <v>94</v>
      </c>
      <c r="H3" s="110" t="s">
        <v>95</v>
      </c>
      <c r="I3" s="110" t="s">
        <v>96</v>
      </c>
      <c r="J3" s="110" t="s">
        <v>97</v>
      </c>
    </row>
    <row r="4" spans="1:12" x14ac:dyDescent="0.25">
      <c r="A4" s="686" t="s">
        <v>98</v>
      </c>
      <c r="B4" s="592">
        <v>1.32E-2</v>
      </c>
      <c r="C4" s="689">
        <v>9.9193851328666705E-2</v>
      </c>
      <c r="D4" s="726">
        <v>1.1366666666666669E-2</v>
      </c>
      <c r="E4" s="592">
        <v>9.300000000000001E-3</v>
      </c>
      <c r="F4" s="687">
        <v>1.32E-2</v>
      </c>
      <c r="G4" s="592">
        <v>1.1366666666666669E-2</v>
      </c>
      <c r="H4" s="592">
        <v>1.1366666666666669E-2</v>
      </c>
      <c r="I4" s="592">
        <v>1.1366666666666669E-2</v>
      </c>
      <c r="J4" s="592">
        <v>1.1366666666666669E-2</v>
      </c>
      <c r="L4" s="110" t="s">
        <v>99</v>
      </c>
    </row>
    <row r="5" spans="1:12" x14ac:dyDescent="0.25">
      <c r="A5" s="686" t="s">
        <v>100</v>
      </c>
      <c r="B5" s="592">
        <v>1.8700000000000001E-2</v>
      </c>
      <c r="C5" s="690">
        <v>0.18995186192845651</v>
      </c>
      <c r="D5" s="726">
        <v>2.1766666666666667E-2</v>
      </c>
      <c r="E5" s="592">
        <v>2.4321600000000002E-2</v>
      </c>
      <c r="F5" s="687">
        <v>1.8700000000000001E-2</v>
      </c>
      <c r="G5" s="592">
        <v>2.1766666666666667E-2</v>
      </c>
      <c r="H5" s="592">
        <v>2.1766666666666667E-2</v>
      </c>
      <c r="I5" s="592">
        <v>2.1766666666666667E-2</v>
      </c>
      <c r="J5" s="592">
        <v>2.1766666666666667E-2</v>
      </c>
      <c r="L5" t="s">
        <v>101</v>
      </c>
    </row>
    <row r="6" spans="1:12" x14ac:dyDescent="0.25">
      <c r="A6" s="686" t="s">
        <v>8</v>
      </c>
      <c r="B6" s="592">
        <v>7.2999999999999995E-2</v>
      </c>
      <c r="C6" s="690">
        <v>0.35038969888223009</v>
      </c>
      <c r="D6" s="726">
        <v>6.83E-2</v>
      </c>
      <c r="E6" s="592">
        <v>7.7600000000000002E-2</v>
      </c>
      <c r="F6" s="592">
        <v>6.83E-2</v>
      </c>
      <c r="G6" s="592">
        <v>6.83E-2</v>
      </c>
      <c r="H6" s="592">
        <v>6.83E-2</v>
      </c>
      <c r="I6" s="592">
        <v>6.83E-2</v>
      </c>
      <c r="J6" s="592">
        <v>6.83E-2</v>
      </c>
      <c r="L6" t="s">
        <v>102</v>
      </c>
    </row>
    <row r="7" spans="1:12" x14ac:dyDescent="0.25">
      <c r="A7" s="686" t="s">
        <v>103</v>
      </c>
      <c r="B7" s="592">
        <v>3.3385882564188139E-2</v>
      </c>
      <c r="C7" s="690">
        <v>0.24712081078634229</v>
      </c>
      <c r="D7" s="726">
        <v>3.3385882564188139E-2</v>
      </c>
      <c r="E7" s="592">
        <v>3.5000000000000003E-2</v>
      </c>
      <c r="F7" s="592">
        <v>3.3385882564188139E-2</v>
      </c>
      <c r="G7" s="687">
        <v>3.5000000000000003E-2</v>
      </c>
      <c r="H7" s="592">
        <v>3.3385882564188139E-2</v>
      </c>
      <c r="I7" s="592">
        <v>3.3385882564188139E-2</v>
      </c>
      <c r="J7" s="592">
        <v>3.3385882564188139E-2</v>
      </c>
      <c r="L7" t="s">
        <v>104</v>
      </c>
    </row>
    <row r="8" spans="1:12" x14ac:dyDescent="0.25">
      <c r="A8" s="686" t="s">
        <v>105</v>
      </c>
      <c r="B8" s="680">
        <v>0</v>
      </c>
      <c r="C8" s="690"/>
      <c r="D8" s="680">
        <v>0</v>
      </c>
      <c r="E8" s="680">
        <v>0</v>
      </c>
      <c r="F8" s="680">
        <v>0</v>
      </c>
      <c r="G8" s="680">
        <v>0</v>
      </c>
      <c r="H8" s="680">
        <v>0</v>
      </c>
      <c r="I8" s="680">
        <v>0</v>
      </c>
      <c r="J8" s="680">
        <v>0</v>
      </c>
      <c r="L8" t="s">
        <v>106</v>
      </c>
    </row>
    <row r="9" spans="1:12" x14ac:dyDescent="0.25">
      <c r="A9" s="685" t="s">
        <v>107</v>
      </c>
      <c r="B9" s="108">
        <v>449598717.77651668</v>
      </c>
      <c r="C9" s="690">
        <v>0.1008756884233591</v>
      </c>
      <c r="D9" s="108">
        <v>406026641.83440691</v>
      </c>
      <c r="E9" s="108">
        <v>368338574.5715453</v>
      </c>
      <c r="F9" s="108">
        <v>406026641.83440691</v>
      </c>
      <c r="G9" s="108">
        <v>406026641.83440691</v>
      </c>
      <c r="H9" s="688">
        <v>534270761.71947551</v>
      </c>
      <c r="I9" s="691">
        <v>464077211.84943664</v>
      </c>
      <c r="J9" s="108">
        <v>406026641.83440691</v>
      </c>
      <c r="L9" t="s">
        <v>108</v>
      </c>
    </row>
    <row r="10" spans="1:12" x14ac:dyDescent="0.25">
      <c r="A10" s="685" t="s">
        <v>109</v>
      </c>
      <c r="B10" s="108">
        <v>143161125.87159553</v>
      </c>
      <c r="C10" s="690">
        <v>3.2078499129114382E-2</v>
      </c>
      <c r="D10" s="108">
        <v>129255557.738346</v>
      </c>
      <c r="E10" s="108">
        <v>355719168</v>
      </c>
      <c r="F10" s="108">
        <v>129255557.738346</v>
      </c>
      <c r="G10" s="108">
        <v>129255557.738346</v>
      </c>
      <c r="H10" s="688">
        <v>173566072.55282328</v>
      </c>
      <c r="I10" s="691">
        <v>150149234.19272014</v>
      </c>
      <c r="J10" s="108">
        <v>129255557.738346</v>
      </c>
    </row>
    <row r="11" spans="1:12" x14ac:dyDescent="0.25">
      <c r="A11" s="685" t="s">
        <v>110</v>
      </c>
      <c r="B11" s="108">
        <v>7309323.2731987555</v>
      </c>
      <c r="C11" s="690">
        <v>0</v>
      </c>
      <c r="D11" s="108">
        <v>6552391.9799189642</v>
      </c>
      <c r="E11" s="108">
        <v>6933848.1310749892</v>
      </c>
      <c r="F11" s="108">
        <v>6552391.9799189642</v>
      </c>
      <c r="G11" s="108">
        <v>6552391.9799189642</v>
      </c>
      <c r="H11" s="688">
        <v>9685985.5702508613</v>
      </c>
      <c r="I11" s="691">
        <v>8416191.5475499239</v>
      </c>
      <c r="J11" s="108">
        <v>6552391.9799189642</v>
      </c>
    </row>
    <row r="12" spans="1:12" x14ac:dyDescent="0.25">
      <c r="A12" s="685" t="s">
        <v>111</v>
      </c>
      <c r="B12" s="108">
        <v>329571159.5981009</v>
      </c>
      <c r="C12" s="690">
        <v>9.7352924397285615E-2</v>
      </c>
      <c r="D12" s="108">
        <v>353770646.49475491</v>
      </c>
      <c r="E12" s="108">
        <v>347773847.60483652</v>
      </c>
      <c r="F12" s="108">
        <v>353770646.49475491</v>
      </c>
      <c r="G12" s="108">
        <v>353770646.49475491</v>
      </c>
      <c r="H12" s="688">
        <v>429174595.40946174</v>
      </c>
      <c r="I12" s="108">
        <v>353770646.49475491</v>
      </c>
      <c r="J12" s="108">
        <v>353770646.49475491</v>
      </c>
    </row>
    <row r="13" spans="1:12" x14ac:dyDescent="0.25">
      <c r="A13" s="685" t="s">
        <v>112</v>
      </c>
      <c r="B13" s="108">
        <v>66635452.394939214</v>
      </c>
      <c r="C13" s="690">
        <v>1.7627203286982449E-2</v>
      </c>
      <c r="D13" s="108">
        <v>74397629.488330409</v>
      </c>
      <c r="E13" s="108">
        <v>0</v>
      </c>
      <c r="F13" s="108">
        <v>74397629.488330409</v>
      </c>
      <c r="G13" s="108">
        <v>74397629.488330409</v>
      </c>
      <c r="H13" s="688">
        <v>77824671.658752233</v>
      </c>
      <c r="I13" s="108">
        <v>74397629.488330409</v>
      </c>
      <c r="J13" s="108">
        <v>74397629.488330409</v>
      </c>
    </row>
    <row r="14" spans="1:12" x14ac:dyDescent="0.25">
      <c r="A14" s="685" t="s">
        <v>113</v>
      </c>
      <c r="B14" s="108">
        <v>103524773.25319158</v>
      </c>
      <c r="C14" s="690">
        <v>0</v>
      </c>
      <c r="D14" s="108">
        <v>66488318.008410409</v>
      </c>
      <c r="E14" s="108">
        <v>67037095.958703928</v>
      </c>
      <c r="F14" s="108">
        <v>66488318.008410409</v>
      </c>
      <c r="G14" s="108">
        <v>66488318.008410409</v>
      </c>
      <c r="H14" s="688">
        <v>61430693.242017597</v>
      </c>
      <c r="I14" s="108">
        <v>66488318.008410409</v>
      </c>
      <c r="J14" s="108">
        <v>66488318.008410409</v>
      </c>
    </row>
    <row r="15" spans="1:12" x14ac:dyDescent="0.25">
      <c r="A15" s="685" t="s">
        <v>114</v>
      </c>
      <c r="B15" s="108">
        <v>40961152.143439174</v>
      </c>
      <c r="C15" s="690">
        <v>1.1151581054317721E-2</v>
      </c>
      <c r="D15" s="108">
        <v>42460461.096931174</v>
      </c>
      <c r="E15" s="108">
        <v>36672308.815588608</v>
      </c>
      <c r="F15" s="108">
        <v>42460461.096931174</v>
      </c>
      <c r="G15" s="108">
        <v>42460461.096931174</v>
      </c>
      <c r="H15" s="688">
        <v>47933148.307439186</v>
      </c>
      <c r="I15" s="108">
        <v>42460461.096931174</v>
      </c>
      <c r="J15" s="108">
        <v>42460461.096931174</v>
      </c>
    </row>
    <row r="16" spans="1:12" x14ac:dyDescent="0.25">
      <c r="A16" s="684" t="s">
        <v>115</v>
      </c>
      <c r="B16" s="108">
        <v>432566519.46403384</v>
      </c>
      <c r="C16" s="690">
        <v>0.12298601642395453</v>
      </c>
      <c r="D16" s="108">
        <v>433144535.59403384</v>
      </c>
      <c r="E16" s="108">
        <v>367674767.96403384</v>
      </c>
      <c r="F16" s="108">
        <v>433144535.59403384</v>
      </c>
      <c r="G16" s="108">
        <v>433144535.59403384</v>
      </c>
      <c r="H16" s="108">
        <v>433144535.59403384</v>
      </c>
      <c r="I16" s="108">
        <v>433144535.59403384</v>
      </c>
      <c r="J16" s="688">
        <v>518052294.00000006</v>
      </c>
    </row>
    <row r="17" spans="1:10" x14ac:dyDescent="0.25">
      <c r="A17" s="684" t="s">
        <v>116</v>
      </c>
      <c r="B17" s="108">
        <v>209424992.84630552</v>
      </c>
      <c r="C17" s="690">
        <v>0.13102467193860232</v>
      </c>
      <c r="D17" s="108">
        <v>210003008.97630551</v>
      </c>
      <c r="E17" s="108">
        <v>195204624.1240339</v>
      </c>
      <c r="F17" s="108">
        <v>210003008.97630551</v>
      </c>
      <c r="G17" s="108">
        <v>210003008.97630551</v>
      </c>
      <c r="H17" s="108">
        <v>210003008.97630551</v>
      </c>
      <c r="I17" s="108">
        <v>210003008.97630551</v>
      </c>
      <c r="J17" s="688">
        <v>275859301.60000002</v>
      </c>
    </row>
    <row r="18" spans="1:10" x14ac:dyDescent="0.25">
      <c r="A18" s="684" t="s">
        <v>117</v>
      </c>
      <c r="B18" s="108">
        <v>385915170.06999999</v>
      </c>
      <c r="C18" s="690">
        <v>0.11039652459320372</v>
      </c>
      <c r="D18" s="108">
        <v>394313053.06999999</v>
      </c>
      <c r="E18" s="108">
        <v>355719168</v>
      </c>
      <c r="F18" s="108">
        <v>394313053.06999999</v>
      </c>
      <c r="G18" s="108">
        <v>394313053.06999999</v>
      </c>
      <c r="H18" s="108">
        <v>394313053.06999999</v>
      </c>
      <c r="I18" s="108">
        <v>394313053.06999999</v>
      </c>
      <c r="J18" s="688">
        <v>441303806</v>
      </c>
    </row>
    <row r="19" spans="1:10" x14ac:dyDescent="0.25">
      <c r="A19" s="684" t="s">
        <v>118</v>
      </c>
      <c r="B19" s="108">
        <v>353227100.755</v>
      </c>
      <c r="C19" s="690">
        <v>0.20858058231301999</v>
      </c>
      <c r="D19" s="108">
        <v>361121110.77499998</v>
      </c>
      <c r="E19" s="108">
        <v>355719168</v>
      </c>
      <c r="F19" s="108">
        <v>361121110.77499998</v>
      </c>
      <c r="G19" s="108">
        <v>361121110.77499998</v>
      </c>
      <c r="H19" s="108">
        <v>361121110.77499998</v>
      </c>
      <c r="I19" s="108">
        <v>361121110.77499998</v>
      </c>
      <c r="J19" s="688">
        <v>413788952.39999998</v>
      </c>
    </row>
    <row r="20" spans="1:10" x14ac:dyDescent="0.25">
      <c r="A20" s="684" t="s">
        <v>119</v>
      </c>
      <c r="B20" s="108">
        <v>35641389.774999999</v>
      </c>
      <c r="C20" s="690">
        <v>6.4049355955438933E-3</v>
      </c>
      <c r="D20" s="108">
        <v>35818012.734999992</v>
      </c>
      <c r="E20" s="108">
        <v>30496959.555</v>
      </c>
      <c r="F20" s="108">
        <v>35818012.734999992</v>
      </c>
      <c r="G20" s="108">
        <v>35818012.734999992</v>
      </c>
      <c r="H20" s="108">
        <v>35818012.734999992</v>
      </c>
      <c r="I20" s="108">
        <v>35818012.734999992</v>
      </c>
      <c r="J20" s="688">
        <v>33684181</v>
      </c>
    </row>
    <row r="21" spans="1:10" x14ac:dyDescent="0.25">
      <c r="A21" s="684" t="s">
        <v>120</v>
      </c>
      <c r="B21" s="108">
        <v>18318397.705000002</v>
      </c>
      <c r="C21" s="690">
        <v>6.6663661722300175E-3</v>
      </c>
      <c r="D21" s="108">
        <v>18495020.664999999</v>
      </c>
      <c r="E21" s="108">
        <v>14766818.484999999</v>
      </c>
      <c r="F21" s="108">
        <v>18495020.664999999</v>
      </c>
      <c r="G21" s="108">
        <v>18495020.664999999</v>
      </c>
      <c r="H21" s="108">
        <v>18495020.664999999</v>
      </c>
      <c r="I21" s="108">
        <v>18495020.664999999</v>
      </c>
      <c r="J21" s="688">
        <v>14755445</v>
      </c>
    </row>
    <row r="22" spans="1:10" x14ac:dyDescent="0.25">
      <c r="A22" s="684" t="s">
        <v>121</v>
      </c>
      <c r="B22" s="108">
        <v>38778720</v>
      </c>
      <c r="C22" s="690">
        <v>4.9259162950006624E-2</v>
      </c>
      <c r="D22" s="108">
        <v>38778720</v>
      </c>
      <c r="E22" s="108">
        <v>45644352</v>
      </c>
      <c r="F22" s="108">
        <v>38778720</v>
      </c>
      <c r="G22" s="108">
        <v>38778720</v>
      </c>
      <c r="H22" s="108">
        <v>38778720</v>
      </c>
      <c r="I22" s="108">
        <v>38778720</v>
      </c>
      <c r="J22" s="688">
        <v>50289594</v>
      </c>
    </row>
    <row r="23" spans="1:10" x14ac:dyDescent="0.25">
      <c r="A23" s="684" t="s">
        <v>122</v>
      </c>
      <c r="B23" s="108">
        <v>9459897</v>
      </c>
      <c r="C23" s="690">
        <v>9.7095538480319217E-3</v>
      </c>
      <c r="D23" s="108">
        <v>9459897</v>
      </c>
      <c r="E23" s="108">
        <v>9055342</v>
      </c>
      <c r="F23" s="108">
        <v>9459897</v>
      </c>
      <c r="G23" s="108">
        <v>9459897</v>
      </c>
      <c r="H23" s="108">
        <v>9459897</v>
      </c>
      <c r="I23" s="108">
        <v>9459897</v>
      </c>
      <c r="J23" s="688">
        <v>10036902</v>
      </c>
    </row>
    <row r="24" spans="1:10" x14ac:dyDescent="0.25">
      <c r="A24" s="684" t="s">
        <v>123</v>
      </c>
      <c r="B24" s="108"/>
      <c r="C24" s="690"/>
      <c r="D24" s="108"/>
      <c r="E24" s="108"/>
      <c r="F24" s="108"/>
      <c r="G24" s="108"/>
      <c r="H24" s="108"/>
      <c r="I24" s="108"/>
      <c r="J24" s="108"/>
    </row>
    <row r="25" spans="1:10" x14ac:dyDescent="0.25">
      <c r="B25" s="108"/>
      <c r="D25" s="108"/>
      <c r="E25" s="108"/>
      <c r="F25" s="108"/>
      <c r="G25" s="108"/>
      <c r="H25" s="108"/>
      <c r="I25" s="108"/>
    </row>
    <row r="26" spans="1:10" x14ac:dyDescent="0.25">
      <c r="A26" s="110" t="s">
        <v>124</v>
      </c>
      <c r="B26" s="111">
        <f>'IMP Existente'!$E$82</f>
        <v>157413.88132176371</v>
      </c>
      <c r="C26" s="110"/>
      <c r="D26" s="111">
        <v>116230.81862852343</v>
      </c>
      <c r="E26" s="111">
        <v>152087.70326640474</v>
      </c>
      <c r="F26" s="111">
        <v>114862.60674279342</v>
      </c>
      <c r="G26" s="111">
        <v>117529.34368126103</v>
      </c>
      <c r="H26" s="111">
        <v>124741.39073243046</v>
      </c>
      <c r="I26" s="111">
        <v>118846.504661543</v>
      </c>
      <c r="J26" s="111">
        <v>129430.05111147642</v>
      </c>
    </row>
    <row r="27" spans="1:10" x14ac:dyDescent="0.25">
      <c r="A27" t="s">
        <v>125</v>
      </c>
      <c r="B27" s="108"/>
      <c r="D27" s="108"/>
      <c r="E27" s="287"/>
      <c r="F27" s="287"/>
      <c r="G27" s="287"/>
      <c r="H27" s="287"/>
      <c r="I27" s="287"/>
      <c r="J27" s="287"/>
    </row>
    <row r="28" spans="1:10" x14ac:dyDescent="0.25">
      <c r="A28" t="s">
        <v>126</v>
      </c>
      <c r="B28" s="108"/>
      <c r="D28" s="108"/>
      <c r="E28" s="108"/>
      <c r="F28" s="108"/>
      <c r="G28" s="108"/>
      <c r="H28" s="108"/>
      <c r="I28" s="108"/>
    </row>
    <row r="29" spans="1:10" x14ac:dyDescent="0.25">
      <c r="A29" t="s">
        <v>127</v>
      </c>
      <c r="B29" s="287">
        <f>+'IMP Existente'!E79/'IMP Existente'!E82</f>
        <v>0.45748202323054615</v>
      </c>
      <c r="D29" s="287">
        <v>0.36898682543407169</v>
      </c>
      <c r="E29" s="287">
        <f>82143/152088</f>
        <v>0.54010178317816004</v>
      </c>
      <c r="F29" s="287">
        <v>0.38198706922096187</v>
      </c>
      <c r="G29" s="287">
        <v>0.38068735502188877</v>
      </c>
      <c r="H29" s="287">
        <v>0.36642935353471223</v>
      </c>
      <c r="I29" s="287">
        <v>0.37712072434243255</v>
      </c>
      <c r="J29" s="287">
        <v>0.38043459172043681</v>
      </c>
    </row>
    <row r="31" spans="1:10" x14ac:dyDescent="0.25">
      <c r="A31" s="110" t="s">
        <v>128</v>
      </c>
      <c r="B31" s="111">
        <f>+'IMP Existente'!D94</f>
        <v>515800.02005804365</v>
      </c>
      <c r="C31" s="110"/>
      <c r="D31" s="111">
        <v>410869.58354480739</v>
      </c>
      <c r="E31" s="111">
        <v>492887.84545943199</v>
      </c>
      <c r="F31" s="111">
        <v>409318.69499368378</v>
      </c>
      <c r="G31" s="111">
        <v>418606.976960951</v>
      </c>
      <c r="H31" s="111">
        <v>444203.86216270761</v>
      </c>
      <c r="I31" s="111">
        <v>423486.56742845557</v>
      </c>
      <c r="J31" s="111">
        <v>458900.73555459786</v>
      </c>
    </row>
    <row r="34" spans="5:5" x14ac:dyDescent="0.25">
      <c r="E34" t="s">
        <v>129</v>
      </c>
    </row>
    <row r="35" spans="5:5" x14ac:dyDescent="0.25">
      <c r="E35">
        <v>135689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theme="8" tint="-0.249977111117893"/>
    <pageSetUpPr fitToPage="1"/>
  </sheetPr>
  <dimension ref="B2:AJ278"/>
  <sheetViews>
    <sheetView showGridLines="0" zoomScale="120" zoomScaleNormal="120" workbookViewId="0">
      <selection activeCell="D52" sqref="D52"/>
    </sheetView>
  </sheetViews>
  <sheetFormatPr baseColWidth="10" defaultColWidth="11.42578125" defaultRowHeight="12.75" outlineLevelRow="2" x14ac:dyDescent="0.2"/>
  <cols>
    <col min="1" max="1" width="3.5703125" style="11" customWidth="1"/>
    <col min="2" max="2" width="53.42578125" style="11" bestFit="1" customWidth="1"/>
    <col min="3" max="4" width="13.28515625" style="11" customWidth="1"/>
    <col min="5" max="8" width="13.42578125" style="11" bestFit="1" customWidth="1"/>
    <col min="9" max="9" width="12.85546875" style="11" customWidth="1"/>
    <col min="10" max="10" width="14.42578125" style="11" customWidth="1"/>
    <col min="11" max="16384" width="11.42578125" style="11"/>
  </cols>
  <sheetData>
    <row r="2" spans="2:10" s="327" customFormat="1" x14ac:dyDescent="0.2">
      <c r="B2" s="20" t="s">
        <v>130</v>
      </c>
    </row>
    <row r="3" spans="2:10" ht="13.5" thickBot="1" x14ac:dyDescent="0.25">
      <c r="B3" s="1" t="s">
        <v>131</v>
      </c>
      <c r="C3" s="141"/>
      <c r="D3" s="141"/>
      <c r="E3" s="141"/>
      <c r="F3" s="141"/>
      <c r="G3" s="141"/>
      <c r="H3" s="141"/>
    </row>
    <row r="4" spans="2:10" ht="13.5" thickBot="1" x14ac:dyDescent="0.25">
      <c r="B4" s="382" t="s">
        <v>132</v>
      </c>
      <c r="C4" s="399">
        <v>2024</v>
      </c>
      <c r="D4" s="399">
        <f>C4+1</f>
        <v>2025</v>
      </c>
      <c r="E4" s="399">
        <f t="shared" ref="E4:H4" si="0">D4+1</f>
        <v>2026</v>
      </c>
      <c r="F4" s="399">
        <f t="shared" si="0"/>
        <v>2027</v>
      </c>
      <c r="G4" s="399">
        <f t="shared" si="0"/>
        <v>2028</v>
      </c>
      <c r="H4" s="399">
        <f t="shared" si="0"/>
        <v>2029</v>
      </c>
    </row>
    <row r="5" spans="2:10" x14ac:dyDescent="0.2">
      <c r="B5" s="383" t="s">
        <v>133</v>
      </c>
      <c r="C5" s="384">
        <f>+'Tasa de Depreciación'!$F$28</f>
        <v>3.2314329354868353E-2</v>
      </c>
      <c r="D5" s="384">
        <f>+'Tasa de Depreciación'!$F$28</f>
        <v>3.2314329354868353E-2</v>
      </c>
      <c r="E5" s="384">
        <f>+'Tasa de Depreciación'!$F$28</f>
        <v>3.2314329354868353E-2</v>
      </c>
      <c r="F5" s="384">
        <f>+'Tasa de Depreciación'!$F$28</f>
        <v>3.2314329354868353E-2</v>
      </c>
      <c r="G5" s="384">
        <f>+'Tasa de Depreciación'!$F$28</f>
        <v>3.2314329354868353E-2</v>
      </c>
      <c r="H5" s="384">
        <f>+'Tasa de Depreciación'!$F$28</f>
        <v>3.2314329354868353E-2</v>
      </c>
    </row>
    <row r="6" spans="2:10" x14ac:dyDescent="0.2">
      <c r="B6" s="385" t="s">
        <v>134</v>
      </c>
      <c r="C6" s="1153"/>
      <c r="D6" s="1154">
        <f>+C9</f>
        <v>1014736933.6356308</v>
      </c>
      <c r="E6" s="1154">
        <f>+D9</f>
        <v>1014736933.6356308</v>
      </c>
      <c r="F6" s="1154">
        <f>+E9</f>
        <v>1014736933.6356308</v>
      </c>
      <c r="G6" s="1154">
        <f>+F9</f>
        <v>1014736933.6356308</v>
      </c>
      <c r="H6" s="1154">
        <f>+G9</f>
        <v>1014736933.6356308</v>
      </c>
    </row>
    <row r="7" spans="2:10" x14ac:dyDescent="0.2">
      <c r="B7" s="385" t="s">
        <v>135</v>
      </c>
      <c r="C7" s="1153"/>
      <c r="D7" s="1154"/>
      <c r="E7" s="1154"/>
      <c r="F7" s="1154"/>
      <c r="G7" s="1154"/>
      <c r="H7" s="1154"/>
    </row>
    <row r="8" spans="2:10" x14ac:dyDescent="0.2">
      <c r="B8" s="385" t="s">
        <v>136</v>
      </c>
      <c r="C8" s="1154"/>
      <c r="D8" s="1154">
        <f>-C9*D5</f>
        <v>-32790543.482050966</v>
      </c>
      <c r="E8" s="1154">
        <f>-D9*E5</f>
        <v>-32790543.482050966</v>
      </c>
      <c r="F8" s="1154">
        <f>-E9*F5</f>
        <v>-32790543.482050966</v>
      </c>
      <c r="G8" s="1154">
        <f>-F9*G5</f>
        <v>-32790543.482050966</v>
      </c>
      <c r="H8" s="1154">
        <f>-G9*H5</f>
        <v>-32790543.482050966</v>
      </c>
    </row>
    <row r="9" spans="2:10" x14ac:dyDescent="0.2">
      <c r="B9" s="385" t="s">
        <v>137</v>
      </c>
      <c r="C9" s="1155">
        <f>+'Base de Capital'!C11</f>
        <v>1014736933.6356308</v>
      </c>
      <c r="D9" s="1154">
        <f>+D6</f>
        <v>1014736933.6356308</v>
      </c>
      <c r="E9" s="1154">
        <f>+E6</f>
        <v>1014736933.6356308</v>
      </c>
      <c r="F9" s="1154">
        <f>+F6</f>
        <v>1014736933.6356308</v>
      </c>
      <c r="G9" s="1154">
        <f>+G6</f>
        <v>1014736933.6356308</v>
      </c>
      <c r="H9" s="1154">
        <f>+H6</f>
        <v>1014736933.6356308</v>
      </c>
    </row>
    <row r="10" spans="2:10" x14ac:dyDescent="0.2">
      <c r="B10" s="385" t="s">
        <v>138</v>
      </c>
      <c r="C10" s="1155">
        <f>+'Base de Capital'!C12+C8</f>
        <v>684739260.85130274</v>
      </c>
      <c r="D10" s="1154">
        <f>+SUM(D8:D9)+C11</f>
        <v>651948717.36925173</v>
      </c>
      <c r="E10" s="1154">
        <f>+SUM(E8:E9)+D11</f>
        <v>619158173.88720083</v>
      </c>
      <c r="F10" s="1154">
        <f>+SUM(F8:F9)+E11</f>
        <v>586367630.40514982</v>
      </c>
      <c r="G10" s="1154">
        <f>+SUM(G8:G9)+F11</f>
        <v>553577086.9230988</v>
      </c>
      <c r="H10" s="1154">
        <f>+SUM(H8:H9)+G11</f>
        <v>520786543.44104791</v>
      </c>
      <c r="J10" s="112"/>
    </row>
    <row r="11" spans="2:10" x14ac:dyDescent="0.2">
      <c r="B11" s="385" t="s">
        <v>139</v>
      </c>
      <c r="C11" s="1155">
        <f>-C9+C10</f>
        <v>-329997672.7843281</v>
      </c>
      <c r="D11" s="1154">
        <f>+SUM(C11,D8)</f>
        <v>-362788216.26637906</v>
      </c>
      <c r="E11" s="1154">
        <f>+SUM(D11,E8)</f>
        <v>-395578759.74843001</v>
      </c>
      <c r="F11" s="1154">
        <f>+SUM(E11,F8)</f>
        <v>-428369303.23048097</v>
      </c>
      <c r="G11" s="1154">
        <f>+SUM(F11,G8)</f>
        <v>-461159846.71253192</v>
      </c>
      <c r="H11" s="1154">
        <f>+SUM(G11,H8)</f>
        <v>-493950390.19458288</v>
      </c>
    </row>
    <row r="12" spans="2:10" x14ac:dyDescent="0.2">
      <c r="B12" s="390" t="s">
        <v>140</v>
      </c>
      <c r="C12" s="1156">
        <f t="shared" ref="C12:H12" si="1">+ROUNDUP(C9+C11,0)</f>
        <v>684739261</v>
      </c>
      <c r="D12" s="1156">
        <f t="shared" si="1"/>
        <v>651948718</v>
      </c>
      <c r="E12" s="1156">
        <f t="shared" si="1"/>
        <v>619158174</v>
      </c>
      <c r="F12" s="1156">
        <f t="shared" si="1"/>
        <v>586367631</v>
      </c>
      <c r="G12" s="1156">
        <f t="shared" si="1"/>
        <v>553577087</v>
      </c>
      <c r="H12" s="1156">
        <f t="shared" si="1"/>
        <v>520786544</v>
      </c>
    </row>
    <row r="13" spans="2:10" ht="13.5" thickBot="1" x14ac:dyDescent="0.25">
      <c r="C13" s="112"/>
      <c r="D13" s="112"/>
      <c r="E13" s="112"/>
      <c r="F13" s="112"/>
      <c r="G13" s="112"/>
      <c r="H13" s="112"/>
    </row>
    <row r="14" spans="2:10" ht="13.5" outlineLevel="1" thickBot="1" x14ac:dyDescent="0.25">
      <c r="B14" s="382" t="s">
        <v>141</v>
      </c>
      <c r="C14" s="399">
        <f>C$4</f>
        <v>2024</v>
      </c>
      <c r="D14" s="399">
        <f t="shared" ref="D14:H14" si="2">D$4</f>
        <v>2025</v>
      </c>
      <c r="E14" s="399">
        <f t="shared" si="2"/>
        <v>2026</v>
      </c>
      <c r="F14" s="399">
        <f t="shared" si="2"/>
        <v>2027</v>
      </c>
      <c r="G14" s="399">
        <f t="shared" si="2"/>
        <v>2028</v>
      </c>
      <c r="H14" s="399">
        <f t="shared" si="2"/>
        <v>2029</v>
      </c>
    </row>
    <row r="15" spans="2:10" outlineLevel="1" x14ac:dyDescent="0.2">
      <c r="B15" s="383" t="s">
        <v>133</v>
      </c>
      <c r="C15" s="384">
        <f t="shared" ref="C15:H15" si="3">C5</f>
        <v>3.2314329354868353E-2</v>
      </c>
      <c r="D15" s="384">
        <f t="shared" si="3"/>
        <v>3.2314329354868353E-2</v>
      </c>
      <c r="E15" s="384">
        <f t="shared" si="3"/>
        <v>3.2314329354868353E-2</v>
      </c>
      <c r="F15" s="384">
        <f t="shared" si="3"/>
        <v>3.2314329354868353E-2</v>
      </c>
      <c r="G15" s="384">
        <f t="shared" si="3"/>
        <v>3.2314329354868353E-2</v>
      </c>
      <c r="H15" s="384">
        <f t="shared" si="3"/>
        <v>3.2314329354868353E-2</v>
      </c>
    </row>
    <row r="16" spans="2:10" outlineLevel="1" x14ac:dyDescent="0.2">
      <c r="B16" s="385" t="s">
        <v>134</v>
      </c>
      <c r="C16" s="388"/>
      <c r="D16" s="387">
        <f>+C19</f>
        <v>0</v>
      </c>
      <c r="E16" s="387">
        <f>+D19</f>
        <v>0</v>
      </c>
      <c r="F16" s="387">
        <f>+E19</f>
        <v>0</v>
      </c>
      <c r="G16" s="387">
        <f>+F19</f>
        <v>0</v>
      </c>
      <c r="H16" s="387">
        <f>+G19</f>
        <v>0</v>
      </c>
    </row>
    <row r="17" spans="2:10" outlineLevel="1" x14ac:dyDescent="0.2">
      <c r="B17" s="385" t="s">
        <v>135</v>
      </c>
      <c r="C17" s="388"/>
      <c r="D17" s="387"/>
      <c r="E17" s="387"/>
      <c r="F17" s="387"/>
      <c r="G17" s="387"/>
      <c r="H17" s="387"/>
    </row>
    <row r="18" spans="2:10" outlineLevel="1" x14ac:dyDescent="0.2">
      <c r="B18" s="385" t="s">
        <v>136</v>
      </c>
      <c r="C18" s="388"/>
      <c r="D18" s="387">
        <f>-C19*D15</f>
        <v>0</v>
      </c>
      <c r="E18" s="387">
        <f>-D19*E15</f>
        <v>0</v>
      </c>
      <c r="F18" s="387">
        <f>-E19*F15</f>
        <v>0</v>
      </c>
      <c r="G18" s="387">
        <f>-F19*G15</f>
        <v>0</v>
      </c>
      <c r="H18" s="387">
        <f>-G19*H15</f>
        <v>0</v>
      </c>
    </row>
    <row r="19" spans="2:10" outlineLevel="1" x14ac:dyDescent="0.2">
      <c r="B19" s="385" t="s">
        <v>137</v>
      </c>
      <c r="C19" s="444">
        <f>+'Base de Capital'!C13</f>
        <v>0</v>
      </c>
      <c r="D19" s="387">
        <f>+D16</f>
        <v>0</v>
      </c>
      <c r="E19" s="387">
        <f>+E16</f>
        <v>0</v>
      </c>
      <c r="F19" s="387">
        <f>+F16</f>
        <v>0</v>
      </c>
      <c r="G19" s="387">
        <f>+G16</f>
        <v>0</v>
      </c>
      <c r="H19" s="387">
        <f>+H16</f>
        <v>0</v>
      </c>
    </row>
    <row r="20" spans="2:10" outlineLevel="1" x14ac:dyDescent="0.2">
      <c r="B20" s="385" t="s">
        <v>138</v>
      </c>
      <c r="C20" s="444">
        <f>+'Base de Capital'!C14+C18</f>
        <v>0</v>
      </c>
      <c r="D20" s="387">
        <f>+SUM(D18:D19)+C21</f>
        <v>0</v>
      </c>
      <c r="E20" s="387">
        <f>+SUM(E18:E19)+D21</f>
        <v>0</v>
      </c>
      <c r="F20" s="387">
        <f>+SUM(F18:F19)+E21</f>
        <v>0</v>
      </c>
      <c r="G20" s="387">
        <f>+SUM(G18:G19)+F21</f>
        <v>0</v>
      </c>
      <c r="H20" s="387">
        <f>+SUM(H18:H19)+G21</f>
        <v>0</v>
      </c>
    </row>
    <row r="21" spans="2:10" outlineLevel="1" x14ac:dyDescent="0.2">
      <c r="B21" s="385" t="s">
        <v>139</v>
      </c>
      <c r="C21" s="444">
        <f>-(C19-C20)</f>
        <v>0</v>
      </c>
      <c r="D21" s="387">
        <f>+SUM(C21,D18)</f>
        <v>0</v>
      </c>
      <c r="E21" s="387">
        <f>+SUM(D21,E18)</f>
        <v>0</v>
      </c>
      <c r="F21" s="387">
        <f>+SUM(E21,F18)</f>
        <v>0</v>
      </c>
      <c r="G21" s="387">
        <f>+SUM(F21,G18)</f>
        <v>0</v>
      </c>
      <c r="H21" s="387">
        <f>+SUM(G21,H18)</f>
        <v>0</v>
      </c>
    </row>
    <row r="22" spans="2:10" outlineLevel="1" x14ac:dyDescent="0.2">
      <c r="B22" s="390" t="s">
        <v>140</v>
      </c>
      <c r="C22" s="391">
        <f>+C20</f>
        <v>0</v>
      </c>
      <c r="D22" s="391">
        <f>+ROUNDUP(D19+D21,0)</f>
        <v>0</v>
      </c>
      <c r="E22" s="391">
        <f>+ROUNDUP(E19+E21,0)</f>
        <v>0</v>
      </c>
      <c r="F22" s="391">
        <f>+ROUNDUP(F19+F21,0)</f>
        <v>0</v>
      </c>
      <c r="G22" s="391">
        <f>+ROUNDUP(G19+G21,0)</f>
        <v>0</v>
      </c>
      <c r="H22" s="391">
        <f>+ROUNDUP(H19+H21,0)</f>
        <v>0</v>
      </c>
    </row>
    <row r="23" spans="2:10" ht="13.5" outlineLevel="1" thickBot="1" x14ac:dyDescent="0.25">
      <c r="C23" s="112"/>
      <c r="D23" s="112"/>
      <c r="E23" s="112"/>
      <c r="F23" s="112"/>
      <c r="G23" s="112"/>
      <c r="H23" s="112"/>
    </row>
    <row r="24" spans="2:10" ht="13.5" outlineLevel="1" thickBot="1" x14ac:dyDescent="0.25">
      <c r="B24" s="382" t="s">
        <v>142</v>
      </c>
      <c r="C24" s="399">
        <f t="shared" ref="C24:H24" si="4">C$4</f>
        <v>2024</v>
      </c>
      <c r="D24" s="399">
        <f t="shared" si="4"/>
        <v>2025</v>
      </c>
      <c r="E24" s="399">
        <f t="shared" si="4"/>
        <v>2026</v>
      </c>
      <c r="F24" s="399">
        <f t="shared" si="4"/>
        <v>2027</v>
      </c>
      <c r="G24" s="399">
        <f t="shared" si="4"/>
        <v>2028</v>
      </c>
      <c r="H24" s="399">
        <f t="shared" si="4"/>
        <v>2029</v>
      </c>
    </row>
    <row r="25" spans="2:10" outlineLevel="1" x14ac:dyDescent="0.2">
      <c r="B25" s="392" t="s">
        <v>143</v>
      </c>
      <c r="C25" s="393"/>
      <c r="D25" s="394"/>
      <c r="E25" s="394"/>
      <c r="F25" s="395"/>
      <c r="G25" s="395"/>
      <c r="H25" s="395"/>
      <c r="J25" s="112"/>
    </row>
    <row r="26" spans="2:10" outlineLevel="1" x14ac:dyDescent="0.2">
      <c r="B26" s="385" t="s">
        <v>144</v>
      </c>
      <c r="C26" s="387"/>
      <c r="D26" s="389"/>
      <c r="E26" s="389">
        <f>+E25*'Plan de Expansión'!AF12</f>
        <v>0</v>
      </c>
      <c r="F26" s="389">
        <f>+F25*'Plan de Expansión'!AG12</f>
        <v>0</v>
      </c>
      <c r="G26" s="389">
        <f>+G25*'Plan de Expansión'!AH12</f>
        <v>0</v>
      </c>
      <c r="H26" s="389">
        <f>+H25*'Plan de Expansión'!AI12</f>
        <v>0</v>
      </c>
      <c r="J26" s="112"/>
    </row>
    <row r="27" spans="2:10" outlineLevel="1" x14ac:dyDescent="0.2">
      <c r="B27" s="396" t="s">
        <v>145</v>
      </c>
      <c r="C27" s="387"/>
      <c r="D27" s="397">
        <f t="shared" ref="D27:H27" si="5">D$5</f>
        <v>3.2314329354868353E-2</v>
      </c>
      <c r="E27" s="397">
        <f t="shared" si="5"/>
        <v>3.2314329354868353E-2</v>
      </c>
      <c r="F27" s="397">
        <f t="shared" si="5"/>
        <v>3.2314329354868353E-2</v>
      </c>
      <c r="G27" s="397">
        <f t="shared" si="5"/>
        <v>3.2314329354868353E-2</v>
      </c>
      <c r="H27" s="397">
        <f t="shared" si="5"/>
        <v>3.2314329354868353E-2</v>
      </c>
      <c r="J27" s="112"/>
    </row>
    <row r="28" spans="2:10" outlineLevel="1" x14ac:dyDescent="0.2">
      <c r="B28" s="396" t="s">
        <v>135</v>
      </c>
      <c r="C28" s="387"/>
      <c r="D28" s="387">
        <f>+C30</f>
        <v>0</v>
      </c>
      <c r="E28" s="387">
        <f t="shared" ref="E28:H28" si="6">+D30</f>
        <v>0</v>
      </c>
      <c r="F28" s="387">
        <f t="shared" si="6"/>
        <v>0</v>
      </c>
      <c r="G28" s="387">
        <f t="shared" si="6"/>
        <v>0</v>
      </c>
      <c r="H28" s="387">
        <f t="shared" si="6"/>
        <v>0</v>
      </c>
    </row>
    <row r="29" spans="2:10" outlineLevel="1" x14ac:dyDescent="0.2">
      <c r="B29" s="396" t="s">
        <v>136</v>
      </c>
      <c r="C29" s="387"/>
      <c r="D29" s="387">
        <f>-(C31+D26)*D27</f>
        <v>0</v>
      </c>
      <c r="E29" s="387">
        <f>-(D31+E26)*E27</f>
        <v>0</v>
      </c>
      <c r="F29" s="387">
        <f t="shared" ref="F29:H29" si="7">-(E31+F26)*F27</f>
        <v>0</v>
      </c>
      <c r="G29" s="387">
        <f t="shared" si="7"/>
        <v>0</v>
      </c>
      <c r="H29" s="387">
        <f t="shared" si="7"/>
        <v>0</v>
      </c>
    </row>
    <row r="30" spans="2:10" outlineLevel="1" x14ac:dyDescent="0.2">
      <c r="B30" s="396" t="s">
        <v>138</v>
      </c>
      <c r="C30" s="387"/>
      <c r="D30" s="387">
        <f>+SUM(D25,D28:D29)</f>
        <v>0</v>
      </c>
      <c r="E30" s="387">
        <f t="shared" ref="E30:H30" si="8">+SUM(E25,E28:E29)</f>
        <v>0</v>
      </c>
      <c r="F30" s="387">
        <f t="shared" si="8"/>
        <v>0</v>
      </c>
      <c r="G30" s="387">
        <f t="shared" si="8"/>
        <v>0</v>
      </c>
      <c r="H30" s="387">
        <f t="shared" si="8"/>
        <v>0</v>
      </c>
    </row>
    <row r="31" spans="2:10" outlineLevel="1" x14ac:dyDescent="0.2">
      <c r="B31" s="398" t="s">
        <v>137</v>
      </c>
      <c r="C31" s="391"/>
      <c r="D31" s="391">
        <f>+C31+D25</f>
        <v>0</v>
      </c>
      <c r="E31" s="391">
        <f t="shared" ref="E31:H31" si="9">+D31+E25</f>
        <v>0</v>
      </c>
      <c r="F31" s="391">
        <f t="shared" si="9"/>
        <v>0</v>
      </c>
      <c r="G31" s="391">
        <f t="shared" si="9"/>
        <v>0</v>
      </c>
      <c r="H31" s="391">
        <f t="shared" si="9"/>
        <v>0</v>
      </c>
    </row>
    <row r="32" spans="2:10" ht="13.5" outlineLevel="1" thickBot="1" x14ac:dyDescent="0.25">
      <c r="C32" s="112"/>
      <c r="D32" s="187"/>
      <c r="E32" s="112"/>
      <c r="F32" s="112"/>
      <c r="G32" s="112"/>
      <c r="H32" s="112"/>
    </row>
    <row r="33" spans="2:9" ht="13.5" thickBot="1" x14ac:dyDescent="0.25">
      <c r="B33" s="382" t="s">
        <v>146</v>
      </c>
      <c r="C33" s="399">
        <f t="shared" ref="C33:H33" si="10">C$4</f>
        <v>2024</v>
      </c>
      <c r="D33" s="399">
        <f t="shared" si="10"/>
        <v>2025</v>
      </c>
      <c r="E33" s="399">
        <f t="shared" si="10"/>
        <v>2026</v>
      </c>
      <c r="F33" s="399">
        <f t="shared" si="10"/>
        <v>2027</v>
      </c>
      <c r="G33" s="399">
        <f t="shared" si="10"/>
        <v>2028</v>
      </c>
      <c r="H33" s="399">
        <f t="shared" si="10"/>
        <v>2029</v>
      </c>
    </row>
    <row r="34" spans="2:9" x14ac:dyDescent="0.2">
      <c r="B34" s="400" t="s">
        <v>133</v>
      </c>
      <c r="C34" s="384">
        <f>+'Tasa de Depreciación'!$E$28</f>
        <v>6.4982600341369698E-2</v>
      </c>
      <c r="D34" s="384">
        <f>+'Tasa de Depreciación'!$E$28</f>
        <v>6.4982600341369698E-2</v>
      </c>
      <c r="E34" s="384">
        <f>+'Tasa de Depreciación'!$E$28</f>
        <v>6.4982600341369698E-2</v>
      </c>
      <c r="F34" s="384">
        <f>+'Tasa de Depreciación'!$E$28</f>
        <v>6.4982600341369698E-2</v>
      </c>
      <c r="G34" s="384">
        <f>+'Tasa de Depreciación'!$E$28</f>
        <v>6.4982600341369698E-2</v>
      </c>
      <c r="H34" s="384">
        <f>+'Tasa de Depreciación'!$E$28</f>
        <v>6.4982600341369698E-2</v>
      </c>
    </row>
    <row r="35" spans="2:9" x14ac:dyDescent="0.2">
      <c r="B35" s="401" t="s">
        <v>147</v>
      </c>
      <c r="C35" s="402">
        <v>0.02</v>
      </c>
      <c r="D35" s="402">
        <v>0.02</v>
      </c>
      <c r="E35" s="402">
        <v>0.02</v>
      </c>
      <c r="F35" s="402">
        <v>0.02</v>
      </c>
      <c r="G35" s="402">
        <v>0.02</v>
      </c>
      <c r="H35" s="402">
        <v>0.02</v>
      </c>
      <c r="I35" s="648"/>
    </row>
    <row r="36" spans="2:9" x14ac:dyDescent="0.2">
      <c r="B36" s="401" t="s">
        <v>134</v>
      </c>
      <c r="C36" s="386"/>
      <c r="D36" s="387">
        <f>+C40</f>
        <v>54446454.769999996</v>
      </c>
      <c r="E36" s="387">
        <f>+D40</f>
        <v>54446454.769999996</v>
      </c>
      <c r="F36" s="387">
        <f>+E40</f>
        <v>54446454.769999996</v>
      </c>
      <c r="G36" s="387">
        <f>+F40</f>
        <v>54446454.769999996</v>
      </c>
      <c r="H36" s="387">
        <f>+G40</f>
        <v>54446454.769999996</v>
      </c>
    </row>
    <row r="37" spans="2:9" x14ac:dyDescent="0.2">
      <c r="B37" s="401" t="s">
        <v>135</v>
      </c>
      <c r="C37" s="386"/>
      <c r="D37" s="387">
        <f>+C42</f>
        <v>10901622.77</v>
      </c>
      <c r="E37" s="387">
        <f>+D42</f>
        <v>7363550.5596766248</v>
      </c>
      <c r="F37" s="387">
        <f>+E42</f>
        <v>3825478.3493532538</v>
      </c>
      <c r="G37" s="387">
        <f>+F42</f>
        <v>287406.13902988285</v>
      </c>
      <c r="H37" s="387">
        <f>+G42</f>
        <v>0</v>
      </c>
    </row>
    <row r="38" spans="2:9" x14ac:dyDescent="0.2">
      <c r="B38" s="401" t="s">
        <v>136</v>
      </c>
      <c r="C38" s="444"/>
      <c r="D38" s="387">
        <f t="shared" ref="D38:E38" si="11">IF(C42&lt;=0,,IF(C42&lt;C40*D34,-C42,-C40*D34))</f>
        <v>-3538072.2103233715</v>
      </c>
      <c r="E38" s="387">
        <f t="shared" si="11"/>
        <v>-3538072.2103233715</v>
      </c>
      <c r="F38" s="387">
        <f>IF(E42&lt;=0,,IF(E42&lt;E40*F34,-E42,-E40*F34))</f>
        <v>-3538072.2103233715</v>
      </c>
      <c r="G38" s="387">
        <f t="shared" ref="G38:H38" si="12">IF(F42&lt;=0,,IF(F42&lt;F40*G34,-F42,-F40*G34))</f>
        <v>-287406.13902988285</v>
      </c>
      <c r="H38" s="387">
        <f t="shared" si="12"/>
        <v>0</v>
      </c>
    </row>
    <row r="39" spans="2:9" x14ac:dyDescent="0.2">
      <c r="B39" s="401" t="s">
        <v>148</v>
      </c>
      <c r="C39" s="386"/>
      <c r="D39" s="387"/>
      <c r="E39" s="387"/>
      <c r="F39" s="387"/>
      <c r="G39" s="387"/>
      <c r="H39" s="387"/>
    </row>
    <row r="40" spans="2:9" x14ac:dyDescent="0.2">
      <c r="B40" s="401" t="s">
        <v>137</v>
      </c>
      <c r="C40" s="387">
        <f>+'Base de Capital'!C17</f>
        <v>54446454.769999996</v>
      </c>
      <c r="D40" s="387">
        <f>+D36+D39</f>
        <v>54446454.769999996</v>
      </c>
      <c r="E40" s="387">
        <f>+E36+E39</f>
        <v>54446454.769999996</v>
      </c>
      <c r="F40" s="387">
        <f>+F36+F39</f>
        <v>54446454.769999996</v>
      </c>
      <c r="G40" s="387">
        <f>+G36+G39</f>
        <v>54446454.769999996</v>
      </c>
      <c r="H40" s="387">
        <f>+H36+H39</f>
        <v>54446454.769999996</v>
      </c>
    </row>
    <row r="41" spans="2:9" x14ac:dyDescent="0.2">
      <c r="B41" s="401" t="s">
        <v>139</v>
      </c>
      <c r="C41" s="387">
        <f>-C40+C42</f>
        <v>-43544832</v>
      </c>
      <c r="D41" s="387">
        <f>+C41+D38</f>
        <v>-47082904.210323371</v>
      </c>
      <c r="E41" s="387">
        <f>+D41+E38</f>
        <v>-50620976.420646742</v>
      </c>
      <c r="F41" s="387">
        <f>+E41+F38</f>
        <v>-54159048.630970113</v>
      </c>
      <c r="G41" s="387">
        <f>+F41+G38</f>
        <v>-54446454.769999996</v>
      </c>
      <c r="H41" s="387">
        <f>+G41+H38</f>
        <v>-54446454.769999996</v>
      </c>
    </row>
    <row r="42" spans="2:9" x14ac:dyDescent="0.2">
      <c r="B42" s="403" t="s">
        <v>138</v>
      </c>
      <c r="C42" s="1152">
        <f>+'Base de Capital'!C18+C38</f>
        <v>10901622.77</v>
      </c>
      <c r="D42" s="391">
        <f t="shared" ref="D42:H42" si="13">+SUM(D40:D41)</f>
        <v>7363550.5596766248</v>
      </c>
      <c r="E42" s="391">
        <f t="shared" si="13"/>
        <v>3825478.3493532538</v>
      </c>
      <c r="F42" s="391">
        <f t="shared" si="13"/>
        <v>287406.13902988285</v>
      </c>
      <c r="G42" s="391">
        <f t="shared" si="13"/>
        <v>0</v>
      </c>
      <c r="H42" s="391">
        <f t="shared" si="13"/>
        <v>0</v>
      </c>
    </row>
    <row r="43" spans="2:9" x14ac:dyDescent="0.2">
      <c r="B43" s="117"/>
      <c r="C43" s="112"/>
      <c r="D43" s="112"/>
      <c r="E43" s="112"/>
      <c r="F43" s="112"/>
      <c r="G43" s="112"/>
      <c r="H43" s="112"/>
    </row>
    <row r="44" spans="2:9" x14ac:dyDescent="0.2">
      <c r="B44" s="104" t="s">
        <v>149</v>
      </c>
      <c r="C44" s="36">
        <v>2016</v>
      </c>
      <c r="D44" s="36">
        <v>2017</v>
      </c>
      <c r="E44" s="36">
        <v>2018</v>
      </c>
      <c r="F44" s="36">
        <v>2019</v>
      </c>
      <c r="G44" s="36">
        <v>2020</v>
      </c>
      <c r="H44" s="36">
        <v>2021</v>
      </c>
    </row>
    <row r="45" spans="2:9" x14ac:dyDescent="0.2">
      <c r="B45" s="117" t="s">
        <v>133</v>
      </c>
      <c r="C45" s="127">
        <f t="shared" ref="C45:H45" si="14">+C15</f>
        <v>3.2314329354868353E-2</v>
      </c>
      <c r="D45" s="127">
        <f t="shared" si="14"/>
        <v>3.2314329354868353E-2</v>
      </c>
      <c r="E45" s="127">
        <f t="shared" si="14"/>
        <v>3.2314329354868353E-2</v>
      </c>
      <c r="F45" s="127">
        <f t="shared" si="14"/>
        <v>3.2314329354868353E-2</v>
      </c>
      <c r="G45" s="127">
        <f t="shared" si="14"/>
        <v>3.2314329354868353E-2</v>
      </c>
      <c r="H45" s="127">
        <f t="shared" si="14"/>
        <v>3.2314329354868353E-2</v>
      </c>
    </row>
    <row r="46" spans="2:9" x14ac:dyDescent="0.2">
      <c r="B46" s="117" t="s">
        <v>147</v>
      </c>
      <c r="C46" s="114">
        <v>0.02</v>
      </c>
      <c r="D46" s="114">
        <v>0.02</v>
      </c>
      <c r="E46" s="114">
        <v>0.02</v>
      </c>
      <c r="F46" s="114">
        <v>0.02</v>
      </c>
      <c r="G46" s="114">
        <v>0.02</v>
      </c>
      <c r="H46" s="114">
        <v>0.02</v>
      </c>
    </row>
    <row r="47" spans="2:9" x14ac:dyDescent="0.2">
      <c r="B47" s="117" t="s">
        <v>134</v>
      </c>
      <c r="C47" s="126"/>
      <c r="D47" s="112">
        <f>+C51</f>
        <v>0</v>
      </c>
      <c r="E47" s="112">
        <f>+D51</f>
        <v>0</v>
      </c>
      <c r="F47" s="112">
        <f>+E51</f>
        <v>0</v>
      </c>
      <c r="G47" s="112">
        <f>+F51</f>
        <v>0</v>
      </c>
      <c r="H47" s="112">
        <f>+G51</f>
        <v>0</v>
      </c>
    </row>
    <row r="48" spans="2:9" x14ac:dyDescent="0.2">
      <c r="B48" s="117" t="s">
        <v>135</v>
      </c>
      <c r="C48" s="126"/>
      <c r="D48" s="112">
        <f>+C53</f>
        <v>0</v>
      </c>
      <c r="E48" s="112">
        <f>+D53</f>
        <v>0</v>
      </c>
      <c r="F48" s="112">
        <f>+E53</f>
        <v>0</v>
      </c>
      <c r="G48" s="112">
        <f>+F53</f>
        <v>0</v>
      </c>
      <c r="H48" s="112">
        <f>+G53</f>
        <v>0</v>
      </c>
    </row>
    <row r="49" spans="2:8" x14ac:dyDescent="0.2">
      <c r="B49" s="117" t="s">
        <v>136</v>
      </c>
      <c r="C49" s="126"/>
      <c r="D49" s="112">
        <f>-C51*D45</f>
        <v>0</v>
      </c>
      <c r="E49" s="112">
        <f>-D51*E45</f>
        <v>0</v>
      </c>
      <c r="F49" s="112">
        <f>-E51*F45</f>
        <v>0</v>
      </c>
      <c r="G49" s="112">
        <f>-F51*G45</f>
        <v>0</v>
      </c>
      <c r="H49" s="112">
        <f>-G51*H45</f>
        <v>0</v>
      </c>
    </row>
    <row r="50" spans="2:8" x14ac:dyDescent="0.2">
      <c r="B50" s="117" t="s">
        <v>148</v>
      </c>
      <c r="C50" s="126"/>
      <c r="D50" s="112"/>
      <c r="E50" s="112"/>
      <c r="F50" s="112"/>
      <c r="G50" s="112"/>
      <c r="H50" s="112"/>
    </row>
    <row r="51" spans="2:8" x14ac:dyDescent="0.2">
      <c r="B51" s="117" t="s">
        <v>137</v>
      </c>
      <c r="C51" s="112"/>
      <c r="D51" s="112">
        <f>+D47+D50</f>
        <v>0</v>
      </c>
      <c r="E51" s="112">
        <f>+E47+E50</f>
        <v>0</v>
      </c>
      <c r="F51" s="112">
        <f>+F47+F50</f>
        <v>0</v>
      </c>
      <c r="G51" s="112">
        <f>+G47+G50</f>
        <v>0</v>
      </c>
      <c r="H51" s="112">
        <f>+H47+H50</f>
        <v>0</v>
      </c>
    </row>
    <row r="52" spans="2:8" x14ac:dyDescent="0.2">
      <c r="B52" s="117" t="s">
        <v>139</v>
      </c>
      <c r="C52" s="112"/>
      <c r="D52" s="112">
        <f>+C52+D49</f>
        <v>0</v>
      </c>
      <c r="E52" s="112">
        <f>+D52+E49</f>
        <v>0</v>
      </c>
      <c r="F52" s="112">
        <f>+E52+F49</f>
        <v>0</v>
      </c>
      <c r="G52" s="112">
        <f>+F52+G49</f>
        <v>0</v>
      </c>
      <c r="H52" s="112">
        <f>+G52+H49</f>
        <v>0</v>
      </c>
    </row>
    <row r="53" spans="2:8" x14ac:dyDescent="0.2">
      <c r="B53" s="117" t="s">
        <v>138</v>
      </c>
      <c r="C53" s="112"/>
      <c r="D53" s="112">
        <f>+SUM(D51:D52)</f>
        <v>0</v>
      </c>
      <c r="E53" s="112">
        <f>+SUM(E51:E52)</f>
        <v>0</v>
      </c>
      <c r="F53" s="112">
        <f>+SUM(F51:F52)</f>
        <v>0</v>
      </c>
      <c r="G53" s="112">
        <f>+SUM(G51:G52)</f>
        <v>0</v>
      </c>
      <c r="H53" s="112">
        <f>+SUM(H51:H52)</f>
        <v>0</v>
      </c>
    </row>
    <row r="54" spans="2:8" x14ac:dyDescent="0.2">
      <c r="B54" s="150" t="s">
        <v>150</v>
      </c>
      <c r="C54" s="112"/>
      <c r="D54" s="112"/>
      <c r="E54" s="112"/>
      <c r="F54" s="112"/>
      <c r="G54" s="112"/>
      <c r="H54" s="112"/>
    </row>
    <row r="55" spans="2:8" ht="13.5" thickBot="1" x14ac:dyDescent="0.25">
      <c r="B55" s="117"/>
      <c r="C55" s="112"/>
      <c r="D55" s="112"/>
      <c r="E55" s="112"/>
      <c r="F55" s="112"/>
      <c r="G55" s="112"/>
      <c r="H55" s="112"/>
    </row>
    <row r="56" spans="2:8" ht="13.5" thickBot="1" x14ac:dyDescent="0.25">
      <c r="B56" s="382" t="s">
        <v>151</v>
      </c>
      <c r="C56" s="399">
        <f t="shared" ref="C56:H56" si="15">C$4</f>
        <v>2024</v>
      </c>
      <c r="D56" s="399">
        <f t="shared" si="15"/>
        <v>2025</v>
      </c>
      <c r="E56" s="399">
        <f t="shared" si="15"/>
        <v>2026</v>
      </c>
      <c r="F56" s="399">
        <f t="shared" si="15"/>
        <v>2027</v>
      </c>
      <c r="G56" s="399">
        <f t="shared" si="15"/>
        <v>2028</v>
      </c>
      <c r="H56" s="399">
        <f t="shared" si="15"/>
        <v>2029</v>
      </c>
    </row>
    <row r="57" spans="2:8" x14ac:dyDescent="0.2">
      <c r="B57" s="404" t="s">
        <v>138</v>
      </c>
      <c r="C57" s="405">
        <f t="shared" ref="C57:H57" si="16">C10+C42</f>
        <v>695640883.62130272</v>
      </c>
      <c r="D57" s="405">
        <f t="shared" si="16"/>
        <v>659312267.92892838</v>
      </c>
      <c r="E57" s="405">
        <f t="shared" si="16"/>
        <v>622983652.23655415</v>
      </c>
      <c r="F57" s="405">
        <f t="shared" si="16"/>
        <v>586655036.54417968</v>
      </c>
      <c r="G57" s="405">
        <f t="shared" si="16"/>
        <v>553577086.9230988</v>
      </c>
      <c r="H57" s="406">
        <f t="shared" si="16"/>
        <v>520786543.44104791</v>
      </c>
    </row>
    <row r="58" spans="2:8" x14ac:dyDescent="0.2">
      <c r="B58" s="407" t="s">
        <v>136</v>
      </c>
      <c r="C58" s="112">
        <f t="shared" ref="C58:H58" si="17">C8+C38</f>
        <v>0</v>
      </c>
      <c r="D58" s="112">
        <f>D8+D38</f>
        <v>-36328615.692374341</v>
      </c>
      <c r="E58" s="112">
        <f t="shared" si="17"/>
        <v>-36328615.692374341</v>
      </c>
      <c r="F58" s="112">
        <f t="shared" si="17"/>
        <v>-36328615.692374341</v>
      </c>
      <c r="G58" s="112">
        <f t="shared" si="17"/>
        <v>-33077949.621080849</v>
      </c>
      <c r="H58" s="408">
        <f t="shared" si="17"/>
        <v>-32790543.482050966</v>
      </c>
    </row>
    <row r="59" spans="2:8" ht="13.5" thickBot="1" x14ac:dyDescent="0.25">
      <c r="B59" s="409" t="s">
        <v>137</v>
      </c>
      <c r="C59" s="410">
        <f>C9+C40</f>
        <v>1069183388.4056308</v>
      </c>
      <c r="D59" s="410">
        <f t="shared" ref="D59:H59" si="18">D9+D40</f>
        <v>1069183388.4056308</v>
      </c>
      <c r="E59" s="410">
        <f t="shared" si="18"/>
        <v>1069183388.4056308</v>
      </c>
      <c r="F59" s="410">
        <f t="shared" si="18"/>
        <v>1069183388.4056308</v>
      </c>
      <c r="G59" s="410">
        <f t="shared" si="18"/>
        <v>1069183388.4056308</v>
      </c>
      <c r="H59" s="411">
        <f t="shared" si="18"/>
        <v>1069183388.4056308</v>
      </c>
    </row>
    <row r="60" spans="2:8" ht="13.5" thickBot="1" x14ac:dyDescent="0.25">
      <c r="B60" s="382" t="s">
        <v>152</v>
      </c>
      <c r="C60" s="399">
        <f t="shared" ref="C60:H60" si="19">C$4</f>
        <v>2024</v>
      </c>
      <c r="D60" s="399">
        <f t="shared" si="19"/>
        <v>2025</v>
      </c>
      <c r="E60" s="399">
        <f t="shared" si="19"/>
        <v>2026</v>
      </c>
      <c r="F60" s="399">
        <f t="shared" si="19"/>
        <v>2027</v>
      </c>
      <c r="G60" s="399">
        <f t="shared" si="19"/>
        <v>2028</v>
      </c>
      <c r="H60" s="399">
        <f t="shared" si="19"/>
        <v>2029</v>
      </c>
    </row>
    <row r="61" spans="2:8" x14ac:dyDescent="0.2">
      <c r="B61" s="404" t="s">
        <v>138</v>
      </c>
      <c r="C61" s="405">
        <f t="shared" ref="C61:G61" si="20">C20+C30+C53</f>
        <v>0</v>
      </c>
      <c r="D61" s="405">
        <f>D20+D30+D53</f>
        <v>0</v>
      </c>
      <c r="E61" s="405">
        <f t="shared" si="20"/>
        <v>0</v>
      </c>
      <c r="F61" s="405">
        <f t="shared" si="20"/>
        <v>0</v>
      </c>
      <c r="G61" s="405">
        <f t="shared" si="20"/>
        <v>0</v>
      </c>
      <c r="H61" s="406">
        <f>H20+H30+H53</f>
        <v>0</v>
      </c>
    </row>
    <row r="62" spans="2:8" x14ac:dyDescent="0.2">
      <c r="B62" s="407" t="s">
        <v>136</v>
      </c>
      <c r="C62" s="112">
        <f t="shared" ref="C62:H62" si="21">C18+C29+C49</f>
        <v>0</v>
      </c>
      <c r="D62" s="112">
        <f>D18+D29+D49</f>
        <v>0</v>
      </c>
      <c r="E62" s="112">
        <f t="shared" si="21"/>
        <v>0</v>
      </c>
      <c r="F62" s="112">
        <f t="shared" si="21"/>
        <v>0</v>
      </c>
      <c r="G62" s="112">
        <f t="shared" si="21"/>
        <v>0</v>
      </c>
      <c r="H62" s="408">
        <f t="shared" si="21"/>
        <v>0</v>
      </c>
    </row>
    <row r="63" spans="2:8" x14ac:dyDescent="0.2">
      <c r="B63" s="409" t="s">
        <v>137</v>
      </c>
      <c r="C63" s="410">
        <f>C19+C31+C51</f>
        <v>0</v>
      </c>
      <c r="D63" s="410">
        <f>D19+D31+D51</f>
        <v>0</v>
      </c>
      <c r="E63" s="410">
        <f t="shared" ref="E63:G63" si="22">E19+E31+E51</f>
        <v>0</v>
      </c>
      <c r="F63" s="410">
        <f t="shared" si="22"/>
        <v>0</v>
      </c>
      <c r="G63" s="410">
        <f t="shared" si="22"/>
        <v>0</v>
      </c>
      <c r="H63" s="411">
        <f>H19+H31+H51</f>
        <v>0</v>
      </c>
    </row>
    <row r="64" spans="2:8" x14ac:dyDescent="0.2">
      <c r="B64" s="809" t="s">
        <v>144</v>
      </c>
      <c r="C64" s="810">
        <f t="shared" ref="C64:H64" si="23">C26</f>
        <v>0</v>
      </c>
      <c r="D64" s="810">
        <f>D26</f>
        <v>0</v>
      </c>
      <c r="E64" s="810">
        <f t="shared" si="23"/>
        <v>0</v>
      </c>
      <c r="F64" s="810">
        <f t="shared" si="23"/>
        <v>0</v>
      </c>
      <c r="G64" s="810">
        <f t="shared" si="23"/>
        <v>0</v>
      </c>
      <c r="H64" s="811">
        <f t="shared" si="23"/>
        <v>0</v>
      </c>
    </row>
    <row r="65" spans="2:8" x14ac:dyDescent="0.2">
      <c r="C65" s="112"/>
      <c r="D65" s="112"/>
      <c r="E65" s="112"/>
      <c r="F65" s="112"/>
      <c r="G65" s="112"/>
      <c r="H65" s="112"/>
    </row>
    <row r="66" spans="2:8" s="327" customFormat="1" x14ac:dyDescent="0.2">
      <c r="B66" s="20" t="s">
        <v>153</v>
      </c>
    </row>
    <row r="67" spans="2:8" outlineLevel="1" x14ac:dyDescent="0.2">
      <c r="C67" s="112"/>
      <c r="D67" s="112"/>
      <c r="E67" s="112"/>
      <c r="F67" s="112"/>
      <c r="G67" s="112"/>
      <c r="H67" s="112"/>
    </row>
    <row r="68" spans="2:8" outlineLevel="1" x14ac:dyDescent="0.2">
      <c r="B68" s="146" t="s">
        <v>154</v>
      </c>
      <c r="C68" s="289">
        <f>+'Tasa de Depreciación'!F28</f>
        <v>3.2314329354868353E-2</v>
      </c>
    </row>
    <row r="69" spans="2:8" outlineLevel="1" x14ac:dyDescent="0.2">
      <c r="B69" s="147" t="s">
        <v>155</v>
      </c>
    </row>
    <row r="70" spans="2:8" outlineLevel="1" x14ac:dyDescent="0.2">
      <c r="B70" s="151" t="s">
        <v>1745</v>
      </c>
      <c r="C70" s="148">
        <f>'IMP Existente'!D13</f>
        <v>0.45</v>
      </c>
      <c r="D70" s="648"/>
    </row>
    <row r="71" spans="2:8" outlineLevel="1" x14ac:dyDescent="0.2">
      <c r="B71" s="151" t="s">
        <v>156</v>
      </c>
      <c r="C71" s="149">
        <f>'IMP Existente'!D14</f>
        <v>0.55000000000000004</v>
      </c>
    </row>
    <row r="72" spans="2:8" ht="13.5" outlineLevel="1" thickBot="1" x14ac:dyDescent="0.25"/>
    <row r="73" spans="2:8" ht="13.5" outlineLevel="1" thickBot="1" x14ac:dyDescent="0.25">
      <c r="B73" s="382"/>
      <c r="C73" s="399">
        <f t="shared" ref="C73:H73" si="24">C$4</f>
        <v>2024</v>
      </c>
      <c r="D73" s="399">
        <f t="shared" si="24"/>
        <v>2025</v>
      </c>
      <c r="E73" s="399">
        <f t="shared" si="24"/>
        <v>2026</v>
      </c>
      <c r="F73" s="399">
        <f t="shared" si="24"/>
        <v>2027</v>
      </c>
      <c r="G73" s="399">
        <f t="shared" si="24"/>
        <v>2028</v>
      </c>
      <c r="H73" s="399">
        <f t="shared" si="24"/>
        <v>2029</v>
      </c>
    </row>
    <row r="74" spans="2:8" outlineLevel="1" x14ac:dyDescent="0.2">
      <c r="B74" s="412" t="s">
        <v>157</v>
      </c>
      <c r="C74" s="413"/>
      <c r="D74" s="394">
        <f>+(SUMIF('Plan de Expansión'!$C$7:$M$7,D$73,'Plan de Expansión'!$C$10:$M$10)+SUMIF('Plan de Expansión'!$C$7:$M$7,D$73,'Plan de Expansión'!$C$49:$M$49))*1000</f>
        <v>190252313.04430002</v>
      </c>
      <c r="E74" s="394">
        <f>+(SUMIF('Plan de Expansión'!$C$7:$M$7,E$73,'Plan de Expansión'!$C$10:$M$10)+SUMIF('Plan de Expansión'!$C$7:$M$7,E$73,'Plan de Expansión'!$C$49:$M$49))*1000</f>
        <v>49890996.182500005</v>
      </c>
      <c r="F74" s="394">
        <f>+(SUMIF('Plan de Expansión'!$C$7:$M$7,F$73,'Plan de Expansión'!$C$10:$M$10)+SUMIF('Plan de Expansión'!$C$7:$M$7,F$73,'Plan de Expansión'!$C$49:$M$49))*1000</f>
        <v>0</v>
      </c>
      <c r="G74" s="394">
        <f>+(SUMIF('Plan de Expansión'!$C$7:$M$7,G$73,'Plan de Expansión'!$C$10:$M$10)+SUMIF('Plan de Expansión'!$C$7:$M$7,G$73,'Plan de Expansión'!$C$49:$M$49))*1000</f>
        <v>0</v>
      </c>
      <c r="H74" s="394">
        <f>+(SUMIF('Plan de Expansión'!$C$7:$M$7,H$73,'Plan de Expansión'!$C$10:$M$10)+SUMIF('Plan de Expansión'!$C$7:$M$7,H$73,'Plan de Expansión'!$C$49:$M$49))*1000</f>
        <v>0</v>
      </c>
    </row>
    <row r="75" spans="2:8" outlineLevel="1" x14ac:dyDescent="0.2">
      <c r="B75" s="414" t="s">
        <v>158</v>
      </c>
      <c r="C75" s="386"/>
      <c r="D75" s="389">
        <f>+SUMIF('Plan de Expansión'!$C$7:$M$7,D$73,'Plan de Expansión'!$C$64:$M$64)*1000</f>
        <v>0</v>
      </c>
      <c r="E75" s="389">
        <f>+SUMIF('Plan de Expansión'!$C$7:$M$7,E$73,'Plan de Expansión'!$C$64:$M$64)*1000</f>
        <v>0</v>
      </c>
      <c r="F75" s="389">
        <f>+SUMIF('Plan de Expansión'!$C$7:$M$7,F$73,'Plan de Expansión'!$C$64:$M$64)*1000</f>
        <v>0</v>
      </c>
      <c r="G75" s="389">
        <f>+SUMIF('Plan de Expansión'!$C$7:$M$7,G$73,'Plan de Expansión'!$C$64:$M$64)*1000</f>
        <v>0</v>
      </c>
      <c r="H75" s="389">
        <f>+SUMIF('Plan de Expansión'!$C$7:$M$7,H$73,'Plan de Expansión'!$C$64:$M$64)*1000</f>
        <v>0</v>
      </c>
    </row>
    <row r="76" spans="2:8" outlineLevel="1" x14ac:dyDescent="0.2">
      <c r="B76" s="414" t="s">
        <v>159</v>
      </c>
      <c r="C76" s="386"/>
      <c r="D76" s="389">
        <f>+SUMIF('Plan de Expansión'!$C$7:$M$7,D$73,'Plan de Expansión'!$C$162:$M$162)*1000</f>
        <v>0</v>
      </c>
      <c r="E76" s="389">
        <f>+SUMIF('Plan de Expansión'!$C$7:$M$7,E$73,'Plan de Expansión'!$C$162:$M$162)*1000</f>
        <v>0</v>
      </c>
      <c r="F76" s="389">
        <f>+SUMIF('Plan de Expansión'!$C$7:$M$7,F$73,'Plan de Expansión'!$C$162:$M$162)*1000</f>
        <v>0</v>
      </c>
      <c r="G76" s="389">
        <f>+SUMIF('Plan de Expansión'!$C$7:$M$7,G$73,'Plan de Expansión'!$C$162:$M$162)*1000</f>
        <v>0</v>
      </c>
      <c r="H76" s="389">
        <f>+SUMIF('Plan de Expansión'!$C$7:$M$7,H$73,'Plan de Expansión'!$C$162:$M$162)*1000</f>
        <v>0</v>
      </c>
    </row>
    <row r="77" spans="2:8" outlineLevel="1" x14ac:dyDescent="0.2">
      <c r="B77" s="414" t="s">
        <v>145</v>
      </c>
      <c r="C77" s="386"/>
      <c r="D77" s="415">
        <f>$C$68</f>
        <v>3.2314329354868353E-2</v>
      </c>
      <c r="E77" s="415">
        <f>$C$68</f>
        <v>3.2314329354868353E-2</v>
      </c>
      <c r="F77" s="415">
        <f>$C$68</f>
        <v>3.2314329354868353E-2</v>
      </c>
      <c r="G77" s="415">
        <f>$C$68</f>
        <v>3.2314329354868353E-2</v>
      </c>
      <c r="H77" s="415">
        <f>$C$68</f>
        <v>3.2314329354868353E-2</v>
      </c>
    </row>
    <row r="78" spans="2:8" outlineLevel="1" x14ac:dyDescent="0.2">
      <c r="B78" s="414" t="s">
        <v>135</v>
      </c>
      <c r="C78" s="386"/>
      <c r="D78" s="387">
        <f>+C80</f>
        <v>0</v>
      </c>
      <c r="E78" s="387">
        <f>+D80</f>
        <v>190252313.04430002</v>
      </c>
      <c r="F78" s="387">
        <f>+E80</f>
        <v>233995433.322561</v>
      </c>
      <c r="G78" s="387">
        <f>+F80</f>
        <v>226235363.3358382</v>
      </c>
      <c r="H78" s="387">
        <f>+G80</f>
        <v>218475293.34911537</v>
      </c>
    </row>
    <row r="79" spans="2:8" outlineLevel="1" x14ac:dyDescent="0.2">
      <c r="B79" s="414" t="s">
        <v>136</v>
      </c>
      <c r="C79" s="386"/>
      <c r="D79" s="387">
        <f>-D77*C81</f>
        <v>0</v>
      </c>
      <c r="E79" s="387">
        <f>-E77*D81</f>
        <v>-6147875.9042390278</v>
      </c>
      <c r="F79" s="387">
        <f>-F77*E81</f>
        <v>-7760069.9867228121</v>
      </c>
      <c r="G79" s="387">
        <f>-G77*F81</f>
        <v>-7760069.9867228121</v>
      </c>
      <c r="H79" s="387">
        <f>-H77*G81</f>
        <v>-7760069.9867228121</v>
      </c>
    </row>
    <row r="80" spans="2:8" outlineLevel="1" x14ac:dyDescent="0.2">
      <c r="B80" s="414" t="s">
        <v>138</v>
      </c>
      <c r="C80" s="387">
        <v>0</v>
      </c>
      <c r="D80" s="387">
        <f>+D78+D79+D74+D75</f>
        <v>190252313.04430002</v>
      </c>
      <c r="E80" s="387">
        <f>+E78+E79+E74+E75</f>
        <v>233995433.322561</v>
      </c>
      <c r="F80" s="387">
        <f>+F78+F79+F74+F75</f>
        <v>226235363.3358382</v>
      </c>
      <c r="G80" s="387">
        <f>+G78+G79+G74+G75</f>
        <v>218475293.34911537</v>
      </c>
      <c r="H80" s="387">
        <f>+H78+H79+H74+H75</f>
        <v>210715223.36239254</v>
      </c>
    </row>
    <row r="81" spans="2:9" outlineLevel="1" x14ac:dyDescent="0.2">
      <c r="B81" s="414" t="s">
        <v>137</v>
      </c>
      <c r="C81" s="387">
        <v>0</v>
      </c>
      <c r="D81" s="387">
        <f>+C81+D74+D75</f>
        <v>190252313.04430002</v>
      </c>
      <c r="E81" s="387">
        <f>+D81+E74+E75</f>
        <v>240143309.22680002</v>
      </c>
      <c r="F81" s="387">
        <f>+E81+F74+F75</f>
        <v>240143309.22680002</v>
      </c>
      <c r="G81" s="387">
        <f>+F81+G74+G75</f>
        <v>240143309.22680002</v>
      </c>
      <c r="H81" s="387">
        <f>+G81+H74+H75</f>
        <v>240143309.22680002</v>
      </c>
    </row>
    <row r="82" spans="2:9" outlineLevel="1" x14ac:dyDescent="0.2">
      <c r="B82" s="414" t="s">
        <v>139</v>
      </c>
      <c r="C82" s="387">
        <v>0</v>
      </c>
      <c r="D82" s="387">
        <f>+C82+D79</f>
        <v>0</v>
      </c>
      <c r="E82" s="387">
        <f>+D82+E79</f>
        <v>-6147875.9042390278</v>
      </c>
      <c r="F82" s="387">
        <f>+E82+F79</f>
        <v>-13907945.890961841</v>
      </c>
      <c r="G82" s="387">
        <f>+F82+G79</f>
        <v>-21668015.877684653</v>
      </c>
      <c r="H82" s="387">
        <f>+G82+H79</f>
        <v>-29428085.864407465</v>
      </c>
    </row>
    <row r="83" spans="2:9" outlineLevel="1" x14ac:dyDescent="0.2">
      <c r="B83" s="416" t="s">
        <v>140</v>
      </c>
      <c r="C83" s="391">
        <v>0</v>
      </c>
      <c r="D83" s="391">
        <f>+D81+D82</f>
        <v>190252313.04430002</v>
      </c>
      <c r="E83" s="391">
        <f>+E81+E82</f>
        <v>233995433.322561</v>
      </c>
      <c r="F83" s="391">
        <f>+F81+F82</f>
        <v>226235363.3358382</v>
      </c>
      <c r="G83" s="391">
        <f>+G81+G82</f>
        <v>218475293.34911537</v>
      </c>
      <c r="H83" s="391">
        <f>+H81+H82</f>
        <v>210715223.36239254</v>
      </c>
    </row>
    <row r="84" spans="2:9" outlineLevel="1" x14ac:dyDescent="0.2"/>
    <row r="85" spans="2:9" s="327" customFormat="1" x14ac:dyDescent="0.2">
      <c r="B85" s="20" t="s">
        <v>160</v>
      </c>
    </row>
    <row r="86" spans="2:9" ht="13.5" outlineLevel="1" thickBot="1" x14ac:dyDescent="0.25">
      <c r="B86" s="141"/>
      <c r="C86" s="141"/>
      <c r="D86" s="141"/>
      <c r="E86" s="141"/>
      <c r="F86" s="141"/>
      <c r="G86" s="141"/>
      <c r="H86" s="141"/>
    </row>
    <row r="87" spans="2:9" ht="13.5" outlineLevel="1" thickBot="1" x14ac:dyDescent="0.25">
      <c r="B87" s="382" t="s">
        <v>161</v>
      </c>
      <c r="C87" s="399">
        <f t="shared" ref="C87:H87" si="25">C$4</f>
        <v>2024</v>
      </c>
      <c r="D87" s="399">
        <f t="shared" si="25"/>
        <v>2025</v>
      </c>
      <c r="E87" s="399">
        <f t="shared" si="25"/>
        <v>2026</v>
      </c>
      <c r="F87" s="399">
        <f t="shared" si="25"/>
        <v>2027</v>
      </c>
      <c r="G87" s="399">
        <f t="shared" si="25"/>
        <v>2028</v>
      </c>
      <c r="H87" s="399">
        <f t="shared" si="25"/>
        <v>2029</v>
      </c>
    </row>
    <row r="88" spans="2:9" outlineLevel="2" x14ac:dyDescent="0.2">
      <c r="B88" s="417" t="s">
        <v>162</v>
      </c>
      <c r="C88" s="418"/>
      <c r="D88" s="418">
        <f>+(SUMIF('Plan de Expansión'!$C$7:$M$7,D$87,'Plan de Expansión'!$C$10:$M$10))*1000</f>
        <v>190252313.04430002</v>
      </c>
      <c r="E88" s="418">
        <f>+(SUMIF('Plan de Expansión'!$C$7:$M$7,E$87,'Plan de Expansión'!$C$10:$M$10))*1000</f>
        <v>49890996.182500005</v>
      </c>
      <c r="F88" s="418">
        <f>+(SUMIF('Plan de Expansión'!$C$7:$M$7,F$87,'Plan de Expansión'!$C$10:$M$10))*1000</f>
        <v>0</v>
      </c>
      <c r="G88" s="418">
        <f>+(SUMIF('Plan de Expansión'!$C$7:$M$7,G$87,'Plan de Expansión'!$C$10:$M$10))*1000</f>
        <v>0</v>
      </c>
      <c r="H88" s="418">
        <f>+(SUMIF('Plan de Expansión'!$C$7:$M$7,H$87,'Plan de Expansión'!$C$10:$M$10))*1000</f>
        <v>0</v>
      </c>
    </row>
    <row r="89" spans="2:9" outlineLevel="2" x14ac:dyDescent="0.2">
      <c r="B89" s="419" t="s">
        <v>163</v>
      </c>
      <c r="C89" s="420"/>
      <c r="D89" s="420">
        <f>+SUMIF('Plan de Expansión'!$C$7:$M$7,D$87,'Plan de Expansión'!$C$49:$M$49)*1000</f>
        <v>0</v>
      </c>
      <c r="E89" s="420">
        <f>+SUMIF('Plan de Expansión'!$C$7:$M$7,E$87,'Plan de Expansión'!$C$49:$M$49)*1000</f>
        <v>0</v>
      </c>
      <c r="F89" s="420">
        <f>+SUMIF('Plan de Expansión'!$C$7:$M$7,F$87,'Plan de Expansión'!$C$49:$M$49)*1000</f>
        <v>0</v>
      </c>
      <c r="G89" s="420">
        <f>+SUMIF('Plan de Expansión'!$C$7:$M$7,G$87,'Plan de Expansión'!$C$49:$M$49)*1000</f>
        <v>0</v>
      </c>
      <c r="H89" s="420">
        <f>+SUMIF('Plan de Expansión'!$C$7:$M$7,H$87,'Plan de Expansión'!$C$49:$M$49)*1000</f>
        <v>0</v>
      </c>
    </row>
    <row r="90" spans="2:9" outlineLevel="2" x14ac:dyDescent="0.2">
      <c r="B90" s="419" t="s">
        <v>164</v>
      </c>
      <c r="C90" s="420"/>
      <c r="D90" s="420">
        <f>+SUMIF('Plan de Expansión'!$C$7:$M$7,D$87,'Plan de Expansión'!$C$81:$M$81)*1000</f>
        <v>0</v>
      </c>
      <c r="E90" s="420">
        <f>+SUMIF('Plan de Expansión'!$C$7:$M$7,E$87,'Plan de Expansión'!$C$81:$M$81)*1000</f>
        <v>0</v>
      </c>
      <c r="F90" s="420">
        <f>+SUMIF('Plan de Expansión'!$C$7:$M$7,F$87,'Plan de Expansión'!$C$81:$M$81)*1000</f>
        <v>0</v>
      </c>
      <c r="G90" s="420">
        <f>+SUMIF('Plan de Expansión'!$C$7:$M$7,G$87,'Plan de Expansión'!$C$81:$M$81)*1000</f>
        <v>0</v>
      </c>
      <c r="H90" s="420">
        <f>+SUMIF('Plan de Expansión'!$C$7:$M$7,H$87,'Plan de Expansión'!$C$81:$M$81)*1000</f>
        <v>0</v>
      </c>
    </row>
    <row r="91" spans="2:9" outlineLevel="1" x14ac:dyDescent="0.2">
      <c r="B91" s="414" t="s">
        <v>165</v>
      </c>
      <c r="C91" s="387"/>
      <c r="D91" s="387">
        <f>+SUM(D88:D90)</f>
        <v>190252313.04430002</v>
      </c>
      <c r="E91" s="387">
        <f t="shared" ref="E91:H91" si="26">+SUM(E88:E90)</f>
        <v>49890996.182500005</v>
      </c>
      <c r="F91" s="387">
        <f t="shared" si="26"/>
        <v>0</v>
      </c>
      <c r="G91" s="387">
        <f t="shared" si="26"/>
        <v>0</v>
      </c>
      <c r="H91" s="387">
        <f t="shared" si="26"/>
        <v>0</v>
      </c>
    </row>
    <row r="92" spans="2:9" outlineLevel="1" x14ac:dyDescent="0.2">
      <c r="B92" s="414" t="s">
        <v>1749</v>
      </c>
      <c r="C92" s="385"/>
      <c r="D92" s="425">
        <f>D$91*$C$70</f>
        <v>85613540.869935006</v>
      </c>
      <c r="E92" s="425">
        <f t="shared" ref="E92:H92" si="27">E$91*$C$70</f>
        <v>22450948.282125004</v>
      </c>
      <c r="F92" s="425">
        <f t="shared" si="27"/>
        <v>0</v>
      </c>
      <c r="G92" s="425">
        <f t="shared" si="27"/>
        <v>0</v>
      </c>
      <c r="H92" s="425">
        <f t="shared" si="27"/>
        <v>0</v>
      </c>
    </row>
    <row r="93" spans="2:9" outlineLevel="1" x14ac:dyDescent="0.2">
      <c r="B93" s="414" t="s">
        <v>166</v>
      </c>
      <c r="C93" s="385"/>
      <c r="D93" s="425">
        <f>D$91*$C$71</f>
        <v>104638772.17436501</v>
      </c>
      <c r="E93" s="425">
        <f t="shared" ref="E93:H93" si="28">E$91*$C$71</f>
        <v>27440047.900375005</v>
      </c>
      <c r="F93" s="425">
        <f t="shared" si="28"/>
        <v>0</v>
      </c>
      <c r="G93" s="425">
        <f t="shared" si="28"/>
        <v>0</v>
      </c>
      <c r="H93" s="425">
        <f t="shared" si="28"/>
        <v>0</v>
      </c>
      <c r="I93" s="125"/>
    </row>
    <row r="94" spans="2:9" outlineLevel="1" x14ac:dyDescent="0.2">
      <c r="B94" s="414" t="s">
        <v>158</v>
      </c>
      <c r="C94" s="385"/>
      <c r="D94" s="387">
        <f>+SUMIF('Plan de Expansión'!$C$7:$M$7,D$87,'Plan de Expansión'!$C$64:$M$64)*1000</f>
        <v>0</v>
      </c>
      <c r="E94" s="387">
        <f>+SUMIF('Plan de Expansión'!$C$7:$M$7,E$87,'Plan de Expansión'!$C$64:$M$64)*1000</f>
        <v>0</v>
      </c>
      <c r="F94" s="387">
        <f>+SUMIF('Plan de Expansión'!$C$7:$M$7,F$87,'Plan de Expansión'!$C$64:$M$64)*1000</f>
        <v>0</v>
      </c>
      <c r="G94" s="387">
        <f>+SUMIF('Plan de Expansión'!$C$7:$M$7,G$87,'Plan de Expansión'!$C$64:$M$64)*1000</f>
        <v>0</v>
      </c>
      <c r="H94" s="387">
        <f>+SUMIF('Plan de Expansión'!$C$7:$M$7,H$87,'Plan de Expansión'!$C$64:$M$64)*1000</f>
        <v>0</v>
      </c>
    </row>
    <row r="95" spans="2:9" outlineLevel="1" x14ac:dyDescent="0.2">
      <c r="B95" s="414" t="s">
        <v>159</v>
      </c>
      <c r="C95" s="385"/>
      <c r="D95" s="387">
        <f>+SUMIF('Plan de Expansión'!$C$7:$M$7,D$87,'Plan de Expansión'!$C$162:$M$162)*1000</f>
        <v>0</v>
      </c>
      <c r="E95" s="387">
        <f>+SUMIF('Plan de Expansión'!$C$7:$M$7,E$87,'Plan de Expansión'!$C$162:$M$162)*1000</f>
        <v>0</v>
      </c>
      <c r="F95" s="387">
        <f>+SUMIF('Plan de Expansión'!$C$7:$M$7,F$87,'Plan de Expansión'!$C$162:$M$162)*1000</f>
        <v>0</v>
      </c>
      <c r="G95" s="387">
        <f>+SUMIF('Plan de Expansión'!$C$7:$M$7,G$87,'Plan de Expansión'!$C$162:$M$162)*1000</f>
        <v>0</v>
      </c>
      <c r="H95" s="387">
        <f>+SUMIF('Plan de Expansión'!$C$7:$M$7,H$87,'Plan de Expansión'!$C$162:$M$162)*1000</f>
        <v>0</v>
      </c>
    </row>
    <row r="96" spans="2:9" outlineLevel="1" x14ac:dyDescent="0.2">
      <c r="B96" s="421" t="s">
        <v>167</v>
      </c>
      <c r="C96" s="385"/>
      <c r="D96" s="387">
        <f>+SUMIF('Plan de Expansión'!$C$7:$M$7,D$87,'Plan de Expansión'!$C$151:$M$151)*1000</f>
        <v>0</v>
      </c>
      <c r="E96" s="387">
        <f>+SUMIF('Plan de Expansión'!$C$7:$M$7,E$87,'Plan de Expansión'!$C$151:$M$151)*1000</f>
        <v>0</v>
      </c>
      <c r="F96" s="387">
        <f>+SUMIF('Plan de Expansión'!$C$7:$M$7,F$87,'Plan de Expansión'!$C$151:$M$151)*1000</f>
        <v>0</v>
      </c>
      <c r="G96" s="387">
        <f>+SUMIF('Plan de Expansión'!$C$7:$M$7,G$87,'Plan de Expansión'!$C$151:$M$151)*1000</f>
        <v>0</v>
      </c>
      <c r="H96" s="387">
        <f>+SUMIF('Plan de Expansión'!$C$7:$M$7,H$87,'Plan de Expansión'!$C$151:$M$151)*1000</f>
        <v>0</v>
      </c>
    </row>
    <row r="97" spans="2:10" outlineLevel="1" x14ac:dyDescent="0.2">
      <c r="B97" s="422" t="s">
        <v>1750</v>
      </c>
      <c r="C97" s="385"/>
      <c r="D97" s="425">
        <f>(D$94+D$96)*$C70</f>
        <v>0</v>
      </c>
      <c r="E97" s="425">
        <f t="shared" ref="D97:H98" si="29">(E$94+E$96)*$C70</f>
        <v>0</v>
      </c>
      <c r="F97" s="425">
        <f t="shared" si="29"/>
        <v>0</v>
      </c>
      <c r="G97" s="425">
        <f t="shared" si="29"/>
        <v>0</v>
      </c>
      <c r="H97" s="425">
        <f t="shared" si="29"/>
        <v>0</v>
      </c>
    </row>
    <row r="98" spans="2:10" outlineLevel="1" x14ac:dyDescent="0.2">
      <c r="B98" s="423" t="s">
        <v>168</v>
      </c>
      <c r="C98" s="390"/>
      <c r="D98" s="427">
        <f t="shared" si="29"/>
        <v>0</v>
      </c>
      <c r="E98" s="427">
        <f t="shared" si="29"/>
        <v>0</v>
      </c>
      <c r="F98" s="427">
        <f t="shared" si="29"/>
        <v>0</v>
      </c>
      <c r="G98" s="427">
        <f t="shared" si="29"/>
        <v>0</v>
      </c>
      <c r="H98" s="427">
        <f t="shared" si="29"/>
        <v>0</v>
      </c>
    </row>
    <row r="99" spans="2:10" ht="13.5" outlineLevel="1" thickBot="1" x14ac:dyDescent="0.25"/>
    <row r="100" spans="2:10" ht="13.5" outlineLevel="1" thickBot="1" x14ac:dyDescent="0.25">
      <c r="B100" s="382" t="s">
        <v>1751</v>
      </c>
      <c r="C100" s="399"/>
      <c r="D100" s="399">
        <f t="shared" ref="D100:H100" si="30">D$4</f>
        <v>2025</v>
      </c>
      <c r="E100" s="399">
        <f t="shared" si="30"/>
        <v>2026</v>
      </c>
      <c r="F100" s="399">
        <f t="shared" si="30"/>
        <v>2027</v>
      </c>
      <c r="G100" s="399">
        <f t="shared" si="30"/>
        <v>2028</v>
      </c>
      <c r="H100" s="399">
        <f t="shared" si="30"/>
        <v>2029</v>
      </c>
    </row>
    <row r="101" spans="2:10" outlineLevel="1" x14ac:dyDescent="0.2">
      <c r="B101" s="383" t="s">
        <v>143</v>
      </c>
      <c r="C101" s="383"/>
      <c r="D101" s="393">
        <f>D92</f>
        <v>85613540.869935006</v>
      </c>
      <c r="E101" s="393">
        <f t="shared" ref="E101:H101" si="31">E92</f>
        <v>22450948.282125004</v>
      </c>
      <c r="F101" s="393">
        <f t="shared" si="31"/>
        <v>0</v>
      </c>
      <c r="G101" s="393">
        <f t="shared" si="31"/>
        <v>0</v>
      </c>
      <c r="H101" s="393">
        <f t="shared" si="31"/>
        <v>0</v>
      </c>
    </row>
    <row r="102" spans="2:10" outlineLevel="1" x14ac:dyDescent="0.2">
      <c r="B102" s="385" t="s">
        <v>144</v>
      </c>
      <c r="C102" s="385"/>
      <c r="D102" s="1190">
        <f>'Plan de Expansión'!I170*1000*$C$70</f>
        <v>48217869.256392002</v>
      </c>
      <c r="E102" s="1190">
        <f>'Plan de Expansión'!J170*1000*$C$70</f>
        <v>12609436.706398975</v>
      </c>
      <c r="F102" s="1190">
        <f>'Plan de Expansión'!K170*1000*$C$70</f>
        <v>0</v>
      </c>
      <c r="G102" s="1190">
        <f>'Plan de Expansión'!L170*1000*$C$70</f>
        <v>0</v>
      </c>
      <c r="H102" s="1190">
        <f>'Plan de Expansión'!M170*1000*$C$70</f>
        <v>0</v>
      </c>
    </row>
    <row r="103" spans="2:10" outlineLevel="1" x14ac:dyDescent="0.2">
      <c r="B103" s="385" t="s">
        <v>145</v>
      </c>
      <c r="C103" s="385"/>
      <c r="D103" s="415">
        <f>$C$68</f>
        <v>3.2314329354868353E-2</v>
      </c>
      <c r="E103" s="415">
        <f>$C$68</f>
        <v>3.2314329354868353E-2</v>
      </c>
      <c r="F103" s="415">
        <f>$C$68</f>
        <v>3.2314329354868353E-2</v>
      </c>
      <c r="G103" s="415">
        <f>$C$68</f>
        <v>3.2314329354868353E-2</v>
      </c>
      <c r="H103" s="415">
        <f>$C$68</f>
        <v>3.2314329354868353E-2</v>
      </c>
    </row>
    <row r="104" spans="2:10" outlineLevel="1" x14ac:dyDescent="0.2">
      <c r="B104" s="385" t="s">
        <v>135</v>
      </c>
      <c r="C104" s="385"/>
      <c r="D104" s="385"/>
      <c r="E104" s="385"/>
      <c r="F104" s="385"/>
      <c r="G104" s="385"/>
      <c r="H104" s="385"/>
    </row>
    <row r="105" spans="2:10" outlineLevel="1" x14ac:dyDescent="0.2">
      <c r="B105" s="385" t="s">
        <v>136</v>
      </c>
      <c r="C105" s="385"/>
      <c r="D105" s="387">
        <f>-(C107+D102)*D103</f>
        <v>-1558128.1079410324</v>
      </c>
      <c r="E105" s="387">
        <f t="shared" ref="E105:H105" si="32">-(D107+E102)*E103</f>
        <v>-3174009.6476175054</v>
      </c>
      <c r="F105" s="387">
        <f t="shared" si="32"/>
        <v>-3492031.4940252653</v>
      </c>
      <c r="G105" s="387">
        <f t="shared" si="32"/>
        <v>-3492031.4940252653</v>
      </c>
      <c r="H105" s="387">
        <f t="shared" si="32"/>
        <v>-3492031.4940252653</v>
      </c>
      <c r="J105" s="122"/>
    </row>
    <row r="106" spans="2:10" outlineLevel="1" x14ac:dyDescent="0.2">
      <c r="B106" s="385" t="s">
        <v>169</v>
      </c>
      <c r="C106" s="387">
        <v>0</v>
      </c>
      <c r="D106" s="387">
        <f>C106+D101+D105</f>
        <v>84055412.761993974</v>
      </c>
      <c r="E106" s="387">
        <f>D106+E101+E105</f>
        <v>103332351.39650147</v>
      </c>
      <c r="F106" s="387">
        <f>E106+F101+F105</f>
        <v>99840319.902476206</v>
      </c>
      <c r="G106" s="387">
        <f>F106+G101+G105</f>
        <v>96348288.408450946</v>
      </c>
      <c r="H106" s="387">
        <f>G106+H101+H105</f>
        <v>92856256.914425686</v>
      </c>
    </row>
    <row r="107" spans="2:10" outlineLevel="1" x14ac:dyDescent="0.2">
      <c r="B107" s="424" t="s">
        <v>170</v>
      </c>
      <c r="C107" s="425">
        <v>0</v>
      </c>
      <c r="D107" s="425">
        <f>C107+D101</f>
        <v>85613540.869935006</v>
      </c>
      <c r="E107" s="425">
        <f>D107+E101</f>
        <v>108064489.15206</v>
      </c>
      <c r="F107" s="425">
        <f>E107+F101</f>
        <v>108064489.15206</v>
      </c>
      <c r="G107" s="425">
        <f>F107+G101</f>
        <v>108064489.15206</v>
      </c>
      <c r="H107" s="425">
        <f>G107+H101</f>
        <v>108064489.15206</v>
      </c>
    </row>
    <row r="108" spans="2:10" outlineLevel="1" x14ac:dyDescent="0.2">
      <c r="B108" s="385" t="s">
        <v>139</v>
      </c>
      <c r="C108" s="385"/>
      <c r="D108" s="387">
        <f>C108+D105</f>
        <v>-1558128.1079410324</v>
      </c>
      <c r="E108" s="387">
        <f>D108+E105</f>
        <v>-4732137.7555585373</v>
      </c>
      <c r="F108" s="387">
        <f>E108+F105</f>
        <v>-8224169.2495838031</v>
      </c>
      <c r="G108" s="387">
        <f>F108+G105</f>
        <v>-11716200.743609069</v>
      </c>
      <c r="H108" s="387">
        <f>G108+H105</f>
        <v>-15208232.237634335</v>
      </c>
    </row>
    <row r="109" spans="2:10" outlineLevel="1" x14ac:dyDescent="0.2">
      <c r="B109" s="426" t="s">
        <v>171</v>
      </c>
      <c r="C109" s="427">
        <f t="shared" ref="C109:H109" si="33">C107+C108</f>
        <v>0</v>
      </c>
      <c r="D109" s="427">
        <f t="shared" si="33"/>
        <v>84055412.761993974</v>
      </c>
      <c r="E109" s="427">
        <f t="shared" si="33"/>
        <v>103332351.39650147</v>
      </c>
      <c r="F109" s="427">
        <f t="shared" si="33"/>
        <v>99840319.902476192</v>
      </c>
      <c r="G109" s="427">
        <f t="shared" si="33"/>
        <v>96348288.408450931</v>
      </c>
      <c r="H109" s="427">
        <f t="shared" si="33"/>
        <v>92856256.914425671</v>
      </c>
    </row>
    <row r="110" spans="2:10" outlineLevel="1" x14ac:dyDescent="0.2">
      <c r="I110" s="121"/>
    </row>
    <row r="111" spans="2:10" ht="13.5" outlineLevel="1" thickBot="1" x14ac:dyDescent="0.25"/>
    <row r="112" spans="2:10" ht="13.5" outlineLevel="1" thickBot="1" x14ac:dyDescent="0.25">
      <c r="B112" s="382" t="s">
        <v>191</v>
      </c>
      <c r="C112" s="399"/>
      <c r="D112" s="399">
        <f t="shared" ref="D112:H112" si="34">D$4</f>
        <v>2025</v>
      </c>
      <c r="E112" s="399">
        <f t="shared" si="34"/>
        <v>2026</v>
      </c>
      <c r="F112" s="399">
        <f t="shared" si="34"/>
        <v>2027</v>
      </c>
      <c r="G112" s="399">
        <f t="shared" si="34"/>
        <v>2028</v>
      </c>
      <c r="H112" s="399">
        <f t="shared" si="34"/>
        <v>2029</v>
      </c>
    </row>
    <row r="113" spans="2:10" outlineLevel="1" x14ac:dyDescent="0.2">
      <c r="B113" s="383" t="s">
        <v>143</v>
      </c>
      <c r="C113" s="383"/>
      <c r="D113" s="393">
        <f>D93</f>
        <v>104638772.17436501</v>
      </c>
      <c r="E113" s="393">
        <f>E93</f>
        <v>27440047.900375005</v>
      </c>
      <c r="F113" s="393">
        <f>F93</f>
        <v>0</v>
      </c>
      <c r="G113" s="393">
        <f>G93</f>
        <v>0</v>
      </c>
      <c r="H113" s="393">
        <f>H93</f>
        <v>0</v>
      </c>
    </row>
    <row r="114" spans="2:10" outlineLevel="1" x14ac:dyDescent="0.2">
      <c r="B114" s="385" t="s">
        <v>144</v>
      </c>
      <c r="C114" s="385"/>
      <c r="D114" s="434">
        <f>'Plan de Expansión'!I170*1000*$C$71</f>
        <v>58932951.313368</v>
      </c>
      <c r="E114" s="434">
        <f>'Plan de Expansión'!J170*1000*$C$71</f>
        <v>15411533.752265414</v>
      </c>
      <c r="F114" s="434">
        <f>'Plan de Expansión'!K170*1000*$C$71</f>
        <v>0</v>
      </c>
      <c r="G114" s="434">
        <f>'Plan de Expansión'!L170*1000*$C$71</f>
        <v>0</v>
      </c>
      <c r="H114" s="434">
        <f>'Plan de Expansión'!M170*1000*$C$71</f>
        <v>0</v>
      </c>
    </row>
    <row r="115" spans="2:10" outlineLevel="1" x14ac:dyDescent="0.2">
      <c r="B115" s="385" t="s">
        <v>145</v>
      </c>
      <c r="C115" s="385"/>
      <c r="D115" s="415">
        <f>$C$68</f>
        <v>3.2314329354868353E-2</v>
      </c>
      <c r="E115" s="415">
        <f>$C$68</f>
        <v>3.2314329354868353E-2</v>
      </c>
      <c r="F115" s="415">
        <f>$C$68</f>
        <v>3.2314329354868353E-2</v>
      </c>
      <c r="G115" s="415">
        <f>$C$68</f>
        <v>3.2314329354868353E-2</v>
      </c>
      <c r="H115" s="415">
        <f>$C$68</f>
        <v>3.2314329354868353E-2</v>
      </c>
    </row>
    <row r="116" spans="2:10" outlineLevel="1" x14ac:dyDescent="0.2">
      <c r="B116" s="385" t="s">
        <v>135</v>
      </c>
      <c r="C116" s="385"/>
      <c r="D116" s="385"/>
      <c r="E116" s="385"/>
      <c r="F116" s="385"/>
      <c r="G116" s="385"/>
      <c r="H116" s="385"/>
    </row>
    <row r="117" spans="2:10" outlineLevel="1" x14ac:dyDescent="0.2">
      <c r="B117" s="385" t="s">
        <v>136</v>
      </c>
      <c r="C117" s="385"/>
      <c r="D117" s="387">
        <f>-(C119+D114)*D115</f>
        <v>-1904378.7985945949</v>
      </c>
      <c r="E117" s="387">
        <f t="shared" ref="E117:H117" si="35">-(D119+E114)*E115</f>
        <v>-3879345.1248658397</v>
      </c>
      <c r="F117" s="387">
        <f t="shared" si="35"/>
        <v>-4268038.4926975472</v>
      </c>
      <c r="G117" s="387">
        <f t="shared" si="35"/>
        <v>-4268038.4926975472</v>
      </c>
      <c r="H117" s="387">
        <f t="shared" si="35"/>
        <v>-4268038.4926975472</v>
      </c>
      <c r="J117" s="122"/>
    </row>
    <row r="118" spans="2:10" outlineLevel="1" x14ac:dyDescent="0.2">
      <c r="B118" s="385" t="s">
        <v>169</v>
      </c>
      <c r="C118" s="387">
        <v>0</v>
      </c>
      <c r="D118" s="387">
        <f>C118+D113+D117</f>
        <v>102734393.37577042</v>
      </c>
      <c r="E118" s="387">
        <f>D118+E113+E117</f>
        <v>126295096.15127958</v>
      </c>
      <c r="F118" s="387">
        <f>E118+F113+F117</f>
        <v>122027057.65858203</v>
      </c>
      <c r="G118" s="387">
        <f>F118+G113+G117</f>
        <v>117759019.16588448</v>
      </c>
      <c r="H118" s="387">
        <f>G118+H113+H117</f>
        <v>113490980.67318693</v>
      </c>
    </row>
    <row r="119" spans="2:10" outlineLevel="1" x14ac:dyDescent="0.2">
      <c r="B119" s="424" t="s">
        <v>170</v>
      </c>
      <c r="C119" s="425">
        <v>0</v>
      </c>
      <c r="D119" s="425">
        <f>C119+D113</f>
        <v>104638772.17436501</v>
      </c>
      <c r="E119" s="425">
        <f>D119+E113</f>
        <v>132078820.07474002</v>
      </c>
      <c r="F119" s="425">
        <f>E119+F113</f>
        <v>132078820.07474002</v>
      </c>
      <c r="G119" s="425">
        <f>F119+G113</f>
        <v>132078820.07474002</v>
      </c>
      <c r="H119" s="425">
        <f>G119+H113</f>
        <v>132078820.07474002</v>
      </c>
    </row>
    <row r="120" spans="2:10" outlineLevel="1" x14ac:dyDescent="0.2">
      <c r="B120" s="385" t="s">
        <v>139</v>
      </c>
      <c r="C120" s="385"/>
      <c r="D120" s="387">
        <f>C120+D117</f>
        <v>-1904378.7985945949</v>
      </c>
      <c r="E120" s="387">
        <f>D120+E117</f>
        <v>-5783723.9234604351</v>
      </c>
      <c r="F120" s="387">
        <f>E120+F117</f>
        <v>-10051762.416157983</v>
      </c>
      <c r="G120" s="387">
        <f>F120+G117</f>
        <v>-14319800.908855531</v>
      </c>
      <c r="H120" s="387">
        <f>G120+H117</f>
        <v>-18587839.401553079</v>
      </c>
    </row>
    <row r="121" spans="2:10" outlineLevel="1" x14ac:dyDescent="0.2">
      <c r="B121" s="426" t="s">
        <v>171</v>
      </c>
      <c r="C121" s="427">
        <f t="shared" ref="C121:H121" si="36">C119+C120</f>
        <v>0</v>
      </c>
      <c r="D121" s="427">
        <f>D119+D120</f>
        <v>102734393.37577042</v>
      </c>
      <c r="E121" s="427">
        <f t="shared" si="36"/>
        <v>126295096.15127958</v>
      </c>
      <c r="F121" s="427">
        <f t="shared" si="36"/>
        <v>122027057.65858203</v>
      </c>
      <c r="G121" s="427">
        <f t="shared" si="36"/>
        <v>117759019.16588449</v>
      </c>
      <c r="H121" s="427">
        <f t="shared" si="36"/>
        <v>113490980.67318694</v>
      </c>
    </row>
    <row r="122" spans="2:10" ht="13.5" outlineLevel="1" thickBot="1" x14ac:dyDescent="0.25">
      <c r="B122" s="12"/>
      <c r="C122" s="12"/>
      <c r="D122" s="119"/>
      <c r="E122" s="119"/>
      <c r="F122" s="119"/>
      <c r="G122" s="119"/>
      <c r="H122" s="119"/>
    </row>
    <row r="123" spans="2:10" ht="13.5" outlineLevel="2" thickBot="1" x14ac:dyDescent="0.25">
      <c r="B123" s="382" t="s">
        <v>172</v>
      </c>
      <c r="C123" s="399" t="s">
        <v>1752</v>
      </c>
      <c r="D123" s="399">
        <f>D$4</f>
        <v>2025</v>
      </c>
      <c r="E123" s="399">
        <f>E$4</f>
        <v>2026</v>
      </c>
      <c r="F123" s="399">
        <f>F$4</f>
        <v>2027</v>
      </c>
      <c r="G123" s="399">
        <f>G$4</f>
        <v>2028</v>
      </c>
      <c r="H123" s="399">
        <f>H$4</f>
        <v>2029</v>
      </c>
    </row>
    <row r="124" spans="2:10" outlineLevel="2" x14ac:dyDescent="0.2">
      <c r="B124" s="383" t="s">
        <v>143</v>
      </c>
      <c r="C124" s="383"/>
      <c r="D124" s="393">
        <f>D97</f>
        <v>0</v>
      </c>
      <c r="E124" s="393">
        <f>E97</f>
        <v>0</v>
      </c>
      <c r="F124" s="393">
        <f>F97</f>
        <v>0</v>
      </c>
      <c r="G124" s="393">
        <f>G97</f>
        <v>0</v>
      </c>
      <c r="H124" s="393">
        <f>H97</f>
        <v>0</v>
      </c>
      <c r="I124" s="123"/>
      <c r="J124" s="140"/>
    </row>
    <row r="125" spans="2:10" outlineLevel="2" x14ac:dyDescent="0.2">
      <c r="B125" s="385" t="s">
        <v>144</v>
      </c>
      <c r="C125" s="385"/>
      <c r="D125" s="434">
        <f>('Plan de Expansión'!I171+'Plan de Expansión'!I173)*1000*$C$70</f>
        <v>0</v>
      </c>
      <c r="E125" s="434">
        <f>('Plan de Expansión'!J171+'Plan de Expansión'!J173)*1000*$C$70</f>
        <v>0</v>
      </c>
      <c r="F125" s="434">
        <f>('Plan de Expansión'!K171+'Plan de Expansión'!K173)*1000*$C$70</f>
        <v>0</v>
      </c>
      <c r="G125" s="434">
        <f>('Plan de Expansión'!L171+'Plan de Expansión'!L173)*1000*$C$70</f>
        <v>0</v>
      </c>
      <c r="H125" s="434">
        <f>('Plan de Expansión'!M171+'Plan de Expansión'!M173)*1000*$C$70</f>
        <v>0</v>
      </c>
      <c r="I125" s="121"/>
    </row>
    <row r="126" spans="2:10" outlineLevel="2" x14ac:dyDescent="0.2">
      <c r="B126" s="385" t="s">
        <v>145</v>
      </c>
      <c r="C126" s="435"/>
      <c r="D126" s="435">
        <f>D$5</f>
        <v>3.2314329354868353E-2</v>
      </c>
      <c r="E126" s="435">
        <f>E$5</f>
        <v>3.2314329354868353E-2</v>
      </c>
      <c r="F126" s="435">
        <f>F$5</f>
        <v>3.2314329354868353E-2</v>
      </c>
      <c r="G126" s="435">
        <f>G$5</f>
        <v>3.2314329354868353E-2</v>
      </c>
      <c r="H126" s="435">
        <f>H$5</f>
        <v>3.2314329354868353E-2</v>
      </c>
    </row>
    <row r="127" spans="2:10" outlineLevel="2" x14ac:dyDescent="0.2">
      <c r="B127" s="385" t="s">
        <v>135</v>
      </c>
      <c r="C127" s="385"/>
      <c r="D127" s="385"/>
      <c r="E127" s="385"/>
      <c r="F127" s="385"/>
      <c r="G127" s="385"/>
      <c r="H127" s="385"/>
    </row>
    <row r="128" spans="2:10" outlineLevel="2" x14ac:dyDescent="0.2">
      <c r="B128" s="385" t="s">
        <v>136</v>
      </c>
      <c r="C128" s="385"/>
      <c r="D128" s="387">
        <f>-(C130+D125)*D126</f>
        <v>0</v>
      </c>
      <c r="E128" s="387">
        <f>-(D130+E125)*E126</f>
        <v>0</v>
      </c>
      <c r="F128" s="387">
        <f t="shared" ref="F128:H128" si="37">-(E130+F125)*F126</f>
        <v>0</v>
      </c>
      <c r="G128" s="387">
        <f>-(F130+G125)*G126</f>
        <v>0</v>
      </c>
      <c r="H128" s="387">
        <f t="shared" si="37"/>
        <v>0</v>
      </c>
      <c r="J128" s="122"/>
    </row>
    <row r="129" spans="2:10" outlineLevel="2" x14ac:dyDescent="0.2">
      <c r="B129" s="385" t="s">
        <v>169</v>
      </c>
      <c r="C129" s="387">
        <v>0</v>
      </c>
      <c r="D129" s="387">
        <f>C129+D124+D128</f>
        <v>0</v>
      </c>
      <c r="E129" s="387">
        <f>D129+E124+E128</f>
        <v>0</v>
      </c>
      <c r="F129" s="387">
        <f>E129+F124+F128</f>
        <v>0</v>
      </c>
      <c r="G129" s="387">
        <f>F129+G124+G128</f>
        <v>0</v>
      </c>
      <c r="H129" s="387">
        <f>G129+H124+H128</f>
        <v>0</v>
      </c>
    </row>
    <row r="130" spans="2:10" outlineLevel="2" x14ac:dyDescent="0.2">
      <c r="B130" s="424" t="s">
        <v>170</v>
      </c>
      <c r="C130" s="425">
        <v>0</v>
      </c>
      <c r="D130" s="425">
        <f>C130+D124</f>
        <v>0</v>
      </c>
      <c r="E130" s="425">
        <f>D130+E124</f>
        <v>0</v>
      </c>
      <c r="F130" s="425">
        <f>E130+F124</f>
        <v>0</v>
      </c>
      <c r="G130" s="425">
        <f>F130+G124</f>
        <v>0</v>
      </c>
      <c r="H130" s="425">
        <f>G130+H124</f>
        <v>0</v>
      </c>
    </row>
    <row r="131" spans="2:10" outlineLevel="2" x14ac:dyDescent="0.2">
      <c r="B131" s="385" t="s">
        <v>139</v>
      </c>
      <c r="C131" s="385"/>
      <c r="D131" s="387">
        <f>C131+D128</f>
        <v>0</v>
      </c>
      <c r="E131" s="387">
        <f>D131+E128</f>
        <v>0</v>
      </c>
      <c r="F131" s="387">
        <f>E131+F128</f>
        <v>0</v>
      </c>
      <c r="G131" s="387">
        <f>F131+G128</f>
        <v>0</v>
      </c>
      <c r="H131" s="387">
        <f>G131+H128</f>
        <v>0</v>
      </c>
    </row>
    <row r="132" spans="2:10" outlineLevel="2" x14ac:dyDescent="0.2">
      <c r="B132" s="426" t="s">
        <v>171</v>
      </c>
      <c r="C132" s="427">
        <f t="shared" ref="C132:H132" si="38">C130+C131</f>
        <v>0</v>
      </c>
      <c r="D132" s="427">
        <f t="shared" si="38"/>
        <v>0</v>
      </c>
      <c r="E132" s="427">
        <f>E130+E131</f>
        <v>0</v>
      </c>
      <c r="F132" s="427">
        <f t="shared" si="38"/>
        <v>0</v>
      </c>
      <c r="G132" s="427">
        <f t="shared" si="38"/>
        <v>0</v>
      </c>
      <c r="H132" s="427">
        <f t="shared" si="38"/>
        <v>0</v>
      </c>
    </row>
    <row r="133" spans="2:10" ht="13.5" outlineLevel="2" thickBot="1" x14ac:dyDescent="0.25">
      <c r="B133" s="12"/>
      <c r="C133" s="12"/>
      <c r="D133" s="119"/>
      <c r="E133" s="119"/>
      <c r="F133" s="119"/>
      <c r="G133" s="119"/>
      <c r="H133" s="119"/>
    </row>
    <row r="134" spans="2:10" ht="13.5" outlineLevel="1" thickBot="1" x14ac:dyDescent="0.25">
      <c r="B134" s="382" t="s">
        <v>172</v>
      </c>
      <c r="C134" s="399" t="s">
        <v>173</v>
      </c>
      <c r="D134" s="399">
        <f>D$4</f>
        <v>2025</v>
      </c>
      <c r="E134" s="399">
        <f>E$4</f>
        <v>2026</v>
      </c>
      <c r="F134" s="399">
        <f>F$4</f>
        <v>2027</v>
      </c>
      <c r="G134" s="399">
        <f>G$4</f>
        <v>2028</v>
      </c>
      <c r="H134" s="399">
        <f>H$4</f>
        <v>2029</v>
      </c>
    </row>
    <row r="135" spans="2:10" outlineLevel="1" x14ac:dyDescent="0.2">
      <c r="B135" s="383" t="s">
        <v>143</v>
      </c>
      <c r="C135" s="383"/>
      <c r="D135" s="393">
        <f>D98</f>
        <v>0</v>
      </c>
      <c r="E135" s="393">
        <f>E98</f>
        <v>0</v>
      </c>
      <c r="F135" s="393">
        <f>F98</f>
        <v>0</v>
      </c>
      <c r="G135" s="393">
        <f>G98</f>
        <v>0</v>
      </c>
      <c r="H135" s="393">
        <f>H98</f>
        <v>0</v>
      </c>
      <c r="I135" s="123"/>
    </row>
    <row r="136" spans="2:10" outlineLevel="1" x14ac:dyDescent="0.2">
      <c r="B136" s="385" t="s">
        <v>144</v>
      </c>
      <c r="C136" s="385"/>
      <c r="D136" s="434">
        <f>('Plan de Expansión'!I171+'Plan de Expansión'!I173)*1000*$C$71</f>
        <v>0</v>
      </c>
      <c r="E136" s="434">
        <f>('Plan de Expansión'!J171+'Plan de Expansión'!J173)*1000*$C$71</f>
        <v>0</v>
      </c>
      <c r="F136" s="434">
        <f>('Plan de Expansión'!K171+'Plan de Expansión'!K173)*1000*$C$71</f>
        <v>0</v>
      </c>
      <c r="G136" s="434">
        <f>('Plan de Expansión'!L171+'Plan de Expansión'!L173)*1000*$C$71</f>
        <v>0</v>
      </c>
      <c r="H136" s="434">
        <f>('Plan de Expansión'!M171+'Plan de Expansión'!M173)*1000*$C$71</f>
        <v>0</v>
      </c>
      <c r="I136" s="121"/>
    </row>
    <row r="137" spans="2:10" outlineLevel="1" x14ac:dyDescent="0.2">
      <c r="B137" s="385" t="s">
        <v>145</v>
      </c>
      <c r="C137" s="435"/>
      <c r="D137" s="435">
        <f>D$5</f>
        <v>3.2314329354868353E-2</v>
      </c>
      <c r="E137" s="435">
        <f>E$5</f>
        <v>3.2314329354868353E-2</v>
      </c>
      <c r="F137" s="435">
        <f>F$5</f>
        <v>3.2314329354868353E-2</v>
      </c>
      <c r="G137" s="435">
        <f>G$5</f>
        <v>3.2314329354868353E-2</v>
      </c>
      <c r="H137" s="435">
        <f>H$5</f>
        <v>3.2314329354868353E-2</v>
      </c>
    </row>
    <row r="138" spans="2:10" outlineLevel="1" x14ac:dyDescent="0.2">
      <c r="B138" s="385" t="s">
        <v>135</v>
      </c>
      <c r="C138" s="385"/>
      <c r="D138" s="385"/>
      <c r="E138" s="385"/>
      <c r="F138" s="385"/>
      <c r="G138" s="385"/>
      <c r="H138" s="385"/>
    </row>
    <row r="139" spans="2:10" outlineLevel="1" x14ac:dyDescent="0.2">
      <c r="B139" s="385" t="s">
        <v>136</v>
      </c>
      <c r="C139" s="385"/>
      <c r="D139" s="387">
        <f>-(C141+D136)*D137</f>
        <v>0</v>
      </c>
      <c r="E139" s="387">
        <f>-(D141+E136)*E137</f>
        <v>0</v>
      </c>
      <c r="F139" s="387">
        <f>-(E141+F136)*F137</f>
        <v>0</v>
      </c>
      <c r="G139" s="387">
        <f>-(F141+G136)*G137</f>
        <v>0</v>
      </c>
      <c r="H139" s="387">
        <f>-(G141+H136)*H137</f>
        <v>0</v>
      </c>
      <c r="J139" s="122"/>
    </row>
    <row r="140" spans="2:10" outlineLevel="1" x14ac:dyDescent="0.2">
      <c r="B140" s="385" t="s">
        <v>169</v>
      </c>
      <c r="C140" s="387">
        <v>0</v>
      </c>
      <c r="D140" s="387">
        <f>C140+D135+D139</f>
        <v>0</v>
      </c>
      <c r="E140" s="387">
        <f>D140+E135+E139</f>
        <v>0</v>
      </c>
      <c r="F140" s="387">
        <f>E140+F135+F139</f>
        <v>0</v>
      </c>
      <c r="G140" s="387">
        <f>F140+G135+G139</f>
        <v>0</v>
      </c>
      <c r="H140" s="387">
        <f>G140+H135+H139</f>
        <v>0</v>
      </c>
    </row>
    <row r="141" spans="2:10" outlineLevel="1" x14ac:dyDescent="0.2">
      <c r="B141" s="424" t="s">
        <v>170</v>
      </c>
      <c r="C141" s="425">
        <v>0</v>
      </c>
      <c r="D141" s="425">
        <f>C141+D135</f>
        <v>0</v>
      </c>
      <c r="E141" s="425">
        <f>D141+E135</f>
        <v>0</v>
      </c>
      <c r="F141" s="425">
        <f>E141+F135</f>
        <v>0</v>
      </c>
      <c r="G141" s="425">
        <f>F141+G135</f>
        <v>0</v>
      </c>
      <c r="H141" s="425">
        <f>G141+H135</f>
        <v>0</v>
      </c>
    </row>
    <row r="142" spans="2:10" outlineLevel="1" x14ac:dyDescent="0.2">
      <c r="B142" s="385" t="s">
        <v>139</v>
      </c>
      <c r="C142" s="385"/>
      <c r="D142" s="387">
        <f>C142+D139</f>
        <v>0</v>
      </c>
      <c r="E142" s="387">
        <f>D142+E139</f>
        <v>0</v>
      </c>
      <c r="F142" s="387">
        <f>E142+F139</f>
        <v>0</v>
      </c>
      <c r="G142" s="387">
        <f>F142+G139</f>
        <v>0</v>
      </c>
      <c r="H142" s="387">
        <f>G142+H139</f>
        <v>0</v>
      </c>
    </row>
    <row r="143" spans="2:10" outlineLevel="1" x14ac:dyDescent="0.2">
      <c r="B143" s="426" t="s">
        <v>171</v>
      </c>
      <c r="C143" s="427">
        <f t="shared" ref="C143:H143" si="39">C141+C142</f>
        <v>0</v>
      </c>
      <c r="D143" s="427">
        <f t="shared" si="39"/>
        <v>0</v>
      </c>
      <c r="E143" s="427">
        <f t="shared" si="39"/>
        <v>0</v>
      </c>
      <c r="F143" s="427">
        <f t="shared" si="39"/>
        <v>0</v>
      </c>
      <c r="G143" s="427">
        <f t="shared" si="39"/>
        <v>0</v>
      </c>
      <c r="H143" s="427">
        <f t="shared" si="39"/>
        <v>0</v>
      </c>
    </row>
    <row r="144" spans="2:10" ht="13.5" outlineLevel="1" thickBot="1" x14ac:dyDescent="0.25">
      <c r="B144" s="117"/>
      <c r="C144" s="116"/>
    </row>
    <row r="145" spans="2:9" ht="13.5" outlineLevel="1" thickBot="1" x14ac:dyDescent="0.25">
      <c r="B145" s="382" t="s">
        <v>174</v>
      </c>
      <c r="C145" s="399">
        <f t="shared" ref="C145:H145" si="40">C$4</f>
        <v>2024</v>
      </c>
      <c r="D145" s="399">
        <f t="shared" si="40"/>
        <v>2025</v>
      </c>
      <c r="E145" s="399">
        <f t="shared" si="40"/>
        <v>2026</v>
      </c>
      <c r="F145" s="399">
        <f t="shared" si="40"/>
        <v>2027</v>
      </c>
      <c r="G145" s="399">
        <f t="shared" si="40"/>
        <v>2028</v>
      </c>
      <c r="H145" s="399">
        <f t="shared" si="40"/>
        <v>2029</v>
      </c>
      <c r="I145" s="11" t="s">
        <v>175</v>
      </c>
    </row>
    <row r="146" spans="2:9" outlineLevel="1" x14ac:dyDescent="0.2">
      <c r="B146" s="383" t="s">
        <v>169</v>
      </c>
      <c r="C146" s="393"/>
      <c r="D146" s="393">
        <f>D109+D132</f>
        <v>84055412.761993974</v>
      </c>
      <c r="E146" s="393">
        <f>E109+E132</f>
        <v>103332351.39650147</v>
      </c>
      <c r="F146" s="393">
        <f>F109+F132</f>
        <v>99840319.902476192</v>
      </c>
      <c r="G146" s="393">
        <f>G109+G132</f>
        <v>96348288.408450931</v>
      </c>
      <c r="H146" s="393">
        <f>H109+H132</f>
        <v>92856256.914425671</v>
      </c>
    </row>
    <row r="147" spans="2:9" outlineLevel="1" x14ac:dyDescent="0.2">
      <c r="B147" s="385" t="s">
        <v>176</v>
      </c>
      <c r="C147" s="436"/>
      <c r="D147" s="387">
        <f>D105+D128</f>
        <v>-1558128.1079410324</v>
      </c>
      <c r="E147" s="387">
        <f>E105+E128</f>
        <v>-3174009.6476175054</v>
      </c>
      <c r="F147" s="387">
        <f>F105+F128</f>
        <v>-3492031.4940252653</v>
      </c>
      <c r="G147" s="387">
        <f>G105+G128</f>
        <v>-3492031.4940252653</v>
      </c>
      <c r="H147" s="387">
        <f>H105+H128</f>
        <v>-3492031.4940252653</v>
      </c>
    </row>
    <row r="148" spans="2:9" outlineLevel="1" x14ac:dyDescent="0.2">
      <c r="B148" s="385" t="s">
        <v>170</v>
      </c>
      <c r="C148" s="436"/>
      <c r="D148" s="387">
        <f>D107+D130</f>
        <v>85613540.869935006</v>
      </c>
      <c r="E148" s="387">
        <f>E107+E130</f>
        <v>108064489.15206</v>
      </c>
      <c r="F148" s="387">
        <f>F107+F130</f>
        <v>108064489.15206</v>
      </c>
      <c r="G148" s="387">
        <f>G107+G130</f>
        <v>108064489.15206</v>
      </c>
      <c r="H148" s="387">
        <f>H107+H130</f>
        <v>108064489.15206</v>
      </c>
    </row>
    <row r="149" spans="2:9" ht="13.5" outlineLevel="1" thickBot="1" x14ac:dyDescent="0.25">
      <c r="B149" s="437" t="s">
        <v>144</v>
      </c>
      <c r="C149" s="438"/>
      <c r="D149" s="439">
        <f>D102+D125</f>
        <v>48217869.256392002</v>
      </c>
      <c r="E149" s="439">
        <f>E102+E125</f>
        <v>12609436.706398975</v>
      </c>
      <c r="F149" s="439">
        <f>F102+F125</f>
        <v>0</v>
      </c>
      <c r="G149" s="439">
        <f>G102+G125</f>
        <v>0</v>
      </c>
      <c r="H149" s="439">
        <f>H102+H125</f>
        <v>0</v>
      </c>
    </row>
    <row r="150" spans="2:9" ht="13.5" outlineLevel="1" thickBot="1" x14ac:dyDescent="0.25">
      <c r="B150" s="382" t="s">
        <v>174</v>
      </c>
      <c r="C150" s="399">
        <f t="shared" ref="C150:H150" si="41">C$4</f>
        <v>2024</v>
      </c>
      <c r="D150" s="399">
        <f t="shared" si="41"/>
        <v>2025</v>
      </c>
      <c r="E150" s="399">
        <f t="shared" si="41"/>
        <v>2026</v>
      </c>
      <c r="F150" s="399">
        <f t="shared" si="41"/>
        <v>2027</v>
      </c>
      <c r="G150" s="399">
        <f t="shared" si="41"/>
        <v>2028</v>
      </c>
      <c r="H150" s="399">
        <f t="shared" si="41"/>
        <v>2029</v>
      </c>
      <c r="I150" s="11" t="s">
        <v>177</v>
      </c>
    </row>
    <row r="151" spans="2:9" outlineLevel="1" x14ac:dyDescent="0.2">
      <c r="B151" s="383" t="s">
        <v>169</v>
      </c>
      <c r="C151" s="393"/>
      <c r="D151" s="393">
        <f>D121+D143</f>
        <v>102734393.37577042</v>
      </c>
      <c r="E151" s="393">
        <f>E121+E143</f>
        <v>126295096.15127958</v>
      </c>
      <c r="F151" s="393">
        <f>F121+F143</f>
        <v>122027057.65858203</v>
      </c>
      <c r="G151" s="393">
        <f>G121+G143</f>
        <v>117759019.16588449</v>
      </c>
      <c r="H151" s="393">
        <f>H121+H143</f>
        <v>113490980.67318694</v>
      </c>
    </row>
    <row r="152" spans="2:9" outlineLevel="1" x14ac:dyDescent="0.2">
      <c r="B152" s="385" t="s">
        <v>176</v>
      </c>
      <c r="C152" s="436"/>
      <c r="D152" s="387">
        <f>D117+D139</f>
        <v>-1904378.7985945949</v>
      </c>
      <c r="E152" s="387">
        <f>E117+E139</f>
        <v>-3879345.1248658397</v>
      </c>
      <c r="F152" s="387">
        <f>F117+F139</f>
        <v>-4268038.4926975472</v>
      </c>
      <c r="G152" s="387">
        <f>G117+G139</f>
        <v>-4268038.4926975472</v>
      </c>
      <c r="H152" s="387">
        <f>H117+H139</f>
        <v>-4268038.4926975472</v>
      </c>
    </row>
    <row r="153" spans="2:9" outlineLevel="1" x14ac:dyDescent="0.2">
      <c r="B153" s="385" t="s">
        <v>170</v>
      </c>
      <c r="C153" s="440"/>
      <c r="D153" s="387">
        <f>D119+D141</f>
        <v>104638772.17436501</v>
      </c>
      <c r="E153" s="387">
        <f>E119+E141</f>
        <v>132078820.07474002</v>
      </c>
      <c r="F153" s="387">
        <f>F119+F141</f>
        <v>132078820.07474002</v>
      </c>
      <c r="G153" s="387">
        <f>G119+G141</f>
        <v>132078820.07474002</v>
      </c>
      <c r="H153" s="387">
        <f>H119+H141</f>
        <v>132078820.07474002</v>
      </c>
    </row>
    <row r="154" spans="2:9" outlineLevel="1" x14ac:dyDescent="0.2">
      <c r="B154" s="390" t="s">
        <v>144</v>
      </c>
      <c r="C154" s="441"/>
      <c r="D154" s="391">
        <f>D114+D136</f>
        <v>58932951.313368</v>
      </c>
      <c r="E154" s="391">
        <f>E114+E136</f>
        <v>15411533.752265414</v>
      </c>
      <c r="F154" s="391">
        <f>F114+F136</f>
        <v>0</v>
      </c>
      <c r="G154" s="391">
        <f>G114+G136</f>
        <v>0</v>
      </c>
      <c r="H154" s="391">
        <f>H114+H136</f>
        <v>0</v>
      </c>
    </row>
    <row r="155" spans="2:9" outlineLevel="1" x14ac:dyDescent="0.2">
      <c r="C155" s="112"/>
      <c r="D155" s="112"/>
      <c r="E155" s="112"/>
      <c r="F155" s="112"/>
      <c r="G155" s="112"/>
      <c r="H155" s="112"/>
    </row>
    <row r="156" spans="2:9" s="327" customFormat="1" ht="13.5" thickBot="1" x14ac:dyDescent="0.25">
      <c r="B156" s="20" t="s">
        <v>31</v>
      </c>
    </row>
    <row r="157" spans="2:9" ht="13.5" thickBot="1" x14ac:dyDescent="0.25">
      <c r="B157" s="382"/>
      <c r="C157" s="399">
        <f t="shared" ref="C157:H157" si="42">C$4</f>
        <v>2024</v>
      </c>
      <c r="D157" s="399">
        <f t="shared" si="42"/>
        <v>2025</v>
      </c>
      <c r="E157" s="399">
        <f t="shared" si="42"/>
        <v>2026</v>
      </c>
      <c r="F157" s="399">
        <f t="shared" si="42"/>
        <v>2027</v>
      </c>
      <c r="G157" s="399">
        <f t="shared" si="42"/>
        <v>2028</v>
      </c>
      <c r="H157" s="399">
        <f t="shared" si="42"/>
        <v>2029</v>
      </c>
    </row>
    <row r="158" spans="2:9" x14ac:dyDescent="0.2">
      <c r="B158" s="392" t="s">
        <v>145</v>
      </c>
      <c r="C158" s="384">
        <f>+'Tasa de Depreciación'!$D$28</f>
        <v>2.0108275483515788E-2</v>
      </c>
      <c r="D158" s="384">
        <f>+'Tasa de Depreciación'!$D$28</f>
        <v>2.0108275483515788E-2</v>
      </c>
      <c r="E158" s="384">
        <f>+'Tasa de Depreciación'!$D$28</f>
        <v>2.0108275483515788E-2</v>
      </c>
      <c r="F158" s="384">
        <f>+'Tasa de Depreciación'!$D$28</f>
        <v>2.0108275483515788E-2</v>
      </c>
      <c r="G158" s="384">
        <f>+'Tasa de Depreciación'!$D$28</f>
        <v>2.0108275483515788E-2</v>
      </c>
      <c r="H158" s="384">
        <f>+'Tasa de Depreciación'!$D$28</f>
        <v>2.0108275483515788E-2</v>
      </c>
    </row>
    <row r="159" spans="2:9" x14ac:dyDescent="0.2">
      <c r="B159" s="396" t="s">
        <v>147</v>
      </c>
      <c r="C159" s="402">
        <v>0.02</v>
      </c>
      <c r="D159" s="402">
        <v>0.02</v>
      </c>
      <c r="E159" s="402">
        <v>0.02</v>
      </c>
      <c r="F159" s="402">
        <v>0.02</v>
      </c>
      <c r="G159" s="402">
        <v>0.02</v>
      </c>
      <c r="H159" s="402">
        <v>0.02</v>
      </c>
    </row>
    <row r="160" spans="2:9" x14ac:dyDescent="0.2">
      <c r="B160" s="396" t="s">
        <v>134</v>
      </c>
      <c r="C160" s="387"/>
      <c r="D160" s="387">
        <f>+C164</f>
        <v>106568352.285</v>
      </c>
      <c r="E160" s="387">
        <f>+D164</f>
        <v>106568352.285</v>
      </c>
      <c r="F160" s="387">
        <f>+E164</f>
        <v>106568352.285</v>
      </c>
      <c r="G160" s="387">
        <f>+F164</f>
        <v>106568352.285</v>
      </c>
      <c r="H160" s="387">
        <f>+G164</f>
        <v>106568352.285</v>
      </c>
    </row>
    <row r="161" spans="2:8" x14ac:dyDescent="0.2">
      <c r="B161" s="396" t="s">
        <v>135</v>
      </c>
      <c r="C161" s="387"/>
      <c r="D161" s="387">
        <f>+C166</f>
        <v>86026782.215000004</v>
      </c>
      <c r="E161" s="387">
        <f>+D166</f>
        <v>83883876.429428861</v>
      </c>
      <c r="F161" s="387">
        <f>+E166</f>
        <v>81740970.643857718</v>
      </c>
      <c r="G161" s="387">
        <f>+F166</f>
        <v>79598064.858286589</v>
      </c>
      <c r="H161" s="387">
        <f>+G166</f>
        <v>77455159.072715446</v>
      </c>
    </row>
    <row r="162" spans="2:8" x14ac:dyDescent="0.2">
      <c r="B162" s="396" t="s">
        <v>136</v>
      </c>
      <c r="C162" s="387"/>
      <c r="D162" s="387">
        <f>-C164*D158</f>
        <v>-2142905.7855711393</v>
      </c>
      <c r="E162" s="387">
        <f>-D164*E158</f>
        <v>-2142905.7855711393</v>
      </c>
      <c r="F162" s="387">
        <f>-E164*F158</f>
        <v>-2142905.7855711393</v>
      </c>
      <c r="G162" s="387">
        <f>-F164*G158</f>
        <v>-2142905.7855711393</v>
      </c>
      <c r="H162" s="387">
        <f>-G164*H158</f>
        <v>-2142905.7855711393</v>
      </c>
    </row>
    <row r="163" spans="2:8" x14ac:dyDescent="0.2">
      <c r="B163" s="396" t="s">
        <v>148</v>
      </c>
      <c r="C163" s="387"/>
      <c r="D163" s="387"/>
      <c r="E163" s="387"/>
      <c r="F163" s="387"/>
      <c r="G163" s="387"/>
      <c r="H163" s="387"/>
    </row>
    <row r="164" spans="2:8" x14ac:dyDescent="0.2">
      <c r="B164" s="396" t="s">
        <v>137</v>
      </c>
      <c r="C164" s="387">
        <f>+'Base de Capital'!C15</f>
        <v>106568352.285</v>
      </c>
      <c r="D164" s="387">
        <f>+D160+D163</f>
        <v>106568352.285</v>
      </c>
      <c r="E164" s="387">
        <f>+E160+E163</f>
        <v>106568352.285</v>
      </c>
      <c r="F164" s="387">
        <f>+F160+F163</f>
        <v>106568352.285</v>
      </c>
      <c r="G164" s="387">
        <f>+G160+G163</f>
        <v>106568352.285</v>
      </c>
      <c r="H164" s="387">
        <f>+H160+H163</f>
        <v>106568352.285</v>
      </c>
    </row>
    <row r="165" spans="2:8" x14ac:dyDescent="0.2">
      <c r="B165" s="396" t="s">
        <v>139</v>
      </c>
      <c r="C165" s="387">
        <f>-C164+C166</f>
        <v>-20541570.069999993</v>
      </c>
      <c r="D165" s="387">
        <f>+C165+D162</f>
        <v>-22684475.855571132</v>
      </c>
      <c r="E165" s="387">
        <f>+D165+E162</f>
        <v>-24827381.641142271</v>
      </c>
      <c r="F165" s="387">
        <f>+E165+F162</f>
        <v>-26970287.426713411</v>
      </c>
      <c r="G165" s="387">
        <f>+F165+G162</f>
        <v>-29113193.21228455</v>
      </c>
      <c r="H165" s="387">
        <f>+G165+H162</f>
        <v>-31256098.997855689</v>
      </c>
    </row>
    <row r="166" spans="2:8" x14ac:dyDescent="0.2">
      <c r="B166" s="398" t="s">
        <v>138</v>
      </c>
      <c r="C166" s="391">
        <f>+'Base de Capital'!D16</f>
        <v>86026782.215000004</v>
      </c>
      <c r="D166" s="391">
        <f t="shared" ref="D166:H166" si="43">+SUM(D164:D165)</f>
        <v>83883876.429428861</v>
      </c>
      <c r="E166" s="391">
        <f t="shared" si="43"/>
        <v>81740970.643857718</v>
      </c>
      <c r="F166" s="391">
        <f t="shared" si="43"/>
        <v>79598064.858286589</v>
      </c>
      <c r="G166" s="391">
        <f t="shared" si="43"/>
        <v>77455159.072715446</v>
      </c>
      <c r="H166" s="391">
        <f t="shared" si="43"/>
        <v>75312253.287144303</v>
      </c>
    </row>
    <row r="167" spans="2:8" ht="9.75" customHeight="1" thickBot="1" x14ac:dyDescent="0.25">
      <c r="B167" s="113"/>
      <c r="C167" s="115"/>
    </row>
    <row r="168" spans="2:8" ht="13.5" thickBot="1" x14ac:dyDescent="0.25">
      <c r="B168" s="382" t="s">
        <v>161</v>
      </c>
      <c r="C168" s="399">
        <f t="shared" ref="C168:H168" si="44">C$4</f>
        <v>2024</v>
      </c>
      <c r="D168" s="399">
        <f t="shared" si="44"/>
        <v>2025</v>
      </c>
      <c r="E168" s="399">
        <f t="shared" si="44"/>
        <v>2026</v>
      </c>
      <c r="F168" s="399">
        <f t="shared" si="44"/>
        <v>2027</v>
      </c>
      <c r="G168" s="399">
        <f t="shared" si="44"/>
        <v>2028</v>
      </c>
      <c r="H168" s="399">
        <f t="shared" si="44"/>
        <v>2029</v>
      </c>
    </row>
    <row r="169" spans="2:8" x14ac:dyDescent="0.2">
      <c r="B169" s="392" t="s">
        <v>143</v>
      </c>
      <c r="C169" s="393"/>
      <c r="D169" s="393">
        <f>+SUMIF('Plan de Expansión'!$C$7:$M$7,D$168,'Plan de Expansión'!$C$136:$M$136)*1000</f>
        <v>12687898.440000001</v>
      </c>
      <c r="E169" s="393">
        <f>+SUMIF('Plan de Expansión'!$C$7:$M$7,E$168,'Plan de Expansión'!$C$136:$M$136)*1000</f>
        <v>0</v>
      </c>
      <c r="F169" s="393">
        <f>+SUMIF('Plan de Expansión'!$C$7:$M$7,F$168,'Plan de Expansión'!$C$136:$M$136)*1000</f>
        <v>5129056</v>
      </c>
      <c r="G169" s="393">
        <f>+SUMIF('Plan de Expansión'!$C$7:$M$7,G$168,'Plan de Expansión'!$C$136:$M$136)*1000</f>
        <v>0</v>
      </c>
      <c r="H169" s="393">
        <f>+SUMIF('Plan de Expansión'!$C$7:$M$7,H$168,'Plan de Expansión'!$C$136:$M$136)*1000</f>
        <v>0</v>
      </c>
    </row>
    <row r="170" spans="2:8" x14ac:dyDescent="0.2">
      <c r="B170" s="385" t="s">
        <v>144</v>
      </c>
      <c r="C170" s="387"/>
      <c r="D170" s="387">
        <f>'Plan de Expansión'!I174*1000</f>
        <v>5353250.3007123284</v>
      </c>
      <c r="E170" s="387">
        <f>'Plan de Expansión'!J174*1000</f>
        <v>0</v>
      </c>
      <c r="F170" s="387">
        <f>'Plan de Expansión'!K174*1000</f>
        <v>0</v>
      </c>
      <c r="G170" s="387">
        <f>'Plan de Expansión'!L174*1000</f>
        <v>0</v>
      </c>
      <c r="H170" s="387">
        <f>'Plan de Expansión'!M174*1000</f>
        <v>0</v>
      </c>
    </row>
    <row r="171" spans="2:8" x14ac:dyDescent="0.2">
      <c r="B171" s="396" t="s">
        <v>145</v>
      </c>
      <c r="C171" s="402"/>
      <c r="D171" s="415">
        <f>$C$68</f>
        <v>3.2314329354868353E-2</v>
      </c>
      <c r="E171" s="415">
        <f>$C$68</f>
        <v>3.2314329354868353E-2</v>
      </c>
      <c r="F171" s="415">
        <f>$C$68</f>
        <v>3.2314329354868353E-2</v>
      </c>
      <c r="G171" s="415">
        <f>$C$68</f>
        <v>3.2314329354868353E-2</v>
      </c>
      <c r="H171" s="415">
        <f>$C$68</f>
        <v>3.2314329354868353E-2</v>
      </c>
    </row>
    <row r="172" spans="2:8" x14ac:dyDescent="0.2">
      <c r="B172" s="396" t="s">
        <v>135</v>
      </c>
      <c r="C172" s="387"/>
      <c r="D172" s="387">
        <f>+C174</f>
        <v>0</v>
      </c>
      <c r="E172" s="387">
        <f>+D174</f>
        <v>12514911.746663734</v>
      </c>
      <c r="F172" s="387">
        <f>+E174</f>
        <v>12104910.817652455</v>
      </c>
      <c r="G172" s="387">
        <f>+F174</f>
        <v>16823965.888641175</v>
      </c>
      <c r="H172" s="387">
        <f>+G174</f>
        <v>16248222.954766331</v>
      </c>
    </row>
    <row r="173" spans="2:8" x14ac:dyDescent="0.2">
      <c r="B173" s="396" t="s">
        <v>136</v>
      </c>
      <c r="C173" s="387"/>
      <c r="D173" s="387">
        <f>-(C175+D170)*D171</f>
        <v>-172986.69333626624</v>
      </c>
      <c r="E173" s="387">
        <f>-(D175+E170)*E171</f>
        <v>-410000.92901128042</v>
      </c>
      <c r="F173" s="387">
        <f t="shared" ref="F173:H173" si="45">-(E175+F170)*F171</f>
        <v>-410000.92901128042</v>
      </c>
      <c r="G173" s="387">
        <f t="shared" si="45"/>
        <v>-575742.93387484411</v>
      </c>
      <c r="H173" s="387">
        <f t="shared" si="45"/>
        <v>-575742.93387484411</v>
      </c>
    </row>
    <row r="174" spans="2:8" x14ac:dyDescent="0.2">
      <c r="B174" s="396" t="s">
        <v>138</v>
      </c>
      <c r="C174" s="387"/>
      <c r="D174" s="387">
        <f>+SUM(D169,D172:D173)</f>
        <v>12514911.746663734</v>
      </c>
      <c r="E174" s="387">
        <f>+SUM(E169,E172:E173)</f>
        <v>12104910.817652455</v>
      </c>
      <c r="F174" s="387">
        <f>+SUM(F169,F172:F173)</f>
        <v>16823965.888641175</v>
      </c>
      <c r="G174" s="387">
        <f>+SUM(G169,G172:G173)</f>
        <v>16248222.954766331</v>
      </c>
      <c r="H174" s="387">
        <f>+SUM(H169,H172:H173)</f>
        <v>15672480.020891488</v>
      </c>
    </row>
    <row r="175" spans="2:8" x14ac:dyDescent="0.2">
      <c r="B175" s="396" t="s">
        <v>137</v>
      </c>
      <c r="C175" s="387"/>
      <c r="D175" s="387">
        <f>+C175+D169</f>
        <v>12687898.440000001</v>
      </c>
      <c r="E175" s="387">
        <f>+D175+E169</f>
        <v>12687898.440000001</v>
      </c>
      <c r="F175" s="387">
        <f>+E175+F169</f>
        <v>17816954.440000001</v>
      </c>
      <c r="G175" s="387">
        <f>+F175+G169</f>
        <v>17816954.440000001</v>
      </c>
      <c r="H175" s="387">
        <f>+G175+H169</f>
        <v>17816954.440000001</v>
      </c>
    </row>
    <row r="176" spans="2:8" ht="13.5" thickBot="1" x14ac:dyDescent="0.25">
      <c r="B176" s="396" t="s">
        <v>139</v>
      </c>
      <c r="C176" s="387"/>
      <c r="D176" s="387">
        <f>+C176+D173</f>
        <v>-172986.69333626624</v>
      </c>
      <c r="E176" s="387">
        <f>+D176+E173</f>
        <v>-582987.62234754662</v>
      </c>
      <c r="F176" s="387">
        <f>+E176+F173</f>
        <v>-992988.55135882704</v>
      </c>
      <c r="G176" s="387">
        <f>+F176+G173</f>
        <v>-1568731.485233671</v>
      </c>
      <c r="H176" s="387">
        <f>+G176+H173</f>
        <v>-2144474.4191085151</v>
      </c>
    </row>
    <row r="177" spans="2:10" ht="13.5" thickBot="1" x14ac:dyDescent="0.25">
      <c r="B177" s="442" t="s">
        <v>178</v>
      </c>
      <c r="C177" s="443">
        <f>+C164+C175</f>
        <v>106568352.285</v>
      </c>
      <c r="D177" s="443">
        <f t="shared" ref="D177:H177" si="46">+D164+D175</f>
        <v>119256250.72499999</v>
      </c>
      <c r="E177" s="443">
        <f t="shared" si="46"/>
        <v>119256250.72499999</v>
      </c>
      <c r="F177" s="443">
        <f t="shared" si="46"/>
        <v>124385306.72499999</v>
      </c>
      <c r="G177" s="443">
        <f t="shared" si="46"/>
        <v>124385306.72499999</v>
      </c>
      <c r="H177" s="443">
        <f t="shared" si="46"/>
        <v>124385306.72499999</v>
      </c>
    </row>
    <row r="178" spans="2:10" ht="13.5" thickBot="1" x14ac:dyDescent="0.25">
      <c r="B178" s="442" t="s">
        <v>179</v>
      </c>
      <c r="C178" s="443">
        <f t="shared" ref="C178:H178" si="47">+C166+C174</f>
        <v>86026782.215000004</v>
      </c>
      <c r="D178" s="443">
        <f t="shared" si="47"/>
        <v>96398788.176092595</v>
      </c>
      <c r="E178" s="443">
        <f t="shared" si="47"/>
        <v>93845881.461510167</v>
      </c>
      <c r="F178" s="443">
        <f t="shared" si="47"/>
        <v>96422030.746927768</v>
      </c>
      <c r="G178" s="443">
        <f t="shared" si="47"/>
        <v>93703382.027481779</v>
      </c>
      <c r="H178" s="443">
        <f t="shared" si="47"/>
        <v>90984733.308035791</v>
      </c>
    </row>
    <row r="179" spans="2:10" ht="13.5" thickBot="1" x14ac:dyDescent="0.25">
      <c r="B179" s="442" t="s">
        <v>25</v>
      </c>
      <c r="C179" s="443">
        <f t="shared" ref="C179:H179" si="48">+C162+C173</f>
        <v>0</v>
      </c>
      <c r="D179" s="443">
        <f t="shared" si="48"/>
        <v>-2315892.4789074054</v>
      </c>
      <c r="E179" s="443">
        <f t="shared" si="48"/>
        <v>-2552906.71458242</v>
      </c>
      <c r="F179" s="443">
        <f t="shared" si="48"/>
        <v>-2552906.71458242</v>
      </c>
      <c r="G179" s="443">
        <f t="shared" si="48"/>
        <v>-2718648.7194459834</v>
      </c>
      <c r="H179" s="443">
        <f t="shared" si="48"/>
        <v>-2718648.7194459834</v>
      </c>
    </row>
    <row r="182" spans="2:10" s="327" customFormat="1" x14ac:dyDescent="0.2">
      <c r="B182" s="20" t="s">
        <v>18</v>
      </c>
    </row>
    <row r="183" spans="2:10" ht="13.5" thickBot="1" x14ac:dyDescent="0.25">
      <c r="B183" s="141"/>
      <c r="C183" s="141"/>
      <c r="D183" s="141"/>
      <c r="E183" s="141"/>
      <c r="F183" s="141"/>
      <c r="G183" s="141"/>
      <c r="H183" s="141"/>
    </row>
    <row r="184" spans="2:10" ht="13.5" thickBot="1" x14ac:dyDescent="0.25">
      <c r="B184" s="382" t="s">
        <v>12</v>
      </c>
      <c r="C184" s="399">
        <f t="shared" ref="C184:H184" si="49">C$4</f>
        <v>2024</v>
      </c>
      <c r="D184" s="399">
        <f t="shared" si="49"/>
        <v>2025</v>
      </c>
      <c r="E184" s="399">
        <f t="shared" si="49"/>
        <v>2026</v>
      </c>
      <c r="F184" s="399">
        <f t="shared" si="49"/>
        <v>2027</v>
      </c>
      <c r="G184" s="399">
        <f t="shared" si="49"/>
        <v>2028</v>
      </c>
      <c r="H184" s="399">
        <f t="shared" si="49"/>
        <v>2029</v>
      </c>
    </row>
    <row r="185" spans="2:10" x14ac:dyDescent="0.2">
      <c r="B185" s="383" t="s">
        <v>12</v>
      </c>
      <c r="C185" s="383"/>
      <c r="D185" s="383"/>
      <c r="E185" s="383"/>
      <c r="F185" s="383"/>
      <c r="G185" s="383"/>
      <c r="H185" s="383"/>
    </row>
    <row r="186" spans="2:10" x14ac:dyDescent="0.2">
      <c r="B186" s="385" t="s">
        <v>180</v>
      </c>
      <c r="C186" s="389">
        <f>VNR_Lin!E4+VNR_Sub!E3</f>
        <v>1494267745.3575969</v>
      </c>
      <c r="D186" s="387">
        <f>$C186</f>
        <v>1494267745.3575969</v>
      </c>
      <c r="E186" s="387">
        <f>$C186</f>
        <v>1494267745.3575969</v>
      </c>
      <c r="F186" s="387">
        <f t="shared" ref="E186:H189" si="50">$C186</f>
        <v>1494267745.3575969</v>
      </c>
      <c r="G186" s="387">
        <f t="shared" si="50"/>
        <v>1494267745.3575969</v>
      </c>
      <c r="H186" s="387">
        <f t="shared" si="50"/>
        <v>1494267745.3575969</v>
      </c>
      <c r="J186" s="112"/>
    </row>
    <row r="187" spans="2:10" x14ac:dyDescent="0.2">
      <c r="B187" s="385" t="s">
        <v>181</v>
      </c>
      <c r="C187" s="444">
        <f>VNR_Lin!E5+VNR_Sub!E4</f>
        <v>0</v>
      </c>
      <c r="D187" s="387">
        <f>C187+D25</f>
        <v>0</v>
      </c>
      <c r="E187" s="387">
        <f>D187+E25</f>
        <v>0</v>
      </c>
      <c r="F187" s="387">
        <f>E187+F25</f>
        <v>0</v>
      </c>
      <c r="G187" s="387">
        <f>F187+G25</f>
        <v>0</v>
      </c>
      <c r="H187" s="387">
        <f>G187+H25</f>
        <v>0</v>
      </c>
      <c r="J187" s="112"/>
    </row>
    <row r="188" spans="2:10" x14ac:dyDescent="0.2">
      <c r="B188" s="385" t="s">
        <v>182</v>
      </c>
      <c r="C188" s="389">
        <f>C257+VNR_Sub!E6</f>
        <v>110130086.64594305</v>
      </c>
      <c r="D188" s="387">
        <f t="shared" ref="D188:D189" si="51">$C188</f>
        <v>110130086.64594305</v>
      </c>
      <c r="E188" s="387">
        <f t="shared" si="50"/>
        <v>110130086.64594305</v>
      </c>
      <c r="F188" s="387">
        <f t="shared" si="50"/>
        <v>110130086.64594305</v>
      </c>
      <c r="G188" s="387">
        <f t="shared" si="50"/>
        <v>110130086.64594305</v>
      </c>
      <c r="H188" s="387">
        <f t="shared" si="50"/>
        <v>110130086.64594305</v>
      </c>
      <c r="J188" s="112" t="s">
        <v>183</v>
      </c>
    </row>
    <row r="189" spans="2:10" x14ac:dyDescent="0.2">
      <c r="B189" s="385" t="s">
        <v>184</v>
      </c>
      <c r="C189" s="445">
        <v>0</v>
      </c>
      <c r="D189" s="387">
        <f t="shared" si="51"/>
        <v>0</v>
      </c>
      <c r="E189" s="387">
        <f t="shared" si="50"/>
        <v>0</v>
      </c>
      <c r="F189" s="387">
        <f t="shared" si="50"/>
        <v>0</v>
      </c>
      <c r="G189" s="387">
        <f t="shared" si="50"/>
        <v>0</v>
      </c>
      <c r="H189" s="387">
        <f t="shared" si="50"/>
        <v>0</v>
      </c>
      <c r="J189" s="112"/>
    </row>
    <row r="190" spans="2:10" x14ac:dyDescent="0.2">
      <c r="B190" s="390" t="s">
        <v>185</v>
      </c>
      <c r="C190" s="446">
        <f>VNR_Lin!E6+VNR_Sub!E5</f>
        <v>113196850.75048262</v>
      </c>
      <c r="D190" s="391">
        <f>C190+D169</f>
        <v>125884749.19048262</v>
      </c>
      <c r="E190" s="391">
        <f>D190+E169</f>
        <v>125884749.19048262</v>
      </c>
      <c r="F190" s="391">
        <f>E190+F169</f>
        <v>131013805.19048262</v>
      </c>
      <c r="G190" s="391">
        <f>F190+G169</f>
        <v>131013805.19048262</v>
      </c>
      <c r="H190" s="391">
        <f>G190+H169</f>
        <v>131013805.19048262</v>
      </c>
    </row>
    <row r="191" spans="2:10" outlineLevel="1" x14ac:dyDescent="0.2"/>
    <row r="192" spans="2:10" outlineLevel="1" x14ac:dyDescent="0.2">
      <c r="B192" s="107" t="s">
        <v>62</v>
      </c>
      <c r="C192" s="36">
        <f t="shared" ref="C192:H192" si="52">C$4</f>
        <v>2024</v>
      </c>
      <c r="D192" s="36">
        <f t="shared" si="52"/>
        <v>2025</v>
      </c>
      <c r="E192" s="36">
        <f t="shared" si="52"/>
        <v>2026</v>
      </c>
      <c r="F192" s="36">
        <f t="shared" si="52"/>
        <v>2027</v>
      </c>
      <c r="G192" s="36">
        <f t="shared" si="52"/>
        <v>2028</v>
      </c>
      <c r="H192" s="36">
        <f t="shared" si="52"/>
        <v>2029</v>
      </c>
    </row>
    <row r="193" spans="2:9" outlineLevel="1" x14ac:dyDescent="0.2">
      <c r="B193" s="11" t="s">
        <v>1654</v>
      </c>
      <c r="C193" s="112"/>
      <c r="D193" s="112">
        <f t="shared" ref="D193:H194" si="53">D92</f>
        <v>85613540.869935006</v>
      </c>
      <c r="E193" s="112">
        <f>E92</f>
        <v>22450948.282125004</v>
      </c>
      <c r="F193" s="112">
        <f t="shared" si="53"/>
        <v>0</v>
      </c>
      <c r="G193" s="112">
        <f t="shared" si="53"/>
        <v>0</v>
      </c>
      <c r="H193" s="112">
        <f t="shared" si="53"/>
        <v>0</v>
      </c>
    </row>
    <row r="194" spans="2:9" outlineLevel="1" x14ac:dyDescent="0.2">
      <c r="B194" s="648" t="s">
        <v>186</v>
      </c>
      <c r="D194" s="112">
        <f t="shared" si="53"/>
        <v>104638772.17436501</v>
      </c>
      <c r="E194" s="112">
        <f>E93</f>
        <v>27440047.900375005</v>
      </c>
      <c r="F194" s="112">
        <f t="shared" si="53"/>
        <v>0</v>
      </c>
      <c r="G194" s="112">
        <f t="shared" si="53"/>
        <v>0</v>
      </c>
      <c r="H194" s="112">
        <f t="shared" si="53"/>
        <v>0</v>
      </c>
    </row>
    <row r="195" spans="2:9" outlineLevel="1" x14ac:dyDescent="0.2">
      <c r="B195" s="11" t="s">
        <v>1655</v>
      </c>
      <c r="C195" s="190">
        <f>C70</f>
        <v>0.45</v>
      </c>
      <c r="D195" s="112">
        <f t="shared" ref="D195:H196" si="54">(D$94+D$95+D$96)*$C195</f>
        <v>0</v>
      </c>
      <c r="E195" s="112">
        <f t="shared" si="54"/>
        <v>0</v>
      </c>
      <c r="F195" s="112">
        <f t="shared" si="54"/>
        <v>0</v>
      </c>
      <c r="G195" s="112">
        <f t="shared" si="54"/>
        <v>0</v>
      </c>
      <c r="H195" s="112">
        <f t="shared" si="54"/>
        <v>0</v>
      </c>
    </row>
    <row r="196" spans="2:9" outlineLevel="1" x14ac:dyDescent="0.2">
      <c r="B196" s="11" t="s">
        <v>184</v>
      </c>
      <c r="C196" s="191">
        <f>C71</f>
        <v>0.55000000000000004</v>
      </c>
      <c r="D196" s="112">
        <f t="shared" si="54"/>
        <v>0</v>
      </c>
      <c r="E196" s="112">
        <f t="shared" si="54"/>
        <v>0</v>
      </c>
      <c r="F196" s="112">
        <f t="shared" si="54"/>
        <v>0</v>
      </c>
      <c r="G196" s="112">
        <f t="shared" si="54"/>
        <v>0</v>
      </c>
      <c r="H196" s="112">
        <f t="shared" si="54"/>
        <v>0</v>
      </c>
    </row>
    <row r="197" spans="2:9" outlineLevel="1" x14ac:dyDescent="0.2">
      <c r="D197" s="112"/>
      <c r="E197" s="112"/>
      <c r="F197" s="112"/>
      <c r="G197" s="112"/>
      <c r="H197" s="112"/>
      <c r="I197" s="124"/>
    </row>
    <row r="198" spans="2:9" outlineLevel="1" x14ac:dyDescent="0.2">
      <c r="B198" s="104" t="s">
        <v>187</v>
      </c>
      <c r="C198" s="36">
        <f t="shared" ref="C198:H198" si="55">C$4</f>
        <v>2024</v>
      </c>
      <c r="D198" s="36">
        <f t="shared" si="55"/>
        <v>2025</v>
      </c>
      <c r="E198" s="36">
        <f t="shared" si="55"/>
        <v>2026</v>
      </c>
      <c r="F198" s="36">
        <f t="shared" si="55"/>
        <v>2027</v>
      </c>
      <c r="G198" s="36">
        <f t="shared" si="55"/>
        <v>2028</v>
      </c>
      <c r="H198" s="36">
        <f t="shared" si="55"/>
        <v>2029</v>
      </c>
      <c r="I198" s="124"/>
    </row>
    <row r="199" spans="2:9" outlineLevel="1" x14ac:dyDescent="0.2">
      <c r="B199" s="11" t="s">
        <v>1654</v>
      </c>
      <c r="D199" s="112">
        <f t="shared" ref="D199:H202" si="56">C199+D193</f>
        <v>85613540.869935006</v>
      </c>
      <c r="E199" s="112">
        <f t="shared" si="56"/>
        <v>108064489.15206</v>
      </c>
      <c r="F199" s="112">
        <f t="shared" si="56"/>
        <v>108064489.15206</v>
      </c>
      <c r="G199" s="112">
        <f t="shared" si="56"/>
        <v>108064489.15206</v>
      </c>
      <c r="H199" s="112">
        <f t="shared" si="56"/>
        <v>108064489.15206</v>
      </c>
    </row>
    <row r="200" spans="2:9" outlineLevel="1" x14ac:dyDescent="0.2">
      <c r="B200" s="11" t="s">
        <v>181</v>
      </c>
      <c r="D200" s="112">
        <f t="shared" si="56"/>
        <v>104638772.17436501</v>
      </c>
      <c r="E200" s="112">
        <f t="shared" si="56"/>
        <v>132078820.07474002</v>
      </c>
      <c r="F200" s="112">
        <f t="shared" si="56"/>
        <v>132078820.07474002</v>
      </c>
      <c r="G200" s="112">
        <f t="shared" si="56"/>
        <v>132078820.07474002</v>
      </c>
      <c r="H200" s="112">
        <f t="shared" si="56"/>
        <v>132078820.07474002</v>
      </c>
    </row>
    <row r="201" spans="2:9" outlineLevel="1" x14ac:dyDescent="0.2">
      <c r="B201" s="11" t="s">
        <v>1655</v>
      </c>
      <c r="D201" s="112">
        <f t="shared" si="56"/>
        <v>0</v>
      </c>
      <c r="E201" s="112">
        <f t="shared" si="56"/>
        <v>0</v>
      </c>
      <c r="F201" s="112">
        <f t="shared" si="56"/>
        <v>0</v>
      </c>
      <c r="G201" s="112">
        <f t="shared" si="56"/>
        <v>0</v>
      </c>
      <c r="H201" s="112">
        <f t="shared" si="56"/>
        <v>0</v>
      </c>
    </row>
    <row r="202" spans="2:9" outlineLevel="1" x14ac:dyDescent="0.2">
      <c r="B202" s="11" t="s">
        <v>184</v>
      </c>
      <c r="D202" s="112">
        <f t="shared" si="56"/>
        <v>0</v>
      </c>
      <c r="E202" s="112">
        <f t="shared" si="56"/>
        <v>0</v>
      </c>
      <c r="F202" s="112">
        <f t="shared" si="56"/>
        <v>0</v>
      </c>
      <c r="G202" s="112">
        <f t="shared" si="56"/>
        <v>0</v>
      </c>
      <c r="H202" s="112">
        <f t="shared" si="56"/>
        <v>0</v>
      </c>
    </row>
    <row r="203" spans="2:9" outlineLevel="1" x14ac:dyDescent="0.2">
      <c r="D203" s="112"/>
      <c r="E203" s="112"/>
      <c r="F203" s="112"/>
      <c r="G203" s="112"/>
      <c r="H203" s="112"/>
    </row>
    <row r="204" spans="2:9" outlineLevel="1" x14ac:dyDescent="0.2">
      <c r="B204" s="104" t="s">
        <v>188</v>
      </c>
      <c r="C204" s="36">
        <f t="shared" ref="C204:H204" si="57">C$4</f>
        <v>2024</v>
      </c>
      <c r="D204" s="36">
        <f t="shared" si="57"/>
        <v>2025</v>
      </c>
      <c r="E204" s="36">
        <f t="shared" si="57"/>
        <v>2026</v>
      </c>
      <c r="F204" s="36">
        <f t="shared" si="57"/>
        <v>2027</v>
      </c>
      <c r="G204" s="36">
        <f t="shared" si="57"/>
        <v>2028</v>
      </c>
      <c r="H204" s="36">
        <f t="shared" si="57"/>
        <v>2029</v>
      </c>
    </row>
    <row r="205" spans="2:9" outlineLevel="1" x14ac:dyDescent="0.2">
      <c r="B205" s="11" t="s">
        <v>1654</v>
      </c>
      <c r="D205" s="112">
        <f>D102</f>
        <v>48217869.256392002</v>
      </c>
      <c r="E205" s="112">
        <f>E102</f>
        <v>12609436.706398975</v>
      </c>
      <c r="F205" s="112">
        <f>F102</f>
        <v>0</v>
      </c>
      <c r="G205" s="112">
        <f>G102</f>
        <v>0</v>
      </c>
      <c r="H205" s="112">
        <f>H102</f>
        <v>0</v>
      </c>
    </row>
    <row r="206" spans="2:9" outlineLevel="1" x14ac:dyDescent="0.2">
      <c r="B206" s="11" t="s">
        <v>181</v>
      </c>
      <c r="D206" s="112">
        <f>D114</f>
        <v>58932951.313368</v>
      </c>
      <c r="E206" s="112">
        <f>E114</f>
        <v>15411533.752265414</v>
      </c>
      <c r="F206" s="112">
        <f>F114</f>
        <v>0</v>
      </c>
      <c r="G206" s="112">
        <f>G114</f>
        <v>0</v>
      </c>
      <c r="H206" s="112">
        <f>H114</f>
        <v>0</v>
      </c>
    </row>
    <row r="207" spans="2:9" outlineLevel="1" x14ac:dyDescent="0.2">
      <c r="B207" s="11" t="s">
        <v>1655</v>
      </c>
      <c r="D207" s="112">
        <f>D125+'Plan de Expansión'!I172*1000*$C$70</f>
        <v>0</v>
      </c>
      <c r="E207" s="112">
        <f>E125+'Plan de Expansión'!J172*1000*$C$70</f>
        <v>0</v>
      </c>
      <c r="F207" s="112">
        <f>F125+'Plan de Expansión'!K172*1000*$C$70</f>
        <v>0</v>
      </c>
      <c r="G207" s="112">
        <f>G125+'Plan de Expansión'!L172*1000*$C$70</f>
        <v>0</v>
      </c>
      <c r="H207" s="112">
        <f>H125+'Plan de Expansión'!M172*1000*$C$70</f>
        <v>0</v>
      </c>
    </row>
    <row r="208" spans="2:9" outlineLevel="1" x14ac:dyDescent="0.2">
      <c r="B208" s="11" t="s">
        <v>184</v>
      </c>
      <c r="D208" s="112">
        <f>D136+'Plan de Expansión'!I172*1000*$C$71</f>
        <v>0</v>
      </c>
      <c r="E208" s="112">
        <f>E136+'Plan de Expansión'!J172*1000*$C$71</f>
        <v>0</v>
      </c>
      <c r="F208" s="112">
        <f>F136+'Plan de Expansión'!K172*1000*$C$71</f>
        <v>0</v>
      </c>
      <c r="G208" s="112">
        <f>G136+'Plan de Expansión'!L172*1000*$C$71</f>
        <v>0</v>
      </c>
      <c r="H208" s="112">
        <f>H136+'Plan de Expansión'!M172*1000*$C$71</f>
        <v>0</v>
      </c>
    </row>
    <row r="209" spans="2:8" outlineLevel="1" x14ac:dyDescent="0.2"/>
    <row r="210" spans="2:8" outlineLevel="1" x14ac:dyDescent="0.2">
      <c r="B210" s="104"/>
      <c r="C210" s="36"/>
      <c r="D210" s="118" t="str">
        <f>"dic-"&amp;C$4-2000&amp;"-jun-"&amp;D$4-2000</f>
        <v>dic-24-jun-25</v>
      </c>
      <c r="E210" s="118" t="str">
        <f>"jul-"&amp;D$4-2000&amp;"-jun-"&amp;E$4-2000</f>
        <v>jul-25-jun-26</v>
      </c>
      <c r="F210" s="118" t="str">
        <f>"jul-"&amp;E$4-2000&amp;"-jun-"&amp;F$4-2000</f>
        <v>jul-26-jun-27</v>
      </c>
      <c r="G210" s="118" t="str">
        <f>"jul-"&amp;F$4-2000&amp;"-jun-"&amp;G$4-2000</f>
        <v>jul-27-jun-28</v>
      </c>
      <c r="H210" s="118" t="str">
        <f>"jul-"&amp;G$4-2000&amp;"-jun-"&amp;H$4-2000</f>
        <v>jul-28-jun-29</v>
      </c>
    </row>
    <row r="211" spans="2:8" outlineLevel="1" x14ac:dyDescent="0.2"/>
    <row r="212" spans="2:8" outlineLevel="1" x14ac:dyDescent="0.2">
      <c r="B212" s="131" t="s">
        <v>1751</v>
      </c>
      <c r="C212" s="129"/>
      <c r="D212" s="129"/>
      <c r="E212" s="129"/>
      <c r="F212" s="129"/>
      <c r="G212" s="129"/>
      <c r="H212" s="129"/>
    </row>
    <row r="213" spans="2:8" outlineLevel="1" x14ac:dyDescent="0.2">
      <c r="B213" s="11" t="s">
        <v>189</v>
      </c>
      <c r="E213" s="112">
        <f>D101-D214</f>
        <v>37395671.613543004</v>
      </c>
      <c r="F213" s="112">
        <f>E101-E214</f>
        <v>9841511.5757260285</v>
      </c>
      <c r="G213" s="112">
        <f>F101-F214</f>
        <v>0</v>
      </c>
      <c r="H213" s="112">
        <f>G101-G214</f>
        <v>0</v>
      </c>
    </row>
    <row r="214" spans="2:8" outlineLevel="1" x14ac:dyDescent="0.2">
      <c r="B214" s="11" t="s">
        <v>190</v>
      </c>
      <c r="D214" s="120">
        <f>D102</f>
        <v>48217869.256392002</v>
      </c>
      <c r="E214" s="120">
        <f>E102</f>
        <v>12609436.706398975</v>
      </c>
      <c r="F214" s="120">
        <f>F102</f>
        <v>0</v>
      </c>
      <c r="G214" s="120">
        <f>G102</f>
        <v>0</v>
      </c>
      <c r="H214" s="120">
        <f>H102</f>
        <v>0</v>
      </c>
    </row>
    <row r="215" spans="2:8" outlineLevel="1" x14ac:dyDescent="0.2">
      <c r="B215" s="131" t="s">
        <v>191</v>
      </c>
      <c r="C215" s="129"/>
      <c r="D215" s="129"/>
      <c r="E215" s="129"/>
      <c r="F215" s="129"/>
      <c r="G215" s="129"/>
      <c r="H215" s="129"/>
    </row>
    <row r="216" spans="2:8" outlineLevel="1" x14ac:dyDescent="0.2">
      <c r="B216" s="11" t="s">
        <v>189</v>
      </c>
      <c r="E216" s="112">
        <f>D113-D217</f>
        <v>45705820.860997014</v>
      </c>
      <c r="F216" s="112">
        <f>E113-E217</f>
        <v>12028514.148109591</v>
      </c>
      <c r="G216" s="112">
        <f>F113-F217</f>
        <v>0</v>
      </c>
      <c r="H216" s="112">
        <f>G113-G217</f>
        <v>0</v>
      </c>
    </row>
    <row r="217" spans="2:8" outlineLevel="1" x14ac:dyDescent="0.2">
      <c r="B217" s="11" t="s">
        <v>190</v>
      </c>
      <c r="D217" s="120">
        <f>D114</f>
        <v>58932951.313368</v>
      </c>
      <c r="E217" s="120">
        <f>E114</f>
        <v>15411533.752265414</v>
      </c>
      <c r="F217" s="120">
        <f>F114</f>
        <v>0</v>
      </c>
      <c r="G217" s="120">
        <f>G114</f>
        <v>0</v>
      </c>
      <c r="H217" s="120">
        <f>H114</f>
        <v>0</v>
      </c>
    </row>
    <row r="218" spans="2:8" outlineLevel="1" x14ac:dyDescent="0.2">
      <c r="B218" s="131" t="s">
        <v>1753</v>
      </c>
      <c r="C218" s="129"/>
      <c r="D218" s="129"/>
      <c r="E218" s="129"/>
      <c r="F218" s="129"/>
      <c r="G218" s="129"/>
      <c r="H218" s="129"/>
    </row>
    <row r="219" spans="2:8" outlineLevel="1" x14ac:dyDescent="0.2">
      <c r="B219" s="11" t="s">
        <v>189</v>
      </c>
      <c r="E219" s="112">
        <f>D124-D220</f>
        <v>0</v>
      </c>
      <c r="F219" s="112">
        <f>E124-E220</f>
        <v>0</v>
      </c>
      <c r="G219" s="112">
        <f>F124-F220</f>
        <v>0</v>
      </c>
      <c r="H219" s="112">
        <f>G124-G220</f>
        <v>0</v>
      </c>
    </row>
    <row r="220" spans="2:8" outlineLevel="1" x14ac:dyDescent="0.2">
      <c r="B220" s="11" t="s">
        <v>190</v>
      </c>
      <c r="D220" s="120">
        <f>D125</f>
        <v>0</v>
      </c>
      <c r="E220" s="120">
        <f>E125</f>
        <v>0</v>
      </c>
      <c r="F220" s="120">
        <f>F125</f>
        <v>0</v>
      </c>
      <c r="G220" s="120">
        <f>G125</f>
        <v>0</v>
      </c>
      <c r="H220" s="120">
        <f>H125</f>
        <v>0</v>
      </c>
    </row>
    <row r="221" spans="2:8" outlineLevel="1" x14ac:dyDescent="0.2">
      <c r="B221" s="131" t="s">
        <v>192</v>
      </c>
      <c r="C221" s="129"/>
      <c r="D221" s="129"/>
      <c r="E221" s="129"/>
      <c r="F221" s="129"/>
      <c r="G221" s="129"/>
      <c r="H221" s="129"/>
    </row>
    <row r="222" spans="2:8" outlineLevel="1" x14ac:dyDescent="0.2">
      <c r="B222" s="11" t="s">
        <v>189</v>
      </c>
      <c r="E222" s="112">
        <f>D135-D223</f>
        <v>0</v>
      </c>
      <c r="F222" s="112">
        <f>E135-E223</f>
        <v>0</v>
      </c>
      <c r="G222" s="112">
        <f>F135-F223</f>
        <v>0</v>
      </c>
      <c r="H222" s="112">
        <f>G135-G223</f>
        <v>0</v>
      </c>
    </row>
    <row r="223" spans="2:8" outlineLevel="1" x14ac:dyDescent="0.2">
      <c r="B223" s="11" t="s">
        <v>190</v>
      </c>
      <c r="D223" s="120">
        <f>D136</f>
        <v>0</v>
      </c>
      <c r="E223" s="120">
        <f>E136</f>
        <v>0</v>
      </c>
      <c r="F223" s="120">
        <f>F136</f>
        <v>0</v>
      </c>
      <c r="G223" s="120">
        <f>G136</f>
        <v>0</v>
      </c>
      <c r="H223" s="120">
        <f>H136</f>
        <v>0</v>
      </c>
    </row>
    <row r="224" spans="2:8" outlineLevel="1" x14ac:dyDescent="0.2">
      <c r="D224" s="120"/>
      <c r="E224" s="120"/>
      <c r="F224" s="120"/>
      <c r="G224" s="120"/>
      <c r="H224" s="120"/>
    </row>
    <row r="225" spans="2:36" outlineLevel="1" x14ac:dyDescent="0.2">
      <c r="B225" s="131" t="s">
        <v>1751</v>
      </c>
      <c r="C225" s="129"/>
      <c r="D225" s="129"/>
      <c r="E225" s="129"/>
      <c r="F225" s="129"/>
      <c r="G225" s="129"/>
      <c r="H225" s="129"/>
    </row>
    <row r="226" spans="2:36" outlineLevel="1" x14ac:dyDescent="0.2">
      <c r="B226" s="11" t="s">
        <v>193</v>
      </c>
      <c r="D226" s="130"/>
      <c r="E226" s="152">
        <v>0.75</v>
      </c>
      <c r="F226" s="152">
        <f>$E226</f>
        <v>0.75</v>
      </c>
      <c r="G226" s="152">
        <f t="shared" ref="G226:H236" si="58">$E226</f>
        <v>0.75</v>
      </c>
      <c r="H226" s="152">
        <f t="shared" si="58"/>
        <v>0.75</v>
      </c>
    </row>
    <row r="227" spans="2:36" outlineLevel="1" x14ac:dyDescent="0.2">
      <c r="B227" s="11" t="s">
        <v>194</v>
      </c>
      <c r="D227" s="130"/>
      <c r="E227" s="152">
        <v>0.25</v>
      </c>
      <c r="F227" s="152">
        <f t="shared" ref="F227:F236" si="59">$E227</f>
        <v>0.25</v>
      </c>
      <c r="G227" s="152">
        <f t="shared" si="58"/>
        <v>0.25</v>
      </c>
      <c r="H227" s="152">
        <f t="shared" si="58"/>
        <v>0.25</v>
      </c>
    </row>
    <row r="228" spans="2:36" outlineLevel="1" x14ac:dyDescent="0.2">
      <c r="B228" s="131" t="s">
        <v>191</v>
      </c>
      <c r="C228" s="129"/>
      <c r="D228" s="129"/>
      <c r="E228" s="129"/>
      <c r="F228" s="129"/>
      <c r="G228" s="129"/>
      <c r="H228" s="129"/>
    </row>
    <row r="229" spans="2:36" outlineLevel="1" x14ac:dyDescent="0.2">
      <c r="B229" s="11" t="s">
        <v>193</v>
      </c>
      <c r="D229" s="130"/>
      <c r="E229" s="152">
        <f>E226</f>
        <v>0.75</v>
      </c>
      <c r="F229" s="152">
        <f t="shared" si="59"/>
        <v>0.75</v>
      </c>
      <c r="G229" s="152">
        <f t="shared" si="58"/>
        <v>0.75</v>
      </c>
      <c r="H229" s="152">
        <f t="shared" si="58"/>
        <v>0.75</v>
      </c>
    </row>
    <row r="230" spans="2:36" outlineLevel="1" x14ac:dyDescent="0.2">
      <c r="B230" s="11" t="s">
        <v>194</v>
      </c>
      <c r="D230" s="130"/>
      <c r="E230" s="152">
        <f>E227</f>
        <v>0.25</v>
      </c>
      <c r="F230" s="152">
        <f t="shared" si="59"/>
        <v>0.25</v>
      </c>
      <c r="G230" s="152">
        <f t="shared" si="58"/>
        <v>0.25</v>
      </c>
      <c r="H230" s="152">
        <f t="shared" si="58"/>
        <v>0.25</v>
      </c>
    </row>
    <row r="231" spans="2:36" outlineLevel="1" x14ac:dyDescent="0.2">
      <c r="B231" s="131" t="s">
        <v>1753</v>
      </c>
      <c r="C231" s="129"/>
      <c r="D231" s="129"/>
      <c r="E231" s="153"/>
      <c r="F231" s="153"/>
      <c r="G231" s="153"/>
      <c r="H231" s="153"/>
    </row>
    <row r="232" spans="2:36" outlineLevel="1" x14ac:dyDescent="0.2">
      <c r="B232" s="11" t="s">
        <v>193</v>
      </c>
      <c r="D232" s="130"/>
      <c r="E232" s="152">
        <f>E229</f>
        <v>0.75</v>
      </c>
      <c r="F232" s="152">
        <f t="shared" si="59"/>
        <v>0.75</v>
      </c>
      <c r="G232" s="152">
        <f t="shared" si="58"/>
        <v>0.75</v>
      </c>
      <c r="H232" s="152">
        <f t="shared" si="58"/>
        <v>0.75</v>
      </c>
    </row>
    <row r="233" spans="2:36" outlineLevel="1" x14ac:dyDescent="0.2">
      <c r="B233" s="11" t="s">
        <v>194</v>
      </c>
      <c r="D233" s="130"/>
      <c r="E233" s="152">
        <f>E230</f>
        <v>0.25</v>
      </c>
      <c r="F233" s="152">
        <f t="shared" si="59"/>
        <v>0.25</v>
      </c>
      <c r="G233" s="152">
        <f t="shared" si="58"/>
        <v>0.25</v>
      </c>
      <c r="H233" s="152">
        <f t="shared" si="58"/>
        <v>0.25</v>
      </c>
    </row>
    <row r="234" spans="2:36" outlineLevel="1" x14ac:dyDescent="0.2">
      <c r="B234" s="131" t="s">
        <v>192</v>
      </c>
      <c r="C234" s="129"/>
      <c r="D234" s="129"/>
      <c r="E234" s="129"/>
      <c r="F234" s="129"/>
      <c r="G234" s="129"/>
      <c r="H234" s="129"/>
      <c r="AI234" s="10"/>
      <c r="AJ234" s="128"/>
    </row>
    <row r="235" spans="2:36" outlineLevel="1" x14ac:dyDescent="0.2">
      <c r="B235" s="11" t="s">
        <v>193</v>
      </c>
      <c r="D235" s="130"/>
      <c r="E235" s="152">
        <f>E232</f>
        <v>0.75</v>
      </c>
      <c r="F235" s="152">
        <f t="shared" si="59"/>
        <v>0.75</v>
      </c>
      <c r="G235" s="152">
        <f t="shared" si="58"/>
        <v>0.75</v>
      </c>
      <c r="H235" s="152">
        <f t="shared" si="58"/>
        <v>0.75</v>
      </c>
      <c r="AI235" s="10"/>
      <c r="AJ235" s="128"/>
    </row>
    <row r="236" spans="2:36" outlineLevel="1" x14ac:dyDescent="0.2">
      <c r="B236" s="11" t="s">
        <v>194</v>
      </c>
      <c r="D236" s="130"/>
      <c r="E236" s="152">
        <f>E233</f>
        <v>0.25</v>
      </c>
      <c r="F236" s="152">
        <f t="shared" si="59"/>
        <v>0.25</v>
      </c>
      <c r="G236" s="152">
        <f t="shared" si="58"/>
        <v>0.25</v>
      </c>
      <c r="H236" s="152">
        <f t="shared" si="58"/>
        <v>0.25</v>
      </c>
      <c r="AI236" s="10"/>
    </row>
    <row r="237" spans="2:36" outlineLevel="1" x14ac:dyDescent="0.2">
      <c r="D237" s="130"/>
      <c r="E237" s="130"/>
      <c r="F237" s="130"/>
      <c r="G237" s="130"/>
      <c r="H237" s="130"/>
    </row>
    <row r="238" spans="2:36" outlineLevel="1" x14ac:dyDescent="0.2">
      <c r="B238" s="132" t="s">
        <v>1754</v>
      </c>
      <c r="C238" s="132"/>
      <c r="D238" s="133"/>
      <c r="E238" s="134">
        <f>SUMPRODUCT(E213:E214,E226:E227)+SUMPRODUCT(E219:E220,E232:E233)</f>
        <v>31199112.886756998</v>
      </c>
      <c r="F238" s="134">
        <f t="shared" ref="F238:H238" si="60">SUMPRODUCT(F213:F214,F226:F227)+SUMPRODUCT(F219:F220,F232:F233)</f>
        <v>7381133.6817945214</v>
      </c>
      <c r="G238" s="134">
        <f t="shared" si="60"/>
        <v>0</v>
      </c>
      <c r="H238" s="134">
        <f t="shared" si="60"/>
        <v>0</v>
      </c>
    </row>
    <row r="239" spans="2:36" outlineLevel="1" x14ac:dyDescent="0.2">
      <c r="B239" s="132" t="s">
        <v>197</v>
      </c>
      <c r="C239" s="132"/>
      <c r="D239" s="133"/>
      <c r="E239" s="134">
        <f>SUMPRODUCT(E216:E217,E229:E230)+SUMPRODUCT(E222:E223,E235:E236)</f>
        <v>38132249.083814114</v>
      </c>
      <c r="F239" s="134">
        <f t="shared" ref="F239:H239" si="61">SUMPRODUCT(F216:F217,F229:F230)+SUMPRODUCT(F222:F223,F235:F236)</f>
        <v>9021385.6110821925</v>
      </c>
      <c r="G239" s="134">
        <f t="shared" si="61"/>
        <v>0</v>
      </c>
      <c r="H239" s="134">
        <f t="shared" si="61"/>
        <v>0</v>
      </c>
    </row>
    <row r="241" spans="2:10" s="32" customFormat="1" outlineLevel="1" x14ac:dyDescent="0.2">
      <c r="B241" s="36" t="s">
        <v>198</v>
      </c>
    </row>
    <row r="242" spans="2:10" outlineLevel="1" x14ac:dyDescent="0.2"/>
    <row r="243" spans="2:10" outlineLevel="1" x14ac:dyDescent="0.2">
      <c r="B243" s="104"/>
      <c r="C243" s="36">
        <f t="shared" ref="C243:H243" si="62">C$4</f>
        <v>2024</v>
      </c>
      <c r="D243" s="36">
        <f t="shared" si="62"/>
        <v>2025</v>
      </c>
      <c r="E243" s="36">
        <f t="shared" si="62"/>
        <v>2026</v>
      </c>
      <c r="F243" s="36">
        <f t="shared" si="62"/>
        <v>2027</v>
      </c>
      <c r="G243" s="36">
        <f t="shared" si="62"/>
        <v>2028</v>
      </c>
      <c r="H243" s="36">
        <f t="shared" si="62"/>
        <v>2029</v>
      </c>
    </row>
    <row r="244" spans="2:10" outlineLevel="1" x14ac:dyDescent="0.2">
      <c r="B244" s="11" t="s">
        <v>145</v>
      </c>
      <c r="C244" s="161">
        <f>+'Tasa de Depreciación'!$F$28</f>
        <v>3.2314329354868353E-2</v>
      </c>
      <c r="D244" s="160">
        <f>+$C$244</f>
        <v>3.2314329354868353E-2</v>
      </c>
      <c r="E244" s="160">
        <f t="shared" ref="E244:H245" si="63">+$C$244</f>
        <v>3.2314329354868353E-2</v>
      </c>
      <c r="F244" s="160">
        <f t="shared" si="63"/>
        <v>3.2314329354868353E-2</v>
      </c>
      <c r="G244" s="160">
        <f t="shared" si="63"/>
        <v>3.2314329354868353E-2</v>
      </c>
      <c r="H244" s="160">
        <f t="shared" si="63"/>
        <v>3.2314329354868353E-2</v>
      </c>
    </row>
    <row r="245" spans="2:10" outlineLevel="1" x14ac:dyDescent="0.2">
      <c r="B245" s="11" t="s">
        <v>147</v>
      </c>
      <c r="C245" s="161">
        <f>+'Tasa de Depreciación'!$F$28</f>
        <v>3.2314329354868353E-2</v>
      </c>
      <c r="D245" s="160">
        <f>+$C$244</f>
        <v>3.2314329354868353E-2</v>
      </c>
      <c r="E245" s="160">
        <f t="shared" si="63"/>
        <v>3.2314329354868353E-2</v>
      </c>
      <c r="F245" s="160">
        <f t="shared" si="63"/>
        <v>3.2314329354868353E-2</v>
      </c>
      <c r="G245" s="160">
        <f t="shared" si="63"/>
        <v>3.2314329354868353E-2</v>
      </c>
      <c r="H245" s="160">
        <f t="shared" si="63"/>
        <v>3.2314329354868353E-2</v>
      </c>
    </row>
    <row r="246" spans="2:10" outlineLevel="1" x14ac:dyDescent="0.2">
      <c r="B246" s="11" t="s">
        <v>134</v>
      </c>
      <c r="C246" s="112"/>
      <c r="D246" s="112">
        <f>+C250</f>
        <v>0</v>
      </c>
      <c r="E246" s="112">
        <f t="shared" ref="E246:H246" si="64">+D250</f>
        <v>0</v>
      </c>
      <c r="F246" s="112">
        <f t="shared" si="64"/>
        <v>0</v>
      </c>
      <c r="G246" s="112">
        <f t="shared" si="64"/>
        <v>0</v>
      </c>
      <c r="H246" s="112">
        <f t="shared" si="64"/>
        <v>0</v>
      </c>
    </row>
    <row r="247" spans="2:10" outlineLevel="1" x14ac:dyDescent="0.2">
      <c r="B247" s="11" t="s">
        <v>135</v>
      </c>
      <c r="C247" s="112"/>
      <c r="D247" s="112">
        <f>+C253</f>
        <v>0</v>
      </c>
      <c r="E247" s="112">
        <f t="shared" ref="E247:H247" si="65">+D253</f>
        <v>0</v>
      </c>
      <c r="F247" s="112">
        <f t="shared" si="65"/>
        <v>0</v>
      </c>
      <c r="G247" s="112">
        <f t="shared" si="65"/>
        <v>0</v>
      </c>
      <c r="H247" s="112">
        <f t="shared" si="65"/>
        <v>0</v>
      </c>
    </row>
    <row r="248" spans="2:10" outlineLevel="1" x14ac:dyDescent="0.2">
      <c r="B248" s="11" t="s">
        <v>136</v>
      </c>
      <c r="C248" s="112"/>
      <c r="D248" s="112">
        <f>+-C250*D244</f>
        <v>0</v>
      </c>
      <c r="E248" s="112">
        <f t="shared" ref="E248:H248" si="66">+-D250*E244</f>
        <v>0</v>
      </c>
      <c r="F248" s="112">
        <f t="shared" si="66"/>
        <v>0</v>
      </c>
      <c r="G248" s="112">
        <f t="shared" si="66"/>
        <v>0</v>
      </c>
      <c r="H248" s="112">
        <f t="shared" si="66"/>
        <v>0</v>
      </c>
    </row>
    <row r="249" spans="2:10" outlineLevel="1" x14ac:dyDescent="0.2">
      <c r="B249" s="11" t="s">
        <v>148</v>
      </c>
      <c r="C249" s="112"/>
      <c r="D249" s="112"/>
      <c r="E249" s="112"/>
      <c r="F249" s="112"/>
      <c r="G249" s="112"/>
      <c r="H249" s="112"/>
    </row>
    <row r="250" spans="2:10" outlineLevel="1" x14ac:dyDescent="0.2">
      <c r="B250" s="11" t="s">
        <v>137</v>
      </c>
      <c r="C250" s="142"/>
      <c r="D250" s="143">
        <f>+C250</f>
        <v>0</v>
      </c>
      <c r="E250" s="143">
        <f t="shared" ref="E250:H250" si="67">+D250</f>
        <v>0</v>
      </c>
      <c r="F250" s="143">
        <f t="shared" si="67"/>
        <v>0</v>
      </c>
      <c r="G250" s="143">
        <f t="shared" si="67"/>
        <v>0</v>
      </c>
      <c r="H250" s="143">
        <f t="shared" si="67"/>
        <v>0</v>
      </c>
    </row>
    <row r="251" spans="2:10" outlineLevel="1" x14ac:dyDescent="0.2">
      <c r="B251" s="11" t="s">
        <v>138</v>
      </c>
      <c r="C251" s="142"/>
      <c r="D251" s="112">
        <f>+D247+D248</f>
        <v>0</v>
      </c>
      <c r="E251" s="112">
        <f t="shared" ref="E251:H251" si="68">+E247+E248</f>
        <v>0</v>
      </c>
      <c r="F251" s="112">
        <f t="shared" si="68"/>
        <v>0</v>
      </c>
      <c r="G251" s="112">
        <f t="shared" si="68"/>
        <v>0</v>
      </c>
      <c r="H251" s="112">
        <f t="shared" si="68"/>
        <v>0</v>
      </c>
    </row>
    <row r="252" spans="2:10" outlineLevel="1" x14ac:dyDescent="0.2">
      <c r="B252" s="11" t="s">
        <v>139</v>
      </c>
      <c r="C252" s="142"/>
      <c r="D252" s="112">
        <f>+C252+D248</f>
        <v>0</v>
      </c>
      <c r="E252" s="112">
        <f t="shared" ref="E252:H252" si="69">+D252+E248</f>
        <v>0</v>
      </c>
      <c r="F252" s="112">
        <f t="shared" si="69"/>
        <v>0</v>
      </c>
      <c r="G252" s="112">
        <f t="shared" si="69"/>
        <v>0</v>
      </c>
      <c r="H252" s="112">
        <f t="shared" si="69"/>
        <v>0</v>
      </c>
    </row>
    <row r="253" spans="2:10" outlineLevel="1" x14ac:dyDescent="0.2">
      <c r="B253" s="11" t="s">
        <v>140</v>
      </c>
      <c r="C253" s="112"/>
      <c r="D253" s="112">
        <f>+D250+D252</f>
        <v>0</v>
      </c>
      <c r="E253" s="112">
        <f t="shared" ref="E253:H253" si="70">+E250+E252</f>
        <v>0</v>
      </c>
      <c r="F253" s="112">
        <f t="shared" si="70"/>
        <v>0</v>
      </c>
      <c r="G253" s="112">
        <f t="shared" si="70"/>
        <v>0</v>
      </c>
      <c r="H253" s="112">
        <f t="shared" si="70"/>
        <v>0</v>
      </c>
    </row>
    <row r="254" spans="2:10" ht="13.5" thickBot="1" x14ac:dyDescent="0.25"/>
    <row r="255" spans="2:10" ht="13.5" thickBot="1" x14ac:dyDescent="0.25">
      <c r="B255" s="382" t="s">
        <v>199</v>
      </c>
      <c r="C255" s="399">
        <f t="shared" ref="C255:H255" si="71">C$4</f>
        <v>2024</v>
      </c>
      <c r="D255" s="399">
        <f t="shared" si="71"/>
        <v>2025</v>
      </c>
      <c r="E255" s="399">
        <f t="shared" si="71"/>
        <v>2026</v>
      </c>
      <c r="F255" s="399">
        <f t="shared" si="71"/>
        <v>2027</v>
      </c>
      <c r="G255" s="399">
        <f t="shared" si="71"/>
        <v>2028</v>
      </c>
      <c r="H255" s="399">
        <f t="shared" si="71"/>
        <v>2029</v>
      </c>
      <c r="J255" s="648"/>
    </row>
    <row r="256" spans="2:10" x14ac:dyDescent="0.2">
      <c r="B256" s="385" t="s">
        <v>200</v>
      </c>
      <c r="C256" s="387">
        <f>VNR_Lin!$R$70+VNR_Sub!$N$29</f>
        <v>1536549104.6287708</v>
      </c>
      <c r="D256" s="387">
        <f>VNR_Lin!$R$70+VNR_Sub!$N$29</f>
        <v>1536549104.6287708</v>
      </c>
      <c r="E256" s="387">
        <f>VNR_Lin!$R$70+VNR_Sub!$N$29</f>
        <v>1536549104.6287708</v>
      </c>
      <c r="F256" s="387">
        <f>VNR_Lin!$R$70+VNR_Sub!$N$29</f>
        <v>1536549104.6287708</v>
      </c>
      <c r="G256" s="387">
        <f>VNR_Lin!$R$70+VNR_Sub!$N$29</f>
        <v>1536549104.6287708</v>
      </c>
      <c r="H256" s="387">
        <f>VNR_Lin!$R$70+VNR_Sub!$N$29</f>
        <v>1536549104.6287708</v>
      </c>
    </row>
    <row r="257" spans="2:8" x14ac:dyDescent="0.2">
      <c r="B257" s="385" t="s">
        <v>201</v>
      </c>
      <c r="C257" s="387">
        <f>+C256*C274</f>
        <v>55503104.624257885</v>
      </c>
      <c r="D257" s="387">
        <f t="shared" ref="D257:H257" si="72">+D256*D274</f>
        <v>55503104.624257885</v>
      </c>
      <c r="E257" s="387">
        <f t="shared" si="72"/>
        <v>55503104.624257885</v>
      </c>
      <c r="F257" s="387">
        <f t="shared" si="72"/>
        <v>55503104.624257885</v>
      </c>
      <c r="G257" s="387">
        <f t="shared" si="72"/>
        <v>55503104.624257885</v>
      </c>
      <c r="H257" s="387">
        <f t="shared" si="72"/>
        <v>55503104.624257885</v>
      </c>
    </row>
    <row r="258" spans="2:8" ht="13.5" thickBot="1" x14ac:dyDescent="0.25">
      <c r="B258" s="385" t="s">
        <v>202</v>
      </c>
      <c r="C258" s="387">
        <f>VNR_Sub!$N$42</f>
        <v>55039767.03511259</v>
      </c>
      <c r="D258" s="387">
        <f>VNR_Sub!$N$42</f>
        <v>55039767.03511259</v>
      </c>
      <c r="E258" s="387">
        <f>VNR_Sub!$N$42</f>
        <v>55039767.03511259</v>
      </c>
      <c r="F258" s="387">
        <f>VNR_Sub!$N$42</f>
        <v>55039767.03511259</v>
      </c>
      <c r="G258" s="387">
        <f>VNR_Sub!$N$42</f>
        <v>55039767.03511259</v>
      </c>
      <c r="H258" s="387">
        <f>VNR_Sub!$N$42</f>
        <v>55039767.03511259</v>
      </c>
    </row>
    <row r="259" spans="2:8" ht="13.5" thickBot="1" x14ac:dyDescent="0.25">
      <c r="B259" s="447" t="s">
        <v>203</v>
      </c>
      <c r="C259" s="443">
        <f>+SUBTOTAL(9,C256:C258)</f>
        <v>1647091976.2881413</v>
      </c>
      <c r="D259" s="443">
        <f>+SUBTOTAL(9,D256:D258)</f>
        <v>1647091976.2881413</v>
      </c>
      <c r="E259" s="443">
        <f>+SUBTOTAL(9,E256:E258)</f>
        <v>1647091976.2881413</v>
      </c>
      <c r="F259" s="443">
        <f t="shared" ref="F259:H259" si="73">+SUBTOTAL(9,F256:F258)</f>
        <v>1647091976.2881413</v>
      </c>
      <c r="G259" s="443">
        <f t="shared" si="73"/>
        <v>1647091976.2881413</v>
      </c>
      <c r="H259" s="443">
        <f t="shared" si="73"/>
        <v>1647091976.2881413</v>
      </c>
    </row>
    <row r="260" spans="2:8" hidden="1" x14ac:dyDescent="0.2">
      <c r="B260" s="385" t="s">
        <v>204</v>
      </c>
      <c r="C260" s="387"/>
      <c r="D260" s="387"/>
      <c r="E260" s="387"/>
      <c r="F260" s="387"/>
      <c r="G260" s="387"/>
      <c r="H260" s="387">
        <f>+'Plan de Expansión'!I10*1000</f>
        <v>190252313.04430002</v>
      </c>
    </row>
    <row r="261" spans="2:8" ht="13.5" thickBot="1" x14ac:dyDescent="0.25">
      <c r="B261" s="385" t="s">
        <v>205</v>
      </c>
      <c r="C261" s="387">
        <f>VNR_Sub!$N$58+VNR_Lin!$R$83</f>
        <v>174343731.13198423</v>
      </c>
      <c r="D261" s="387">
        <f>+C261+'Plan de Expansión'!I136*1000</f>
        <v>187031629.57198423</v>
      </c>
      <c r="E261" s="387">
        <f>+D261+'Plan de Expansión'!J136*1000</f>
        <v>187031629.57198423</v>
      </c>
      <c r="F261" s="387">
        <f>+E261+'Plan de Expansión'!K136*1000</f>
        <v>192160685.57198423</v>
      </c>
      <c r="G261" s="387">
        <f>+F261+'Plan de Expansión'!L136*1000</f>
        <v>192160685.57198423</v>
      </c>
      <c r="H261" s="387">
        <f>+G261+'Plan de Expansión'!M136*1000</f>
        <v>192160685.57198423</v>
      </c>
    </row>
    <row r="262" spans="2:8" ht="13.5" thickBot="1" x14ac:dyDescent="0.25">
      <c r="B262" s="447" t="s">
        <v>206</v>
      </c>
      <c r="C262" s="443">
        <f>+SUBTOTAL(9,C256:C261)</f>
        <v>1821435707.4201255</v>
      </c>
      <c r="D262" s="443">
        <f>+SUBTOTAL(9,D256:D261)</f>
        <v>1834123605.8601255</v>
      </c>
      <c r="E262" s="443">
        <f t="shared" ref="E262:H262" si="74">+SUBTOTAL(9,E256:E261)</f>
        <v>1834123605.8601255</v>
      </c>
      <c r="F262" s="443">
        <f t="shared" si="74"/>
        <v>1839252661.8601255</v>
      </c>
      <c r="G262" s="443">
        <f t="shared" si="74"/>
        <v>1839252661.8601255</v>
      </c>
      <c r="H262" s="443">
        <f t="shared" si="74"/>
        <v>2029504974.9044256</v>
      </c>
    </row>
    <row r="264" spans="2:8" s="327" customFormat="1" x14ac:dyDescent="0.2">
      <c r="B264" s="20" t="s">
        <v>207</v>
      </c>
    </row>
    <row r="265" spans="2:8" ht="16.5" thickBot="1" x14ac:dyDescent="0.3">
      <c r="B265" s="105"/>
      <c r="C265"/>
      <c r="D265"/>
      <c r="E265"/>
      <c r="F265"/>
    </row>
    <row r="266" spans="2:8" ht="15.75" thickBot="1" x14ac:dyDescent="0.3">
      <c r="B266" s="428" t="s">
        <v>208</v>
      </c>
      <c r="C266" s="429" t="s">
        <v>209</v>
      </c>
      <c r="D266" s="430">
        <f>+'Base de Capital'!AS126</f>
        <v>17171925</v>
      </c>
      <c r="E266"/>
      <c r="F266"/>
      <c r="G266"/>
      <c r="H266"/>
    </row>
    <row r="267" spans="2:8" ht="15.75" thickBot="1" x14ac:dyDescent="0.3">
      <c r="B267" s="428" t="s">
        <v>210</v>
      </c>
      <c r="C267" s="429" t="s">
        <v>211</v>
      </c>
      <c r="D267" s="431">
        <f>+(VNR_Lin!$R$70+VNR_Sub!$N$29)/(C9+C19)</f>
        <v>1.514233939552762</v>
      </c>
      <c r="E267"/>
      <c r="F267"/>
      <c r="G267"/>
      <c r="H267" s="108"/>
    </row>
    <row r="268" spans="2:8" ht="15.75" thickBot="1" x14ac:dyDescent="0.3">
      <c r="B268" s="428" t="s">
        <v>212</v>
      </c>
      <c r="C268" s="429" t="s">
        <v>209</v>
      </c>
      <c r="D268" s="430">
        <f>+D266*D267</f>
        <v>26002311.642454561</v>
      </c>
      <c r="E268"/>
      <c r="F268" s="106"/>
      <c r="G268"/>
      <c r="H268" s="108"/>
    </row>
    <row r="269" spans="2:8" ht="15.75" thickBot="1" x14ac:dyDescent="0.3">
      <c r="B269" s="428" t="s">
        <v>213</v>
      </c>
      <c r="C269" s="432" t="s">
        <v>5</v>
      </c>
      <c r="D269" s="433">
        <v>0.1</v>
      </c>
      <c r="E269" s="106"/>
      <c r="F269" s="106"/>
      <c r="G269"/>
      <c r="H269" s="108"/>
    </row>
    <row r="270" spans="2:8" ht="15.75" thickBot="1" x14ac:dyDescent="0.3">
      <c r="F270"/>
      <c r="G270"/>
      <c r="H270"/>
    </row>
    <row r="271" spans="2:8" ht="13.5" thickBot="1" x14ac:dyDescent="0.25">
      <c r="B271" s="382" t="s">
        <v>214</v>
      </c>
      <c r="C271" s="399">
        <f t="shared" ref="C271:H271" si="75">C$4</f>
        <v>2024</v>
      </c>
      <c r="D271" s="399">
        <f t="shared" si="75"/>
        <v>2025</v>
      </c>
      <c r="E271" s="399">
        <f t="shared" si="75"/>
        <v>2026</v>
      </c>
      <c r="F271" s="399">
        <f t="shared" si="75"/>
        <v>2027</v>
      </c>
      <c r="G271" s="399">
        <f t="shared" si="75"/>
        <v>2028</v>
      </c>
      <c r="H271" s="399">
        <f t="shared" si="75"/>
        <v>2029</v>
      </c>
    </row>
    <row r="272" spans="2:8" x14ac:dyDescent="0.2">
      <c r="B272" s="448" t="s">
        <v>215</v>
      </c>
      <c r="C272" s="449">
        <f t="shared" ref="C272:H272" si="76">+C9+C19+C31+$D$266</f>
        <v>1031908858.6356308</v>
      </c>
      <c r="D272" s="449">
        <f t="shared" si="76"/>
        <v>1031908858.6356308</v>
      </c>
      <c r="E272" s="449">
        <f t="shared" si="76"/>
        <v>1031908858.6356308</v>
      </c>
      <c r="F272" s="449">
        <f t="shared" si="76"/>
        <v>1031908858.6356308</v>
      </c>
      <c r="G272" s="449">
        <f t="shared" si="76"/>
        <v>1031908858.6356308</v>
      </c>
      <c r="H272" s="449">
        <f t="shared" si="76"/>
        <v>1031908858.6356308</v>
      </c>
    </row>
    <row r="273" spans="2:8" x14ac:dyDescent="0.2">
      <c r="B273" s="450" t="s">
        <v>216</v>
      </c>
      <c r="C273" s="387">
        <f>+C40-$D$266</f>
        <v>37274529.769999996</v>
      </c>
      <c r="D273" s="387">
        <f t="shared" ref="D273:H273" si="77">+D40-$D$266</f>
        <v>37274529.769999996</v>
      </c>
      <c r="E273" s="387">
        <f t="shared" si="77"/>
        <v>37274529.769999996</v>
      </c>
      <c r="F273" s="387">
        <f t="shared" si="77"/>
        <v>37274529.769999996</v>
      </c>
      <c r="G273" s="387">
        <f t="shared" si="77"/>
        <v>37274529.769999996</v>
      </c>
      <c r="H273" s="387">
        <f t="shared" si="77"/>
        <v>37274529.769999996</v>
      </c>
    </row>
    <row r="274" spans="2:8" x14ac:dyDescent="0.2">
      <c r="B274" s="450" t="s">
        <v>217</v>
      </c>
      <c r="C274" s="451">
        <f>+C273/C272</f>
        <v>3.6121920514650518E-2</v>
      </c>
      <c r="D274" s="451">
        <f t="shared" ref="D274:H274" si="78">+D273/D272</f>
        <v>3.6121920514650518E-2</v>
      </c>
      <c r="E274" s="452">
        <f t="shared" si="78"/>
        <v>3.6121920514650518E-2</v>
      </c>
      <c r="F274" s="451">
        <f t="shared" si="78"/>
        <v>3.6121920514650518E-2</v>
      </c>
      <c r="G274" s="451">
        <f t="shared" si="78"/>
        <v>3.6121920514650518E-2</v>
      </c>
      <c r="H274" s="451">
        <f t="shared" si="78"/>
        <v>3.6121920514650518E-2</v>
      </c>
    </row>
    <row r="275" spans="2:8" x14ac:dyDescent="0.2">
      <c r="B275" s="450" t="s">
        <v>218</v>
      </c>
      <c r="C275" s="387">
        <f>+C272*$D$269</f>
        <v>103190885.86356309</v>
      </c>
      <c r="D275" s="387">
        <f t="shared" ref="D275:H275" si="79">+D272*$D$269</f>
        <v>103190885.86356309</v>
      </c>
      <c r="E275" s="387">
        <f t="shared" si="79"/>
        <v>103190885.86356309</v>
      </c>
      <c r="F275" s="387">
        <f t="shared" si="79"/>
        <v>103190885.86356309</v>
      </c>
      <c r="G275" s="387">
        <f t="shared" si="79"/>
        <v>103190885.86356309</v>
      </c>
      <c r="H275" s="387">
        <f t="shared" si="79"/>
        <v>103190885.86356309</v>
      </c>
    </row>
    <row r="276" spans="2:8" x14ac:dyDescent="0.2">
      <c r="B276" s="450" t="s">
        <v>219</v>
      </c>
      <c r="C276" s="387">
        <f>+IF(C275&gt;C273,C40,C275)</f>
        <v>54446454.769999996</v>
      </c>
      <c r="D276" s="387">
        <f t="shared" ref="D276:H276" si="80">+IF(D275&gt;D273,D40,D275)</f>
        <v>54446454.769999996</v>
      </c>
      <c r="E276" s="387">
        <f t="shared" si="80"/>
        <v>54446454.769999996</v>
      </c>
      <c r="F276" s="387">
        <f t="shared" si="80"/>
        <v>54446454.769999996</v>
      </c>
      <c r="G276" s="387">
        <f t="shared" si="80"/>
        <v>54446454.769999996</v>
      </c>
      <c r="H276" s="387">
        <f t="shared" si="80"/>
        <v>54446454.769999996</v>
      </c>
    </row>
    <row r="277" spans="2:8" x14ac:dyDescent="0.2">
      <c r="B277" s="453" t="s">
        <v>220</v>
      </c>
      <c r="C277" s="454">
        <f t="shared" ref="C277:H277" si="81">+MIN(C274,$D$269)</f>
        <v>3.6121920514650518E-2</v>
      </c>
      <c r="D277" s="454">
        <f t="shared" si="81"/>
        <v>3.6121920514650518E-2</v>
      </c>
      <c r="E277" s="454">
        <f t="shared" si="81"/>
        <v>3.6121920514650518E-2</v>
      </c>
      <c r="F277" s="454">
        <f t="shared" si="81"/>
        <v>3.6121920514650518E-2</v>
      </c>
      <c r="G277" s="454">
        <f t="shared" si="81"/>
        <v>3.6121920514650518E-2</v>
      </c>
      <c r="H277" s="454">
        <f t="shared" si="81"/>
        <v>3.6121920514650518E-2</v>
      </c>
    </row>
    <row r="278" spans="2:8" x14ac:dyDescent="0.2">
      <c r="E278" s="123"/>
    </row>
  </sheetData>
  <pageMargins left="0.7" right="0.7" top="0.75" bottom="0.75" header="0.3" footer="0.3"/>
  <pageSetup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8" tint="-0.249977111117893"/>
    <pageSetUpPr fitToPage="1"/>
  </sheetPr>
  <dimension ref="B2:N29"/>
  <sheetViews>
    <sheetView showGridLines="0" zoomScale="110" zoomScaleNormal="110" workbookViewId="0">
      <selection activeCell="K27" sqref="K27"/>
    </sheetView>
  </sheetViews>
  <sheetFormatPr baseColWidth="10" defaultColWidth="11.42578125" defaultRowHeight="15" x14ac:dyDescent="0.25"/>
  <cols>
    <col min="1" max="1" width="3.42578125" customWidth="1"/>
    <col min="2" max="2" width="17.7109375" bestFit="1" customWidth="1"/>
    <col min="3" max="3" width="16.28515625" bestFit="1" customWidth="1"/>
    <col min="4" max="4" width="11.5703125" bestFit="1" customWidth="1"/>
    <col min="5" max="5" width="14.140625" bestFit="1" customWidth="1"/>
    <col min="6" max="6" width="16.28515625" bestFit="1" customWidth="1"/>
    <col min="7" max="7" width="11.42578125" customWidth="1"/>
    <col min="8" max="8" width="14.140625" bestFit="1" customWidth="1"/>
    <col min="9" max="9" width="19.28515625" customWidth="1"/>
    <col min="11" max="11" width="13.85546875" customWidth="1"/>
  </cols>
  <sheetData>
    <row r="2" spans="2:14" s="456" customFormat="1" ht="15.75" x14ac:dyDescent="0.25">
      <c r="B2" s="836" t="s">
        <v>221</v>
      </c>
      <c r="C2" s="456" t="s">
        <v>222</v>
      </c>
    </row>
    <row r="3" spans="2:14" ht="5.25" customHeight="1" thickBot="1" x14ac:dyDescent="0.3">
      <c r="B3" s="11"/>
    </row>
    <row r="4" spans="2:14" ht="15.75" thickBot="1" x14ac:dyDescent="0.3">
      <c r="B4" s="1581" t="s">
        <v>223</v>
      </c>
      <c r="C4" s="1585" t="s">
        <v>224</v>
      </c>
      <c r="D4" s="1585"/>
      <c r="E4" s="1585"/>
      <c r="F4" s="1585" t="s">
        <v>225</v>
      </c>
      <c r="G4" s="1585"/>
      <c r="H4" s="1585"/>
      <c r="I4" s="1584" t="s">
        <v>226</v>
      </c>
    </row>
    <row r="5" spans="2:14" ht="15.75" thickBot="1" x14ac:dyDescent="0.3">
      <c r="B5" s="1582"/>
      <c r="C5" s="457" t="s">
        <v>227</v>
      </c>
      <c r="D5" s="457" t="s">
        <v>52</v>
      </c>
      <c r="E5" s="457" t="s">
        <v>228</v>
      </c>
      <c r="F5" s="457" t="s">
        <v>227</v>
      </c>
      <c r="G5" s="457" t="s">
        <v>52</v>
      </c>
      <c r="H5" s="457" t="s">
        <v>228</v>
      </c>
      <c r="I5" s="1584"/>
    </row>
    <row r="6" spans="2:14" x14ac:dyDescent="0.25">
      <c r="B6" s="458">
        <v>2020</v>
      </c>
      <c r="C6" s="459">
        <f>BS01_BS02!$C$71</f>
        <v>269707848</v>
      </c>
      <c r="D6" s="459">
        <f>BS01_BS02!$C$80</f>
        <v>18928736</v>
      </c>
      <c r="E6" s="459">
        <f>BS01_BS02!$C$64</f>
        <v>40252692</v>
      </c>
      <c r="F6" s="465"/>
      <c r="G6" s="465"/>
      <c r="H6" s="465"/>
      <c r="I6" s="465"/>
    </row>
    <row r="7" spans="2:14" x14ac:dyDescent="0.25">
      <c r="B7" s="461">
        <f>B6+1</f>
        <v>2021</v>
      </c>
      <c r="C7" s="462">
        <f>BS01_BS02!$D$71</f>
        <v>296889575.93000001</v>
      </c>
      <c r="D7" s="462">
        <f>BS01_BS02!$D$80</f>
        <v>19439037.720000003</v>
      </c>
      <c r="E7" s="462">
        <f>BS01_BS02!$D$64</f>
        <v>44676678</v>
      </c>
      <c r="F7" s="462">
        <f t="shared" ref="F7:F10" si="0">+C7-C6</f>
        <v>27181727.930000007</v>
      </c>
      <c r="G7" s="462">
        <f t="shared" ref="G7:G10" si="1">+D7-D6</f>
        <v>510301.72000000253</v>
      </c>
      <c r="H7" s="462">
        <f t="shared" ref="H7:H10" si="2">+E7-E6</f>
        <v>4423986</v>
      </c>
      <c r="I7" s="462">
        <f t="shared" ref="I7:I10" si="3">+SUM(F7:H7)</f>
        <v>32116015.65000001</v>
      </c>
      <c r="L7" s="108"/>
      <c r="M7" s="108"/>
      <c r="N7" s="108"/>
    </row>
    <row r="8" spans="2:14" x14ac:dyDescent="0.25">
      <c r="B8" s="461">
        <f t="shared" ref="B8:B10" si="4">B7+1</f>
        <v>2022</v>
      </c>
      <c r="C8" s="462">
        <f>BS01_BS02!$E$71</f>
        <v>310967626</v>
      </c>
      <c r="D8" s="462">
        <f>BS01_BS02!$E$80</f>
        <v>20264682</v>
      </c>
      <c r="E8" s="462">
        <f>BS01_BS02!$E$64</f>
        <v>47532897</v>
      </c>
      <c r="F8" s="462">
        <f t="shared" si="0"/>
        <v>14078050.069999993</v>
      </c>
      <c r="G8" s="462">
        <f t="shared" si="1"/>
        <v>825644.27999999747</v>
      </c>
      <c r="H8" s="462">
        <f t="shared" si="2"/>
        <v>2856219</v>
      </c>
      <c r="I8" s="462">
        <f t="shared" si="3"/>
        <v>17759913.34999999</v>
      </c>
      <c r="L8" s="108"/>
      <c r="M8" s="108"/>
      <c r="N8" s="108"/>
    </row>
    <row r="9" spans="2:14" x14ac:dyDescent="0.25">
      <c r="B9" s="461">
        <f t="shared" si="4"/>
        <v>2023</v>
      </c>
      <c r="C9" s="462">
        <f>BS01_BS02!$F$71</f>
        <v>363544663.79000002</v>
      </c>
      <c r="D9" s="462">
        <f>BS01_BS02!$F$80</f>
        <v>21169747.560000002</v>
      </c>
      <c r="E9" s="462">
        <f>BS01_BS02!$F$64</f>
        <v>50525038.740000002</v>
      </c>
      <c r="F9" s="462">
        <f t="shared" si="0"/>
        <v>52577037.790000021</v>
      </c>
      <c r="G9" s="462">
        <f t="shared" si="1"/>
        <v>905065.56000000238</v>
      </c>
      <c r="H9" s="462">
        <f t="shared" si="2"/>
        <v>2992141.7400000021</v>
      </c>
      <c r="I9" s="462">
        <f t="shared" si="3"/>
        <v>56474245.090000026</v>
      </c>
      <c r="L9" s="108"/>
      <c r="M9" s="108"/>
      <c r="N9" s="108"/>
    </row>
    <row r="10" spans="2:14" x14ac:dyDescent="0.25">
      <c r="B10" s="463">
        <f t="shared" si="4"/>
        <v>2024</v>
      </c>
      <c r="C10" s="464">
        <f>BS01_BS02!$G$71</f>
        <v>398852066</v>
      </c>
      <c r="D10" s="464">
        <f>BS01_BS02!$G$80</f>
        <v>22147314</v>
      </c>
      <c r="E10" s="464">
        <f>BS01_BS02!$G$64</f>
        <v>54478701</v>
      </c>
      <c r="F10" s="464">
        <f t="shared" si="0"/>
        <v>35307402.209999979</v>
      </c>
      <c r="G10" s="464">
        <f t="shared" si="1"/>
        <v>977566.43999999762</v>
      </c>
      <c r="H10" s="464">
        <f t="shared" si="2"/>
        <v>3953662.2599999979</v>
      </c>
      <c r="I10" s="464">
        <f t="shared" si="3"/>
        <v>40238630.909999974</v>
      </c>
      <c r="L10" s="108"/>
      <c r="M10" s="108"/>
      <c r="N10" s="108"/>
    </row>
    <row r="11" spans="2:14" ht="15.75" thickBot="1" x14ac:dyDescent="0.3"/>
    <row r="12" spans="2:14" ht="15.75" thickBot="1" x14ac:dyDescent="0.3">
      <c r="B12" s="1583" t="s">
        <v>223</v>
      </c>
      <c r="C12" s="1585" t="s">
        <v>230</v>
      </c>
      <c r="D12" s="1585"/>
      <c r="E12" s="1585"/>
      <c r="F12" s="1585"/>
    </row>
    <row r="13" spans="2:14" ht="15.75" thickBot="1" x14ac:dyDescent="0.3">
      <c r="B13" s="1583"/>
      <c r="C13" s="457" t="s">
        <v>227</v>
      </c>
      <c r="D13" s="457" t="s">
        <v>52</v>
      </c>
      <c r="E13" s="457" t="s">
        <v>228</v>
      </c>
      <c r="F13" s="457" t="s">
        <v>28</v>
      </c>
    </row>
    <row r="14" spans="2:14" x14ac:dyDescent="0.25">
      <c r="B14" s="458">
        <v>2020</v>
      </c>
      <c r="C14" s="459">
        <f>BS01_BS02!$C$28</f>
        <v>959356100.97000003</v>
      </c>
      <c r="D14" s="459">
        <f>BS01_BS02!$C$37</f>
        <v>33684180</v>
      </c>
      <c r="E14" s="459">
        <f>BS01_BS02!$C$21</f>
        <v>50289594.890000001</v>
      </c>
      <c r="F14" s="459">
        <f>+SUM(C14:D14)</f>
        <v>993040280.97000003</v>
      </c>
      <c r="H14" s="592"/>
    </row>
    <row r="15" spans="2:14" x14ac:dyDescent="0.25">
      <c r="B15" s="461">
        <f>B14+1</f>
        <v>2021</v>
      </c>
      <c r="C15" s="462">
        <f>BS01_BS02!$D$28</f>
        <v>1026567985.3100001</v>
      </c>
      <c r="D15" s="462">
        <f>BS01_BS02!$D$37</f>
        <v>37211731.389999993</v>
      </c>
      <c r="E15" s="462">
        <f>BS01_BS02!$D$21</f>
        <v>53961768.019999996</v>
      </c>
      <c r="F15" s="462">
        <f t="shared" ref="F15:F18" si="5">+SUM(C15:D15)</f>
        <v>1063779716.7</v>
      </c>
      <c r="H15" s="592"/>
    </row>
    <row r="16" spans="2:14" x14ac:dyDescent="0.25">
      <c r="B16" s="461">
        <f t="shared" ref="B16:B18" si="6">B15+1</f>
        <v>2022</v>
      </c>
      <c r="C16" s="462">
        <f>BS01_BS02!$E$28</f>
        <v>1139464000.5999999</v>
      </c>
      <c r="D16" s="462">
        <f>BS01_BS02!$E$37</f>
        <v>39372093.530000001</v>
      </c>
      <c r="E16" s="462">
        <f>BS01_BS02!$E$21</f>
        <v>55361666.32</v>
      </c>
      <c r="F16" s="462">
        <f t="shared" si="5"/>
        <v>1178836094.1299999</v>
      </c>
      <c r="H16" s="592"/>
    </row>
    <row r="17" spans="2:8" x14ac:dyDescent="0.25">
      <c r="B17" s="461">
        <f t="shared" si="6"/>
        <v>2023</v>
      </c>
      <c r="C17" s="462">
        <f>BS01_BS02!$F$28</f>
        <v>1181756129.27</v>
      </c>
      <c r="D17" s="462">
        <f>BS01_BS02!$F$37</f>
        <v>40691951.730000004</v>
      </c>
      <c r="E17" s="462">
        <f>BS01_BS02!$F$21</f>
        <v>57448653.540000007</v>
      </c>
      <c r="F17" s="462">
        <f t="shared" si="5"/>
        <v>1222448081</v>
      </c>
      <c r="H17" s="592"/>
    </row>
    <row r="18" spans="2:8" x14ac:dyDescent="0.25">
      <c r="B18" s="463">
        <f t="shared" si="6"/>
        <v>2024</v>
      </c>
      <c r="C18" s="464">
        <f>BS01_BS02!$G$28</f>
        <v>1308177426</v>
      </c>
      <c r="D18" s="464">
        <f>BS01_BS02!$G$37</f>
        <v>42294245.950000003</v>
      </c>
      <c r="E18" s="464">
        <f>BS01_BS02!$G$21</f>
        <v>65375080.890000001</v>
      </c>
      <c r="F18" s="464">
        <f t="shared" si="5"/>
        <v>1350471671.95</v>
      </c>
      <c r="H18" s="592"/>
    </row>
    <row r="19" spans="2:8" ht="15.75" thickBot="1" x14ac:dyDescent="0.3"/>
    <row r="20" spans="2:8" ht="15.75" thickBot="1" x14ac:dyDescent="0.3">
      <c r="B20" s="1583" t="s">
        <v>223</v>
      </c>
      <c r="C20" s="1585" t="s">
        <v>231</v>
      </c>
      <c r="D20" s="1585"/>
      <c r="E20" s="1585"/>
      <c r="F20" s="1585"/>
      <c r="H20" s="813"/>
    </row>
    <row r="21" spans="2:8" ht="15.75" thickBot="1" x14ac:dyDescent="0.3">
      <c r="B21" s="1583" t="s">
        <v>223</v>
      </c>
      <c r="C21" s="457" t="s">
        <v>227</v>
      </c>
      <c r="D21" s="457" t="s">
        <v>52</v>
      </c>
      <c r="E21" s="457" t="s">
        <v>228</v>
      </c>
      <c r="F21" s="457" t="s">
        <v>28</v>
      </c>
    </row>
    <row r="22" spans="2:8" x14ac:dyDescent="0.25">
      <c r="B22" s="458">
        <v>2020</v>
      </c>
      <c r="C22" s="460"/>
      <c r="D22" s="460"/>
      <c r="E22" s="460"/>
      <c r="F22" s="460"/>
    </row>
    <row r="23" spans="2:8" x14ac:dyDescent="0.25">
      <c r="B23" s="461">
        <f>B22+1</f>
        <v>2021</v>
      </c>
      <c r="C23" s="466">
        <f t="shared" ref="C23:F26" si="7">+F7/C14</f>
        <v>2.8333303871749711E-2</v>
      </c>
      <c r="D23" s="466">
        <f t="shared" si="7"/>
        <v>1.5149596041821489E-2</v>
      </c>
      <c r="E23" s="466">
        <f t="shared" si="7"/>
        <v>8.7970205559951761E-2</v>
      </c>
      <c r="F23" s="466">
        <f t="shared" si="7"/>
        <v>3.2341100623460253E-2</v>
      </c>
    </row>
    <row r="24" spans="2:8" x14ac:dyDescent="0.25">
      <c r="B24" s="461">
        <f t="shared" ref="B24:B26" si="8">B23+1</f>
        <v>2022</v>
      </c>
      <c r="C24" s="466">
        <f t="shared" si="7"/>
        <v>1.3713704568478964E-2</v>
      </c>
      <c r="D24" s="466">
        <f t="shared" si="7"/>
        <v>2.21877415846841E-2</v>
      </c>
      <c r="E24" s="812">
        <f t="shared" si="7"/>
        <v>5.2930419161607005E-2</v>
      </c>
      <c r="F24" s="466">
        <f t="shared" si="7"/>
        <v>1.6695104325822111E-2</v>
      </c>
    </row>
    <row r="25" spans="2:8" x14ac:dyDescent="0.25">
      <c r="B25" s="461">
        <f t="shared" si="8"/>
        <v>2023</v>
      </c>
      <c r="C25" s="466">
        <f t="shared" si="7"/>
        <v>4.614190335308082E-2</v>
      </c>
      <c r="D25" s="466">
        <f t="shared" si="7"/>
        <v>2.2987488824041773E-2</v>
      </c>
      <c r="E25" s="812">
        <f t="shared" si="7"/>
        <v>5.404717630255032E-2</v>
      </c>
      <c r="F25" s="466">
        <f t="shared" si="7"/>
        <v>4.790678311532269E-2</v>
      </c>
    </row>
    <row r="26" spans="2:8" x14ac:dyDescent="0.25">
      <c r="B26" s="463">
        <f t="shared" si="8"/>
        <v>2024</v>
      </c>
      <c r="C26" s="467">
        <f t="shared" si="7"/>
        <v>2.9877062902826011E-2</v>
      </c>
      <c r="D26" s="467">
        <f t="shared" si="7"/>
        <v>2.4023582021485836E-2</v>
      </c>
      <c r="E26" s="467">
        <f t="shared" si="7"/>
        <v>6.8820799381262523E-2</v>
      </c>
      <c r="F26" s="467">
        <f t="shared" si="7"/>
        <v>3.2916433454649084E-2</v>
      </c>
    </row>
    <row r="27" spans="2:8" ht="15.75" thickBot="1" x14ac:dyDescent="0.3"/>
    <row r="28" spans="2:8" ht="15.75" thickBot="1" x14ac:dyDescent="0.3">
      <c r="B28" s="468" t="s">
        <v>232</v>
      </c>
      <c r="C28" s="681">
        <f>+AVERAGE(C23:C25)</f>
        <v>2.9396303931103165E-2</v>
      </c>
      <c r="D28" s="681">
        <f>+AVERAGE(D23:D25)</f>
        <v>2.0108275483515788E-2</v>
      </c>
      <c r="E28" s="681">
        <f>+AVERAGE(E23:E25)</f>
        <v>6.4982600341369698E-2</v>
      </c>
      <c r="F28" s="681">
        <f>+AVERAGE(F23:F25)</f>
        <v>3.2314329354868353E-2</v>
      </c>
      <c r="G28" s="679"/>
    </row>
    <row r="29" spans="2:8" x14ac:dyDescent="0.25">
      <c r="B29" t="s">
        <v>233</v>
      </c>
      <c r="C29" s="679">
        <f t="shared" ref="C29:E29" si="9">C28</f>
        <v>2.9396303931103165E-2</v>
      </c>
      <c r="D29" s="679">
        <f t="shared" si="9"/>
        <v>2.0108275483515788E-2</v>
      </c>
      <c r="E29" s="679">
        <f t="shared" si="9"/>
        <v>6.4982600341369698E-2</v>
      </c>
      <c r="F29" s="679">
        <f>F28</f>
        <v>3.2314329354868353E-2</v>
      </c>
    </row>
  </sheetData>
  <mergeCells count="8">
    <mergeCell ref="B4:B5"/>
    <mergeCell ref="B12:B13"/>
    <mergeCell ref="B20:B21"/>
    <mergeCell ref="I4:I5"/>
    <mergeCell ref="C12:F12"/>
    <mergeCell ref="C20:F20"/>
    <mergeCell ref="C4:E4"/>
    <mergeCell ref="F4:H4"/>
  </mergeCells>
  <pageMargins left="0.7" right="0.7" top="0.75" bottom="0.75" header="0.3" footer="0.3"/>
  <pageSetup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</sheetPr>
  <dimension ref="A1:CI285"/>
  <sheetViews>
    <sheetView topLeftCell="A6" zoomScaleNormal="100" workbookViewId="0">
      <selection activeCell="H21" sqref="H21"/>
    </sheetView>
  </sheetViews>
  <sheetFormatPr baseColWidth="10" defaultColWidth="11.42578125" defaultRowHeight="12.75" outlineLevelRow="1" x14ac:dyDescent="0.2"/>
  <cols>
    <col min="1" max="1" width="10.7109375" style="1" customWidth="1"/>
    <col min="2" max="2" width="30.140625" style="1" customWidth="1"/>
    <col min="3" max="3" width="14.7109375" style="14" customWidth="1"/>
    <col min="4" max="11" width="14.7109375" style="1" customWidth="1"/>
    <col min="12" max="12" width="13.85546875" style="1" customWidth="1"/>
    <col min="13" max="13" width="14.7109375" style="1" customWidth="1"/>
    <col min="14" max="14" width="10.28515625" style="1" customWidth="1"/>
    <col min="15" max="21" width="14.7109375" style="1" customWidth="1"/>
    <col min="22" max="22" width="17.42578125" style="1" customWidth="1"/>
    <col min="23" max="23" width="14.7109375" style="1" customWidth="1"/>
    <col min="24" max="24" width="8.85546875" style="1" customWidth="1"/>
    <col min="25" max="31" width="14.7109375" style="1" customWidth="1"/>
    <col min="32" max="32" width="12" style="1" customWidth="1"/>
    <col min="33" max="33" width="14.7109375" style="1" customWidth="1"/>
    <col min="34" max="34" width="9.28515625" style="1" customWidth="1"/>
    <col min="35" max="41" width="14.7109375" style="1" customWidth="1"/>
    <col min="42" max="42" width="11.42578125" style="1" customWidth="1"/>
    <col min="43" max="43" width="13.28515625" style="1" customWidth="1"/>
    <col min="44" max="44" width="17.140625" style="1" customWidth="1"/>
    <col min="45" max="45" width="11.42578125" style="1" customWidth="1"/>
    <col min="46" max="49" width="11.42578125" style="1"/>
    <col min="50" max="50" width="12" style="1" bestFit="1" customWidth="1"/>
    <col min="51" max="51" width="11.42578125" style="1"/>
    <col min="52" max="52" width="12.85546875" style="1" bestFit="1" customWidth="1"/>
    <col min="53" max="53" width="13.5703125" style="1" customWidth="1"/>
    <col min="54" max="54" width="11.42578125" style="1"/>
    <col min="55" max="55" width="12" style="1" bestFit="1" customWidth="1"/>
    <col min="56" max="59" width="11.42578125" style="1"/>
    <col min="60" max="60" width="12" style="1" customWidth="1"/>
    <col min="61" max="61" width="11.42578125" style="1"/>
    <col min="62" max="62" width="12.85546875" style="1" bestFit="1" customWidth="1"/>
    <col min="63" max="63" width="12" style="1" bestFit="1" customWidth="1"/>
    <col min="64" max="64" width="11.42578125" style="1"/>
    <col min="65" max="65" width="12.7109375" style="1" customWidth="1"/>
    <col min="66" max="69" width="11.42578125" style="1"/>
    <col min="70" max="70" width="13.140625" style="1" customWidth="1"/>
    <col min="71" max="71" width="11.42578125" style="1"/>
    <col min="72" max="72" width="12.85546875" style="1" bestFit="1" customWidth="1"/>
    <col min="73" max="73" width="12" style="1" bestFit="1" customWidth="1"/>
    <col min="74" max="74" width="11.42578125" style="1"/>
    <col min="75" max="75" width="12.7109375" style="1" customWidth="1"/>
    <col min="76" max="76" width="12" style="1" bestFit="1" customWidth="1"/>
    <col min="77" max="79" width="11.42578125" style="1"/>
    <col min="80" max="80" width="13.42578125" style="1" customWidth="1"/>
    <col min="81" max="81" width="11.42578125" style="1"/>
    <col min="82" max="82" width="12.85546875" style="1" bestFit="1" customWidth="1"/>
    <col min="83" max="83" width="11.85546875" style="1" bestFit="1" customWidth="1"/>
    <col min="84" max="16384" width="11.42578125" style="1"/>
  </cols>
  <sheetData>
    <row r="1" spans="1:41" hidden="1" x14ac:dyDescent="0.2"/>
    <row r="2" spans="1:41" hidden="1" x14ac:dyDescent="0.2"/>
    <row r="3" spans="1:41" hidden="1" x14ac:dyDescent="0.2"/>
    <row r="4" spans="1:41" hidden="1" x14ac:dyDescent="0.2"/>
    <row r="5" spans="1:41" hidden="1" x14ac:dyDescent="0.2"/>
    <row r="7" spans="1:41" x14ac:dyDescent="0.2">
      <c r="A7" s="1" t="s">
        <v>234</v>
      </c>
      <c r="C7" s="1"/>
      <c r="F7" s="725">
        <f>+C11/(C11+C13)</f>
        <v>1</v>
      </c>
      <c r="O7" s="21">
        <f>+O17-R17+P17</f>
        <v>15309527</v>
      </c>
    </row>
    <row r="8" spans="1:41" x14ac:dyDescent="0.2">
      <c r="A8" s="16" t="s">
        <v>235</v>
      </c>
      <c r="B8" s="16"/>
      <c r="C8" s="16"/>
      <c r="D8" s="16"/>
      <c r="E8" s="16"/>
      <c r="F8" s="16">
        <f>+D12/(D12+D14)</f>
        <v>1</v>
      </c>
      <c r="G8" s="16"/>
      <c r="H8" s="16"/>
      <c r="O8" s="21">
        <f>+O18-R18+P18</f>
        <v>14545117</v>
      </c>
    </row>
    <row r="9" spans="1:41" x14ac:dyDescent="0.2">
      <c r="A9" s="16"/>
      <c r="B9" s="16"/>
      <c r="C9" s="16"/>
      <c r="D9" s="16"/>
      <c r="E9" s="16"/>
      <c r="F9" s="16"/>
      <c r="G9" s="16"/>
      <c r="H9" s="16"/>
      <c r="J9" s="1" t="s">
        <v>236</v>
      </c>
    </row>
    <row r="10" spans="1:41" x14ac:dyDescent="0.2">
      <c r="A10" s="16"/>
      <c r="B10" s="16" t="s">
        <v>237</v>
      </c>
      <c r="C10" s="16" t="s">
        <v>238</v>
      </c>
      <c r="D10" s="16" t="s">
        <v>239</v>
      </c>
      <c r="E10" s="16"/>
      <c r="F10" s="16" t="s">
        <v>240</v>
      </c>
      <c r="H10" s="16"/>
      <c r="J10" s="719">
        <v>2016</v>
      </c>
      <c r="K10" s="719" t="s">
        <v>241</v>
      </c>
      <c r="L10" s="719">
        <v>2017</v>
      </c>
      <c r="M10" s="719" t="s">
        <v>242</v>
      </c>
      <c r="N10" s="719" t="s">
        <v>243</v>
      </c>
      <c r="O10" s="719">
        <v>2018</v>
      </c>
      <c r="P10" s="719" t="s">
        <v>244</v>
      </c>
      <c r="Q10" s="719" t="s">
        <v>243</v>
      </c>
      <c r="R10" s="719">
        <v>2019</v>
      </c>
      <c r="S10" s="719" t="s">
        <v>245</v>
      </c>
      <c r="T10" s="719" t="s">
        <v>243</v>
      </c>
      <c r="U10" s="719">
        <v>2020</v>
      </c>
    </row>
    <row r="11" spans="1:41" x14ac:dyDescent="0.2">
      <c r="A11" s="11"/>
      <c r="B11" s="16" t="s">
        <v>115</v>
      </c>
      <c r="C11" s="31">
        <f>CB77+CB159-CB147-CB152</f>
        <v>1014736933.6356308</v>
      </c>
      <c r="D11" s="31">
        <f>C11</f>
        <v>1014736933.6356308</v>
      </c>
      <c r="E11" s="683" t="str">
        <f>+IF(F11=D11,"","alarma")</f>
        <v>alarma</v>
      </c>
      <c r="F11" s="31">
        <f>+U11*54%</f>
        <v>518052294.00000006</v>
      </c>
      <c r="G11" s="1" t="s">
        <v>246</v>
      </c>
      <c r="H11" s="31"/>
      <c r="I11" s="719" t="s">
        <v>247</v>
      </c>
      <c r="J11" s="722"/>
      <c r="K11" s="722">
        <v>342838040</v>
      </c>
      <c r="L11" s="722">
        <v>773519366</v>
      </c>
      <c r="M11" s="722">
        <v>78668914</v>
      </c>
      <c r="N11" s="722">
        <f>+O11-L11</f>
        <v>78669693</v>
      </c>
      <c r="O11" s="722">
        <v>852189059</v>
      </c>
      <c r="P11" s="722">
        <v>67451842</v>
      </c>
      <c r="Q11" s="722">
        <f>+R11-O11</f>
        <v>66792179</v>
      </c>
      <c r="R11" s="722">
        <v>918981238</v>
      </c>
      <c r="S11" s="722">
        <v>26830617</v>
      </c>
      <c r="T11" s="722">
        <f>+U11-R11</f>
        <v>40374862</v>
      </c>
      <c r="U11" s="722">
        <v>959356100</v>
      </c>
    </row>
    <row r="12" spans="1:41" x14ac:dyDescent="0.2">
      <c r="A12" s="16"/>
      <c r="B12" s="16" t="s">
        <v>116</v>
      </c>
      <c r="C12" s="31">
        <f>CE77</f>
        <v>684739260.85130274</v>
      </c>
      <c r="D12" s="31">
        <f>C12</f>
        <v>684739260.85130274</v>
      </c>
      <c r="E12" s="683" t="str">
        <f t="shared" ref="E12:E18" si="0">+IF(F12=D12,"","alarma")</f>
        <v>alarma</v>
      </c>
      <c r="F12" s="31">
        <f>+(U11-U12)*40%</f>
        <v>275859301.60000002</v>
      </c>
      <c r="G12" s="1" t="s">
        <v>246</v>
      </c>
      <c r="H12" s="31"/>
      <c r="I12" s="719" t="s">
        <v>248</v>
      </c>
      <c r="J12" s="722"/>
      <c r="K12" s="722">
        <v>12046324</v>
      </c>
      <c r="L12" s="722">
        <v>196103100</v>
      </c>
      <c r="M12" s="722">
        <v>13824345</v>
      </c>
      <c r="N12" s="722">
        <f>+O12-L12</f>
        <v>24940887</v>
      </c>
      <c r="O12" s="722">
        <v>221043987</v>
      </c>
      <c r="P12" s="722">
        <v>12785538</v>
      </c>
      <c r="Q12" s="722">
        <f>+R12-O12</f>
        <v>24768987</v>
      </c>
      <c r="R12" s="722">
        <v>245812974</v>
      </c>
      <c r="S12" s="722">
        <v>13749228</v>
      </c>
      <c r="T12" s="722">
        <f>+U12-R12</f>
        <v>23894872</v>
      </c>
      <c r="U12" s="722">
        <v>269707846</v>
      </c>
    </row>
    <row r="13" spans="1:41" collapsed="1" x14ac:dyDescent="0.2">
      <c r="A13" s="16"/>
      <c r="B13" s="682" t="s">
        <v>117</v>
      </c>
      <c r="C13" s="31">
        <f>CB95-CB146-CB149</f>
        <v>0</v>
      </c>
      <c r="D13" s="31">
        <f t="shared" ref="D13:D18" si="1">C13</f>
        <v>0</v>
      </c>
      <c r="E13" s="683" t="str">
        <f t="shared" si="0"/>
        <v>alarma</v>
      </c>
      <c r="F13" s="31">
        <f>+U11*46%</f>
        <v>441303806</v>
      </c>
      <c r="G13" s="1" t="s">
        <v>246</v>
      </c>
      <c r="H13" s="31"/>
      <c r="I13" s="719"/>
      <c r="V13" s="19"/>
      <c r="AA13" s="19"/>
      <c r="AB13" s="19"/>
      <c r="AC13" s="19"/>
      <c r="AD13" s="19"/>
      <c r="AE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 x14ac:dyDescent="0.2">
      <c r="B14" s="16" t="s">
        <v>118</v>
      </c>
      <c r="C14" s="31">
        <f>CE95</f>
        <v>0</v>
      </c>
      <c r="D14" s="31">
        <f t="shared" si="1"/>
        <v>0</v>
      </c>
      <c r="E14" s="683" t="str">
        <f t="shared" si="0"/>
        <v>alarma</v>
      </c>
      <c r="F14" s="31">
        <f>+(U11-U12)*60%</f>
        <v>413788952.39999998</v>
      </c>
      <c r="G14" s="1" t="s">
        <v>246</v>
      </c>
      <c r="H14" s="31"/>
      <c r="I14" s="719"/>
      <c r="AA14" s="21"/>
    </row>
    <row r="15" spans="1:41" x14ac:dyDescent="0.2">
      <c r="A15" s="16"/>
      <c r="B15" s="16" t="s">
        <v>119</v>
      </c>
      <c r="C15" s="31">
        <f>CB109+CB167</f>
        <v>106568352.285</v>
      </c>
      <c r="D15" s="31">
        <f t="shared" si="1"/>
        <v>106568352.285</v>
      </c>
      <c r="E15" s="683" t="str">
        <f t="shared" si="0"/>
        <v>alarma</v>
      </c>
      <c r="F15" s="31">
        <f>+U15</f>
        <v>33684181</v>
      </c>
      <c r="H15" s="31"/>
      <c r="I15" s="719" t="s">
        <v>249</v>
      </c>
      <c r="J15" s="722"/>
      <c r="K15" s="722">
        <v>0</v>
      </c>
      <c r="L15" s="722">
        <v>30763677</v>
      </c>
      <c r="M15" s="722">
        <v>0</v>
      </c>
      <c r="N15" s="722">
        <f t="shared" ref="N15:N16" si="2">+O15-L15</f>
        <v>2176375</v>
      </c>
      <c r="O15" s="722">
        <v>32940052</v>
      </c>
      <c r="P15" s="722">
        <v>0</v>
      </c>
      <c r="Q15" s="722">
        <f t="shared" ref="Q15:Q16" si="3">+R15-O15</f>
        <v>0</v>
      </c>
      <c r="R15" s="722">
        <v>32940052</v>
      </c>
      <c r="S15" s="722">
        <v>745285</v>
      </c>
      <c r="T15" s="722">
        <f t="shared" ref="T15:T16" si="4">+U15-R15</f>
        <v>744129</v>
      </c>
      <c r="U15" s="722">
        <v>33684181</v>
      </c>
    </row>
    <row r="16" spans="1:41" x14ac:dyDescent="0.2">
      <c r="A16" s="16"/>
      <c r="B16" s="16" t="s">
        <v>120</v>
      </c>
      <c r="C16" s="31">
        <f>CE109</f>
        <v>86026782.215000004</v>
      </c>
      <c r="D16" s="31">
        <f t="shared" si="1"/>
        <v>86026782.215000004</v>
      </c>
      <c r="E16" s="683" t="str">
        <f t="shared" si="0"/>
        <v>alarma</v>
      </c>
      <c r="F16" s="31">
        <f>+(U15-U16)</f>
        <v>14755445</v>
      </c>
      <c r="H16" s="31"/>
      <c r="I16" s="719" t="s">
        <v>250</v>
      </c>
      <c r="J16" s="722"/>
      <c r="K16" s="722">
        <v>375808</v>
      </c>
      <c r="L16" s="722">
        <v>16478804</v>
      </c>
      <c r="M16" s="722">
        <v>402328</v>
      </c>
      <c r="N16" s="722">
        <f t="shared" si="2"/>
        <v>830564</v>
      </c>
      <c r="O16" s="722">
        <v>17309368</v>
      </c>
      <c r="P16" s="722">
        <v>402325</v>
      </c>
      <c r="Q16" s="722">
        <f t="shared" si="3"/>
        <v>804652</v>
      </c>
      <c r="R16" s="722">
        <v>18114020</v>
      </c>
      <c r="S16" s="722">
        <v>412389</v>
      </c>
      <c r="T16" s="722">
        <f t="shared" si="4"/>
        <v>814716</v>
      </c>
      <c r="U16" s="722">
        <v>18928736</v>
      </c>
    </row>
    <row r="17" spans="1:77" x14ac:dyDescent="0.2">
      <c r="A17" s="16"/>
      <c r="B17" s="16" t="s">
        <v>121</v>
      </c>
      <c r="C17" s="31">
        <f>CB131</f>
        <v>54446454.769999996</v>
      </c>
      <c r="D17" s="31">
        <f t="shared" si="1"/>
        <v>54446454.769999996</v>
      </c>
      <c r="E17" s="683" t="str">
        <f t="shared" si="0"/>
        <v>alarma</v>
      </c>
      <c r="F17" s="31">
        <f>+U17</f>
        <v>50289594</v>
      </c>
      <c r="H17" s="31"/>
      <c r="I17" s="719" t="s">
        <v>251</v>
      </c>
      <c r="J17" s="722"/>
      <c r="K17" s="722">
        <v>2138729</v>
      </c>
      <c r="L17" s="722">
        <v>54598604</v>
      </c>
      <c r="M17" s="722">
        <v>3482151</v>
      </c>
      <c r="N17" s="722">
        <f>+O17-L17</f>
        <v>4178492</v>
      </c>
      <c r="O17" s="722">
        <v>58777096</v>
      </c>
      <c r="P17" s="722">
        <v>3851473</v>
      </c>
      <c r="Q17" s="722">
        <f>+R17-O17</f>
        <v>-11458054</v>
      </c>
      <c r="R17" s="722">
        <v>47319042</v>
      </c>
      <c r="S17" s="722">
        <v>2954219</v>
      </c>
      <c r="T17" s="722">
        <f>+U17-R17</f>
        <v>2970552</v>
      </c>
      <c r="U17" s="722">
        <v>50289594</v>
      </c>
    </row>
    <row r="18" spans="1:77" x14ac:dyDescent="0.2">
      <c r="A18" s="16"/>
      <c r="B18" s="16" t="s">
        <v>122</v>
      </c>
      <c r="C18" s="31">
        <f>CE131</f>
        <v>10901622.77</v>
      </c>
      <c r="D18" s="31">
        <f t="shared" si="1"/>
        <v>10901622.77</v>
      </c>
      <c r="E18" s="683" t="str">
        <f t="shared" si="0"/>
        <v>alarma</v>
      </c>
      <c r="F18" s="31">
        <f>+(U17-U18)</f>
        <v>10036902</v>
      </c>
      <c r="H18" s="31"/>
      <c r="I18" s="719" t="s">
        <v>252</v>
      </c>
      <c r="J18" s="722"/>
      <c r="K18" s="722">
        <v>1474125</v>
      </c>
      <c r="L18" s="722">
        <v>45010790</v>
      </c>
      <c r="M18" s="722">
        <v>1753959</v>
      </c>
      <c r="N18" s="722">
        <f>+O18-L18</f>
        <v>3276777</v>
      </c>
      <c r="O18" s="722">
        <v>48287567</v>
      </c>
      <c r="P18" s="722">
        <v>1903642</v>
      </c>
      <c r="Q18" s="722">
        <f>+R18-O18</f>
        <v>-12641475</v>
      </c>
      <c r="R18" s="722">
        <v>35646092</v>
      </c>
      <c r="S18" s="722">
        <v>2418854</v>
      </c>
      <c r="T18" s="722">
        <f>+U18-R18</f>
        <v>4606600</v>
      </c>
      <c r="U18" s="722">
        <v>40252692</v>
      </c>
    </row>
    <row r="20" spans="1:77" x14ac:dyDescent="0.2">
      <c r="A20" s="14"/>
      <c r="C20" s="26"/>
      <c r="AL20" s="21"/>
      <c r="AM20" s="21"/>
      <c r="AN20" s="21"/>
      <c r="AO20" s="21"/>
    </row>
    <row r="21" spans="1:77" x14ac:dyDescent="0.2">
      <c r="A21" s="14" t="s">
        <v>253</v>
      </c>
      <c r="C21" s="26"/>
      <c r="D21" s="1" t="s">
        <v>254</v>
      </c>
      <c r="E21" s="632">
        <v>0.03</v>
      </c>
    </row>
    <row r="22" spans="1:77" x14ac:dyDescent="0.2">
      <c r="A22" s="14" t="s">
        <v>255</v>
      </c>
      <c r="C22" s="26"/>
      <c r="I22" s="1" t="s">
        <v>256</v>
      </c>
      <c r="AT22" s="1" t="s">
        <v>1319</v>
      </c>
      <c r="BD22" s="1" t="s">
        <v>1318</v>
      </c>
      <c r="BN22" s="1" t="s">
        <v>1320</v>
      </c>
    </row>
    <row r="23" spans="1:77" x14ac:dyDescent="0.2">
      <c r="A23" s="487"/>
      <c r="B23" s="489"/>
      <c r="C23" s="584"/>
      <c r="D23" s="584"/>
      <c r="E23" s="584"/>
      <c r="F23" s="488">
        <v>2017</v>
      </c>
      <c r="G23" s="488">
        <v>2017</v>
      </c>
      <c r="H23" s="488"/>
      <c r="I23" s="488"/>
      <c r="J23" s="488"/>
      <c r="K23" s="488"/>
      <c r="L23" s="488"/>
      <c r="M23" s="488"/>
      <c r="N23" s="488"/>
      <c r="O23" s="584"/>
      <c r="P23" s="488">
        <v>2018</v>
      </c>
      <c r="Q23" s="488">
        <v>2018</v>
      </c>
      <c r="R23" s="488"/>
      <c r="S23" s="488"/>
      <c r="T23" s="488"/>
      <c r="U23" s="488"/>
      <c r="V23" s="488"/>
      <c r="W23" s="488"/>
      <c r="X23" s="488"/>
      <c r="Y23" s="488"/>
      <c r="Z23" s="488">
        <v>2019</v>
      </c>
      <c r="AA23" s="488">
        <v>2019</v>
      </c>
      <c r="AB23" s="488"/>
      <c r="AC23" s="488"/>
      <c r="AD23" s="488"/>
      <c r="AE23" s="488"/>
      <c r="AF23" s="488"/>
      <c r="AG23" s="488"/>
      <c r="AH23" s="488"/>
      <c r="AI23" s="488"/>
      <c r="AJ23" s="488">
        <v>2020</v>
      </c>
      <c r="AK23" s="488">
        <v>2020</v>
      </c>
      <c r="AL23" s="488"/>
      <c r="AM23" s="488"/>
      <c r="AN23" s="488"/>
      <c r="AO23" s="488"/>
      <c r="AP23" s="488"/>
      <c r="AQ23" s="488"/>
      <c r="AR23" s="488"/>
      <c r="AS23" s="488"/>
      <c r="AT23" s="488">
        <v>2021</v>
      </c>
      <c r="AU23" s="488">
        <f>AT23</f>
        <v>2021</v>
      </c>
      <c r="AV23" s="488"/>
      <c r="AW23" s="488"/>
      <c r="AX23" s="488"/>
      <c r="AY23" s="488"/>
      <c r="AZ23" s="488"/>
      <c r="BA23" s="488"/>
      <c r="BB23" s="488"/>
      <c r="BC23" s="488"/>
      <c r="BD23" s="488">
        <v>2022</v>
      </c>
      <c r="BE23" s="488">
        <f>BD23</f>
        <v>2022</v>
      </c>
      <c r="BF23" s="488"/>
      <c r="BG23" s="488"/>
      <c r="BH23" s="488"/>
      <c r="BI23" s="488"/>
      <c r="BJ23" s="488"/>
      <c r="BK23" s="488"/>
      <c r="BL23" s="488"/>
      <c r="BM23" s="488"/>
      <c r="BN23" s="488">
        <v>2023</v>
      </c>
      <c r="BO23" s="488">
        <f>BN23</f>
        <v>2023</v>
      </c>
      <c r="BP23" s="488"/>
      <c r="BQ23" s="488"/>
      <c r="BR23" s="488"/>
      <c r="BS23" s="488"/>
      <c r="BT23" s="488"/>
      <c r="BU23" s="488"/>
      <c r="BV23" s="488"/>
      <c r="BW23" s="488"/>
      <c r="BX23" s="488">
        <v>2024</v>
      </c>
      <c r="BY23" s="488">
        <f>BX23</f>
        <v>2024</v>
      </c>
    </row>
    <row r="24" spans="1:77" ht="13.5" thickBot="1" x14ac:dyDescent="0.25">
      <c r="A24" s="487"/>
      <c r="B24" s="487"/>
      <c r="C24" s="585"/>
      <c r="D24" s="585"/>
      <c r="E24" s="585"/>
      <c r="F24" s="586" t="s">
        <v>160</v>
      </c>
      <c r="G24" s="586" t="s">
        <v>257</v>
      </c>
      <c r="H24" s="586"/>
      <c r="I24" s="587"/>
      <c r="J24" s="585"/>
      <c r="K24" s="585"/>
      <c r="L24" s="585"/>
      <c r="M24" s="585"/>
      <c r="N24" s="585"/>
      <c r="O24" s="585"/>
      <c r="P24" s="586" t="s">
        <v>160</v>
      </c>
      <c r="Q24" s="586" t="s">
        <v>257</v>
      </c>
      <c r="R24" s="586"/>
      <c r="S24" s="587"/>
      <c r="T24" s="585"/>
      <c r="U24" s="585"/>
      <c r="V24" s="585"/>
      <c r="W24" s="585"/>
      <c r="X24" s="585"/>
      <c r="Y24" s="585"/>
      <c r="Z24" s="586" t="s">
        <v>160</v>
      </c>
      <c r="AA24" s="586" t="s">
        <v>257</v>
      </c>
      <c r="AB24" s="586"/>
      <c r="AC24" s="587"/>
      <c r="AD24" s="585"/>
      <c r="AE24" s="585"/>
      <c r="AF24" s="585"/>
      <c r="AG24" s="585"/>
      <c r="AH24" s="585"/>
      <c r="AI24" s="585"/>
      <c r="AJ24" s="586" t="s">
        <v>160</v>
      </c>
      <c r="AK24" s="586" t="s">
        <v>257</v>
      </c>
      <c r="AL24" s="586"/>
      <c r="AM24" s="587"/>
      <c r="AN24" s="585"/>
      <c r="AO24" s="585"/>
      <c r="AP24" s="585"/>
      <c r="AQ24" s="585"/>
      <c r="AR24" s="585"/>
      <c r="AS24" s="585"/>
      <c r="AT24" s="586" t="s">
        <v>160</v>
      </c>
      <c r="AU24" s="586" t="s">
        <v>257</v>
      </c>
      <c r="AV24" s="586"/>
      <c r="AW24" s="587"/>
      <c r="AX24" s="585"/>
      <c r="AY24" s="585"/>
      <c r="AZ24" s="585"/>
      <c r="BA24" s="585"/>
      <c r="BB24" s="585"/>
      <c r="BC24" s="585"/>
      <c r="BD24" s="586" t="s">
        <v>160</v>
      </c>
      <c r="BE24" s="586" t="s">
        <v>257</v>
      </c>
      <c r="BF24" s="586"/>
      <c r="BG24" s="587"/>
      <c r="BH24" s="585"/>
      <c r="BI24" s="585"/>
      <c r="BJ24" s="585"/>
      <c r="BK24" s="585"/>
      <c r="BL24" s="585"/>
      <c r="BM24" s="585"/>
      <c r="BN24" s="586" t="s">
        <v>160</v>
      </c>
      <c r="BO24" s="586" t="s">
        <v>257</v>
      </c>
      <c r="BP24" s="586"/>
      <c r="BQ24" s="587"/>
      <c r="BR24" s="585"/>
      <c r="BS24" s="585"/>
      <c r="BT24" s="585"/>
      <c r="BU24" s="585"/>
      <c r="BV24" s="585"/>
      <c r="BW24" s="585"/>
      <c r="BX24" s="586" t="s">
        <v>160</v>
      </c>
      <c r="BY24" s="586" t="s">
        <v>257</v>
      </c>
    </row>
    <row r="25" spans="1:77" x14ac:dyDescent="0.2">
      <c r="A25" s="14"/>
      <c r="B25" s="717" t="s">
        <v>258</v>
      </c>
      <c r="C25" s="718"/>
      <c r="D25" s="718"/>
      <c r="E25" s="718"/>
      <c r="F25" s="718">
        <v>2176375.36</v>
      </c>
      <c r="G25" s="718" t="s">
        <v>259</v>
      </c>
      <c r="H25" s="718"/>
      <c r="I25" s="718"/>
      <c r="J25" s="718"/>
      <c r="K25" s="718"/>
      <c r="L25" s="718"/>
      <c r="M25" s="718"/>
      <c r="N25" s="718"/>
      <c r="O25" s="718"/>
      <c r="P25" s="718">
        <v>14147444.039999999</v>
      </c>
      <c r="Q25" s="719" t="s">
        <v>260</v>
      </c>
      <c r="R25" s="718"/>
      <c r="S25" s="718"/>
      <c r="T25" s="718"/>
      <c r="U25" s="718"/>
      <c r="V25" s="718"/>
      <c r="W25" s="718"/>
      <c r="X25" s="718"/>
      <c r="Y25" s="718"/>
      <c r="Z25" s="718">
        <v>7922683.1600000001</v>
      </c>
      <c r="AA25" s="718" t="s">
        <v>261</v>
      </c>
      <c r="AB25" s="718"/>
      <c r="AC25" s="718"/>
      <c r="AD25" s="718"/>
      <c r="AE25" s="718"/>
      <c r="AF25" s="718"/>
      <c r="AG25" s="718"/>
      <c r="AH25" s="718"/>
      <c r="AI25" s="718"/>
      <c r="AJ25" s="718">
        <v>29600584.809999999</v>
      </c>
      <c r="AK25" s="718" t="s">
        <v>262</v>
      </c>
      <c r="AL25" s="718"/>
      <c r="AM25" s="718"/>
      <c r="AN25" s="718"/>
      <c r="AO25" s="718"/>
      <c r="AP25" s="718"/>
      <c r="AQ25" s="718"/>
      <c r="AR25" s="718"/>
      <c r="AS25" s="718"/>
      <c r="AT25" s="718">
        <f>'[1]Plan de Expansión'!$E$12*1000</f>
        <v>3919615</v>
      </c>
      <c r="AU25" s="718" t="s">
        <v>471</v>
      </c>
      <c r="AV25" s="718"/>
      <c r="AW25" s="718"/>
      <c r="AX25" s="718"/>
      <c r="AY25" s="718"/>
      <c r="AZ25" s="718"/>
      <c r="BA25" s="718"/>
      <c r="BB25" s="718"/>
      <c r="BC25" s="718"/>
      <c r="BD25" s="718">
        <f>'[1]Plan de Expansión'!$F$14*1000</f>
        <v>20333369</v>
      </c>
      <c r="BE25" s="718" t="s">
        <v>473</v>
      </c>
      <c r="BF25" s="718"/>
      <c r="BG25" s="718"/>
      <c r="BH25" s="718"/>
      <c r="BI25" s="718"/>
      <c r="BJ25" s="718"/>
      <c r="BK25" s="718"/>
      <c r="BL25" s="718"/>
      <c r="BM25" s="718"/>
      <c r="BN25" s="718">
        <f>'[2]Plan de Expansión'!$G$81*1000</f>
        <v>1429583.79</v>
      </c>
      <c r="BO25" s="718" t="s">
        <v>1321</v>
      </c>
      <c r="BP25" s="718"/>
      <c r="BQ25" s="718"/>
      <c r="BR25" s="718"/>
      <c r="BS25" s="718"/>
      <c r="BT25" s="718"/>
      <c r="BU25" s="718"/>
      <c r="BV25" s="718"/>
      <c r="BW25" s="718"/>
      <c r="BX25" s="718"/>
      <c r="BY25" s="718"/>
    </row>
    <row r="26" spans="1:77" x14ac:dyDescent="0.2">
      <c r="A26" s="14"/>
      <c r="B26" s="719"/>
      <c r="C26" s="718"/>
      <c r="D26" s="718"/>
      <c r="E26" s="718"/>
      <c r="F26" s="718"/>
      <c r="G26" s="718"/>
      <c r="H26" s="718"/>
      <c r="I26" s="718"/>
      <c r="J26" s="718"/>
      <c r="K26" s="718"/>
      <c r="L26" s="718"/>
      <c r="M26" s="718"/>
      <c r="N26" s="718"/>
      <c r="O26" s="718"/>
      <c r="P26" s="718">
        <v>873515.24</v>
      </c>
      <c r="Q26" s="718" t="s">
        <v>263</v>
      </c>
      <c r="R26" s="718"/>
      <c r="S26" s="718"/>
      <c r="T26" s="718"/>
      <c r="U26" s="718"/>
      <c r="V26" s="718"/>
      <c r="W26" s="718"/>
      <c r="X26" s="718"/>
      <c r="Y26" s="718"/>
      <c r="Z26" s="718">
        <v>4096387.34</v>
      </c>
      <c r="AA26" s="718" t="s">
        <v>264</v>
      </c>
      <c r="AB26" s="718"/>
      <c r="AC26" s="718"/>
      <c r="AD26" s="718"/>
      <c r="AE26" s="718"/>
      <c r="AF26" s="718"/>
      <c r="AG26" s="718"/>
      <c r="AH26" s="718"/>
      <c r="AI26" s="718"/>
      <c r="AJ26" s="718">
        <v>10836128.48</v>
      </c>
      <c r="AK26" s="718" t="s">
        <v>265</v>
      </c>
      <c r="AL26" s="718"/>
      <c r="AM26" s="718"/>
      <c r="AN26" s="718"/>
      <c r="AO26" s="718"/>
      <c r="AP26" s="718"/>
      <c r="AQ26" s="718"/>
      <c r="AR26" s="718"/>
      <c r="AS26" s="718"/>
      <c r="AT26" s="718">
        <f>'[1]Plan de Expansión'!$E$13*1000</f>
        <v>2248642</v>
      </c>
      <c r="AU26" s="718" t="s">
        <v>472</v>
      </c>
      <c r="AV26" s="718"/>
      <c r="AW26" s="718"/>
      <c r="AX26" s="718"/>
      <c r="AY26" s="718"/>
      <c r="AZ26" s="718"/>
      <c r="BA26" s="718"/>
      <c r="BB26" s="718"/>
      <c r="BC26" s="718"/>
      <c r="BD26" s="718">
        <f>'[1]Plan de Expansión'!$F$15*1000</f>
        <v>24863736.050000001</v>
      </c>
      <c r="BE26" s="718" t="s">
        <v>474</v>
      </c>
      <c r="BF26" s="718"/>
      <c r="BG26" s="718"/>
      <c r="BH26" s="718"/>
      <c r="BI26" s="718"/>
      <c r="BJ26" s="718"/>
      <c r="BK26" s="718"/>
      <c r="BL26" s="718"/>
      <c r="BM26" s="718"/>
      <c r="BN26" s="718">
        <f>'[2]Plan de Expansión'!$G$82*1000</f>
        <v>5892995.46</v>
      </c>
      <c r="BO26" s="718" t="s">
        <v>1322</v>
      </c>
      <c r="BP26" s="718"/>
      <c r="BQ26" s="718"/>
      <c r="BR26" s="718"/>
      <c r="BS26" s="718"/>
      <c r="BT26" s="718"/>
      <c r="BU26" s="718"/>
      <c r="BV26" s="718"/>
      <c r="BW26" s="718"/>
      <c r="BX26" s="718"/>
      <c r="BY26" s="718"/>
    </row>
    <row r="27" spans="1:77" x14ac:dyDescent="0.2">
      <c r="A27" s="14"/>
      <c r="B27" s="719"/>
      <c r="C27" s="718"/>
      <c r="D27" s="718"/>
      <c r="E27" s="718"/>
      <c r="F27" s="718"/>
      <c r="G27" s="718"/>
      <c r="H27" s="718"/>
      <c r="I27" s="718"/>
      <c r="J27" s="718"/>
      <c r="K27" s="718"/>
      <c r="L27" s="718"/>
      <c r="M27" s="718"/>
      <c r="N27" s="718"/>
      <c r="O27" s="718"/>
      <c r="P27" s="720">
        <v>229486.68</v>
      </c>
      <c r="Q27" s="720" t="s">
        <v>266</v>
      </c>
      <c r="R27" s="718"/>
      <c r="S27" s="718"/>
      <c r="T27" s="718"/>
      <c r="U27" s="718"/>
      <c r="V27" s="718"/>
      <c r="W27" s="718"/>
      <c r="X27" s="718"/>
      <c r="Y27" s="718"/>
      <c r="Z27" s="718">
        <v>714240.39</v>
      </c>
      <c r="AA27" s="718" t="s">
        <v>267</v>
      </c>
      <c r="AB27" s="718"/>
      <c r="AC27" s="718"/>
      <c r="AD27" s="718"/>
      <c r="AE27" s="718"/>
      <c r="AF27" s="718"/>
      <c r="AG27" s="718"/>
      <c r="AH27" s="718"/>
      <c r="AI27" s="718"/>
      <c r="AJ27" s="718"/>
      <c r="AK27" s="718"/>
      <c r="AL27" s="718"/>
      <c r="AM27" s="718"/>
      <c r="AN27" s="718"/>
      <c r="AO27" s="718"/>
      <c r="AP27" s="718"/>
      <c r="AQ27" s="718"/>
      <c r="AR27" s="718"/>
      <c r="AS27" s="718"/>
      <c r="AT27" s="718">
        <f>'[1]Plan de Expansión'!$E$16*1000</f>
        <v>3703187</v>
      </c>
      <c r="AU27" s="718" t="s">
        <v>475</v>
      </c>
      <c r="AV27" s="718"/>
      <c r="AW27" s="718"/>
      <c r="AX27" s="718"/>
      <c r="AY27" s="718"/>
      <c r="AZ27" s="718"/>
      <c r="BA27" s="718"/>
      <c r="BB27" s="718"/>
      <c r="BC27" s="718"/>
      <c r="BD27" s="718">
        <f>'[1]Plan de Expansión'!F20*1000</f>
        <v>6638770</v>
      </c>
      <c r="BE27" s="718" t="s">
        <v>479</v>
      </c>
      <c r="BF27" s="718"/>
      <c r="BG27" s="718"/>
      <c r="BH27" s="718"/>
      <c r="BI27" s="718"/>
      <c r="BJ27" s="718"/>
      <c r="BK27" s="718"/>
      <c r="BL27" s="718"/>
      <c r="BM27" s="718"/>
      <c r="BN27" s="718">
        <f>'[2]Plan de Expansión'!$G$83*1000</f>
        <v>1437272.1</v>
      </c>
      <c r="BO27" s="718" t="s">
        <v>1323</v>
      </c>
      <c r="BP27" s="718"/>
      <c r="BQ27" s="718"/>
      <c r="BR27" s="718"/>
      <c r="BS27" s="718"/>
      <c r="BT27" s="718"/>
      <c r="BU27" s="718"/>
      <c r="BV27" s="718"/>
      <c r="BW27" s="718"/>
      <c r="BX27" s="718"/>
      <c r="BY27" s="718"/>
    </row>
    <row r="28" spans="1:77" x14ac:dyDescent="0.2">
      <c r="A28" s="14"/>
      <c r="B28" s="719"/>
      <c r="C28" s="718"/>
      <c r="D28" s="718"/>
      <c r="E28" s="718"/>
      <c r="F28" s="718"/>
      <c r="G28" s="718"/>
      <c r="H28" s="718"/>
      <c r="I28" s="718"/>
      <c r="J28" s="718"/>
      <c r="K28" s="718"/>
      <c r="L28" s="718"/>
      <c r="M28" s="718"/>
      <c r="N28" s="718"/>
      <c r="O28" s="718"/>
      <c r="P28" s="718"/>
      <c r="Q28" s="718"/>
      <c r="R28" s="718"/>
      <c r="S28" s="718"/>
      <c r="T28" s="718"/>
      <c r="U28" s="718"/>
      <c r="V28" s="718"/>
      <c r="W28" s="718"/>
      <c r="X28" s="718"/>
      <c r="Y28" s="718"/>
      <c r="Z28" s="746">
        <v>150000</v>
      </c>
      <c r="AA28" s="718" t="s">
        <v>268</v>
      </c>
      <c r="AB28" s="718"/>
      <c r="AC28" s="718"/>
      <c r="AD28" s="718"/>
      <c r="AE28" s="718"/>
      <c r="AF28" s="718"/>
      <c r="AG28" s="718"/>
      <c r="AH28" s="718"/>
      <c r="AI28" s="718"/>
      <c r="AJ28" s="718"/>
      <c r="AK28" s="718"/>
      <c r="AL28" s="718"/>
      <c r="AM28" s="718"/>
      <c r="AN28" s="718"/>
      <c r="AO28" s="718"/>
      <c r="AP28" s="718"/>
      <c r="AQ28" s="718"/>
      <c r="AR28" s="718"/>
      <c r="AS28" s="718"/>
      <c r="AT28" s="718">
        <f>'[1]Plan de Expansión'!$E$17*1000</f>
        <v>5611404</v>
      </c>
      <c r="AU28" s="718" t="s">
        <v>476</v>
      </c>
      <c r="AV28" s="718"/>
      <c r="AW28" s="718"/>
      <c r="AX28" s="718"/>
      <c r="AY28" s="718"/>
      <c r="AZ28" s="718"/>
      <c r="BA28" s="718"/>
      <c r="BB28" s="718"/>
      <c r="BC28" s="718"/>
      <c r="BD28" s="718">
        <f>'[1]Plan de Expansión'!$F$21*1000</f>
        <v>2709667.92</v>
      </c>
      <c r="BE28" s="718" t="s">
        <v>480</v>
      </c>
      <c r="BF28" s="718"/>
      <c r="BG28" s="718"/>
      <c r="BH28" s="718"/>
      <c r="BI28" s="718"/>
      <c r="BJ28" s="718"/>
      <c r="BK28" s="718"/>
      <c r="BL28" s="718"/>
      <c r="BM28" s="718"/>
      <c r="BN28" s="718"/>
      <c r="BO28" s="718"/>
      <c r="BP28" s="718"/>
      <c r="BQ28" s="718"/>
      <c r="BR28" s="718"/>
      <c r="BS28" s="718"/>
      <c r="BT28" s="718"/>
      <c r="BU28" s="718"/>
      <c r="BV28" s="718"/>
      <c r="BW28" s="718"/>
      <c r="BX28" s="718"/>
      <c r="BY28" s="718"/>
    </row>
    <row r="29" spans="1:77" x14ac:dyDescent="0.2">
      <c r="A29" s="14"/>
      <c r="B29" s="719"/>
      <c r="C29" s="718"/>
      <c r="D29" s="718"/>
      <c r="E29" s="718"/>
      <c r="F29" s="718"/>
      <c r="G29" s="718"/>
      <c r="H29" s="718"/>
      <c r="I29" s="718"/>
      <c r="J29" s="718"/>
      <c r="K29" s="718"/>
      <c r="L29" s="718"/>
      <c r="M29" s="718"/>
      <c r="N29" s="718"/>
      <c r="O29" s="718"/>
      <c r="P29" s="718"/>
      <c r="Q29" s="718"/>
      <c r="R29" s="718"/>
      <c r="S29" s="718"/>
      <c r="T29" s="718"/>
      <c r="U29" s="718"/>
      <c r="V29" s="718"/>
      <c r="W29" s="718"/>
      <c r="X29" s="718"/>
      <c r="Y29" s="718"/>
      <c r="Z29" s="721"/>
      <c r="AA29" s="718"/>
      <c r="AB29" s="718"/>
      <c r="AC29" s="718"/>
      <c r="AD29" s="718"/>
      <c r="AE29" s="718"/>
      <c r="AF29" s="718"/>
      <c r="AG29" s="718"/>
      <c r="AH29" s="718"/>
      <c r="AI29" s="718"/>
      <c r="AJ29" s="721"/>
      <c r="AK29" s="721"/>
      <c r="AL29" s="718"/>
      <c r="AM29" s="718"/>
      <c r="AN29" s="718"/>
      <c r="AO29" s="718"/>
      <c r="AP29" s="718"/>
      <c r="AQ29" s="718"/>
      <c r="AR29" s="718"/>
      <c r="AS29" s="718"/>
      <c r="AT29" s="718">
        <f>'[1]Plan de Expansión'!$E$18*1000</f>
        <v>6201396</v>
      </c>
      <c r="AU29" s="718" t="s">
        <v>477</v>
      </c>
      <c r="AV29" s="718"/>
      <c r="AW29" s="718"/>
      <c r="AX29" s="718"/>
      <c r="AY29" s="718"/>
      <c r="AZ29" s="718"/>
      <c r="BA29" s="718"/>
      <c r="BB29" s="718"/>
      <c r="BC29" s="718"/>
      <c r="BD29" s="718">
        <f>'[1]Plan de Expansión'!$F$80*1000</f>
        <v>4548909.0699999994</v>
      </c>
      <c r="BE29" s="721" t="s">
        <v>1301</v>
      </c>
      <c r="BF29" s="718"/>
      <c r="BG29" s="718"/>
      <c r="BH29" s="718"/>
      <c r="BI29" s="718"/>
      <c r="BJ29" s="718"/>
      <c r="BK29" s="718"/>
      <c r="BL29" s="718"/>
      <c r="BM29" s="718"/>
      <c r="BN29" s="721"/>
      <c r="BO29" s="721"/>
      <c r="BP29" s="718"/>
      <c r="BQ29" s="718"/>
      <c r="BR29" s="718"/>
      <c r="BS29" s="718"/>
      <c r="BT29" s="718"/>
      <c r="BU29" s="718"/>
      <c r="BV29" s="718"/>
      <c r="BW29" s="718"/>
      <c r="BX29" s="721"/>
      <c r="BY29" s="721"/>
    </row>
    <row r="30" spans="1:77" x14ac:dyDescent="0.2">
      <c r="A30" s="14"/>
      <c r="B30" s="719"/>
      <c r="C30" s="718"/>
      <c r="D30" s="718"/>
      <c r="E30" s="718"/>
      <c r="F30" s="718"/>
      <c r="G30" s="718"/>
      <c r="H30" s="718"/>
      <c r="I30" s="718"/>
      <c r="J30" s="718"/>
      <c r="K30" s="718"/>
      <c r="L30" s="718"/>
      <c r="M30" s="718"/>
      <c r="N30" s="718"/>
      <c r="O30" s="718"/>
      <c r="P30" s="718"/>
      <c r="Q30" s="718"/>
      <c r="R30" s="718"/>
      <c r="S30" s="718"/>
      <c r="T30" s="718"/>
      <c r="U30" s="718"/>
      <c r="V30" s="718"/>
      <c r="W30" s="718"/>
      <c r="X30" s="718"/>
      <c r="Y30" s="718"/>
      <c r="Z30" s="718"/>
      <c r="AA30" s="718"/>
      <c r="AB30" s="718"/>
      <c r="AC30" s="718"/>
      <c r="AD30" s="718"/>
      <c r="AE30" s="718"/>
      <c r="AF30" s="718"/>
      <c r="AG30" s="718"/>
      <c r="AH30" s="718"/>
      <c r="AI30" s="718"/>
      <c r="AJ30" s="721">
        <v>515636.98</v>
      </c>
      <c r="AK30" s="721" t="s">
        <v>269</v>
      </c>
      <c r="AL30" s="718"/>
      <c r="AM30" s="718"/>
      <c r="AN30" s="718"/>
      <c r="AO30" s="718"/>
      <c r="AP30" s="718"/>
      <c r="AQ30" s="718"/>
      <c r="AR30" s="718"/>
      <c r="AS30" s="718"/>
      <c r="AT30" s="718">
        <f>'[1]Plan de Expansión'!$E$19*1000</f>
        <v>2035993</v>
      </c>
      <c r="AU30" s="718" t="s">
        <v>478</v>
      </c>
      <c r="AV30" s="718"/>
      <c r="AW30" s="718"/>
      <c r="AX30" s="718"/>
      <c r="AY30" s="718"/>
      <c r="AZ30" s="718"/>
      <c r="BA30" s="718"/>
      <c r="BB30" s="718"/>
      <c r="BC30" s="718"/>
      <c r="BD30" s="721"/>
      <c r="BE30" s="721"/>
      <c r="BF30" s="718"/>
      <c r="BG30" s="718"/>
      <c r="BH30" s="718"/>
      <c r="BI30" s="718"/>
      <c r="BJ30" s="718"/>
      <c r="BK30" s="718"/>
      <c r="BL30" s="718"/>
      <c r="BM30" s="718"/>
      <c r="BN30" s="721"/>
      <c r="BO30" s="721"/>
      <c r="BP30" s="718"/>
      <c r="BQ30" s="718"/>
      <c r="BR30" s="718"/>
      <c r="BS30" s="718"/>
      <c r="BT30" s="718"/>
      <c r="BU30" s="718"/>
      <c r="BV30" s="718"/>
      <c r="BW30" s="718"/>
      <c r="BX30" s="721"/>
      <c r="BY30" s="721"/>
    </row>
    <row r="31" spans="1:77" x14ac:dyDescent="0.2">
      <c r="A31" s="14"/>
      <c r="B31" s="719"/>
      <c r="C31" s="718"/>
      <c r="D31" s="718"/>
      <c r="E31" s="718"/>
      <c r="F31" s="718"/>
      <c r="G31" s="718"/>
      <c r="H31" s="718"/>
      <c r="I31" s="718"/>
      <c r="J31" s="718"/>
      <c r="K31" s="718"/>
      <c r="L31" s="718"/>
      <c r="M31" s="718"/>
      <c r="N31" s="718"/>
      <c r="O31" s="718"/>
      <c r="P31" s="718"/>
      <c r="Q31" s="718"/>
      <c r="R31" s="718"/>
      <c r="S31" s="718"/>
      <c r="T31" s="718"/>
      <c r="U31" s="718"/>
      <c r="V31" s="718"/>
      <c r="W31" s="718"/>
      <c r="X31" s="718"/>
      <c r="Y31" s="718"/>
      <c r="Z31" s="718"/>
      <c r="AA31" s="718"/>
      <c r="AB31" s="718"/>
      <c r="AC31" s="718"/>
      <c r="AD31" s="718"/>
      <c r="AE31" s="718"/>
      <c r="AF31" s="718"/>
      <c r="AG31" s="718"/>
      <c r="AH31" s="718"/>
      <c r="AI31" s="718"/>
      <c r="AJ31" s="721"/>
      <c r="AK31" s="721"/>
      <c r="AL31" s="718"/>
      <c r="AM31" s="718"/>
      <c r="AN31" s="718"/>
      <c r="AO31" s="718"/>
      <c r="AP31" s="718"/>
      <c r="AQ31" s="718"/>
      <c r="AR31" s="718"/>
      <c r="AS31" s="718"/>
      <c r="AT31" s="718">
        <f>'[1]Plan de Expansión'!$E$78*1000</f>
        <v>5441127</v>
      </c>
      <c r="AU31" s="721" t="s">
        <v>1298</v>
      </c>
      <c r="AV31" s="718"/>
      <c r="AW31" s="718"/>
      <c r="AX31" s="718"/>
      <c r="AY31" s="718"/>
      <c r="AZ31" s="718"/>
      <c r="BA31" s="718"/>
      <c r="BB31" s="718"/>
      <c r="BC31" s="718"/>
      <c r="BD31" s="721"/>
      <c r="BE31" s="721"/>
      <c r="BF31" s="718"/>
      <c r="BG31" s="718"/>
      <c r="BH31" s="718"/>
      <c r="BI31" s="718"/>
      <c r="BJ31" s="718"/>
      <c r="BK31" s="718"/>
      <c r="BL31" s="718"/>
      <c r="BM31" s="718"/>
      <c r="BN31" s="721"/>
      <c r="BO31" s="721"/>
      <c r="BP31" s="718"/>
      <c r="BQ31" s="718"/>
      <c r="BR31" s="718"/>
      <c r="BS31" s="718"/>
      <c r="BT31" s="718"/>
      <c r="BU31" s="718"/>
      <c r="BV31" s="718"/>
      <c r="BW31" s="718"/>
      <c r="BX31" s="721"/>
      <c r="BY31" s="721"/>
    </row>
    <row r="32" spans="1:77" x14ac:dyDescent="0.2">
      <c r="A32" s="14"/>
      <c r="B32" s="719"/>
      <c r="C32" s="718"/>
      <c r="D32" s="718"/>
      <c r="E32" s="718"/>
      <c r="F32" s="718"/>
      <c r="G32" s="718"/>
      <c r="H32" s="718"/>
      <c r="I32" s="718"/>
      <c r="J32" s="718"/>
      <c r="K32" s="718"/>
      <c r="L32" s="718"/>
      <c r="M32" s="718"/>
      <c r="N32" s="718"/>
      <c r="O32" s="718"/>
      <c r="P32" s="718"/>
      <c r="Q32" s="718"/>
      <c r="R32" s="718"/>
      <c r="S32" s="718"/>
      <c r="T32" s="718"/>
      <c r="U32" s="718"/>
      <c r="V32" s="718"/>
      <c r="W32" s="718"/>
      <c r="X32" s="718"/>
      <c r="Y32" s="718"/>
      <c r="Z32" s="718"/>
      <c r="AA32" s="718"/>
      <c r="AB32" s="718"/>
      <c r="AC32" s="718"/>
      <c r="AD32" s="718"/>
      <c r="AE32" s="718"/>
      <c r="AF32" s="718"/>
      <c r="AG32" s="718"/>
      <c r="AH32" s="718"/>
      <c r="AI32" s="718"/>
      <c r="AJ32" s="721"/>
      <c r="AK32" s="721"/>
      <c r="AL32" s="718"/>
      <c r="AM32" s="718"/>
      <c r="AN32" s="718"/>
      <c r="AO32" s="718"/>
      <c r="AP32" s="718"/>
      <c r="AQ32" s="718"/>
      <c r="AR32" s="718"/>
      <c r="AS32" s="718"/>
      <c r="AT32" s="718">
        <f>'[1]Plan de Expansión'!$E$79*1000</f>
        <v>5167344</v>
      </c>
      <c r="AU32" s="721" t="s">
        <v>1299</v>
      </c>
      <c r="AV32" s="718"/>
      <c r="AW32" s="718"/>
      <c r="AX32" s="718"/>
      <c r="AY32" s="718"/>
      <c r="AZ32" s="718"/>
      <c r="BA32" s="718"/>
      <c r="BB32" s="718"/>
      <c r="BC32" s="718"/>
      <c r="BD32" s="721"/>
      <c r="BE32" s="721"/>
      <c r="BF32" s="718"/>
      <c r="BG32" s="718"/>
      <c r="BH32" s="718"/>
      <c r="BI32" s="718"/>
      <c r="BJ32" s="718"/>
      <c r="BK32" s="718"/>
      <c r="BL32" s="718"/>
      <c r="BM32" s="718"/>
      <c r="BN32" s="721"/>
      <c r="BO32" s="721"/>
      <c r="BP32" s="718"/>
      <c r="BQ32" s="718"/>
      <c r="BR32" s="718"/>
      <c r="BS32" s="718"/>
      <c r="BT32" s="718"/>
      <c r="BU32" s="718"/>
      <c r="BV32" s="718"/>
      <c r="BW32" s="718"/>
      <c r="BX32" s="721"/>
      <c r="BY32" s="721"/>
    </row>
    <row r="33" spans="1:77" x14ac:dyDescent="0.2">
      <c r="A33" s="14"/>
      <c r="B33" s="719"/>
      <c r="C33" s="718"/>
      <c r="D33" s="718"/>
      <c r="E33" s="718"/>
      <c r="F33" s="718"/>
      <c r="G33" s="718"/>
      <c r="H33" s="718"/>
      <c r="I33" s="718"/>
      <c r="J33" s="718"/>
      <c r="K33" s="718"/>
      <c r="L33" s="718"/>
      <c r="M33" s="718"/>
      <c r="N33" s="718"/>
      <c r="O33" s="718"/>
      <c r="P33" s="718"/>
      <c r="Q33" s="718"/>
      <c r="R33" s="718"/>
      <c r="S33" s="718"/>
      <c r="T33" s="718"/>
      <c r="U33" s="718"/>
      <c r="V33" s="718"/>
      <c r="W33" s="718"/>
      <c r="X33" s="718"/>
      <c r="Y33" s="718"/>
      <c r="Z33" s="718"/>
      <c r="AA33" s="718"/>
      <c r="AB33" s="718"/>
      <c r="AC33" s="718"/>
      <c r="AD33" s="718"/>
      <c r="AE33" s="718"/>
      <c r="AF33" s="718"/>
      <c r="AG33" s="718"/>
      <c r="AH33" s="718"/>
      <c r="AI33" s="718"/>
      <c r="AJ33" s="721"/>
      <c r="AK33" s="721"/>
      <c r="AL33" s="718"/>
      <c r="AM33" s="718"/>
      <c r="AN33" s="718"/>
      <c r="AO33" s="718"/>
      <c r="AP33" s="718"/>
      <c r="AQ33" s="718"/>
      <c r="AR33" s="718"/>
      <c r="AS33" s="718"/>
      <c r="AT33" s="721">
        <f>'[1]Plan de Expansión'!$E$156*1000</f>
        <v>4213308</v>
      </c>
      <c r="AU33" s="718" t="s">
        <v>493</v>
      </c>
      <c r="AV33" s="718"/>
      <c r="AW33" s="718"/>
      <c r="AX33" s="718"/>
      <c r="AY33" s="718"/>
      <c r="AZ33" s="718"/>
      <c r="BA33" s="718"/>
      <c r="BB33" s="718"/>
      <c r="BC33" s="718"/>
      <c r="BD33" s="721"/>
      <c r="BE33" s="721"/>
      <c r="BF33" s="718"/>
      <c r="BG33" s="718"/>
      <c r="BH33" s="718"/>
      <c r="BI33" s="718"/>
      <c r="BJ33" s="718"/>
      <c r="BK33" s="718"/>
      <c r="BL33" s="718"/>
      <c r="BM33" s="718"/>
      <c r="BN33" s="721"/>
      <c r="BO33" s="721"/>
      <c r="BP33" s="718"/>
      <c r="BQ33" s="718"/>
      <c r="BR33" s="718"/>
      <c r="BS33" s="718"/>
      <c r="BT33" s="718"/>
      <c r="BU33" s="718"/>
      <c r="BV33" s="718"/>
      <c r="BW33" s="718"/>
      <c r="BX33" s="721"/>
      <c r="BY33" s="721"/>
    </row>
    <row r="34" spans="1:77" x14ac:dyDescent="0.2">
      <c r="A34" s="14"/>
      <c r="B34" s="714" t="s">
        <v>270</v>
      </c>
      <c r="C34" s="715"/>
      <c r="D34" s="715"/>
      <c r="E34" s="715"/>
      <c r="F34" s="715">
        <v>341353661</v>
      </c>
      <c r="G34" s="715" t="s">
        <v>271</v>
      </c>
      <c r="H34" s="715"/>
      <c r="I34" s="715"/>
      <c r="J34" s="715"/>
      <c r="K34" s="715"/>
      <c r="L34" s="715"/>
      <c r="M34" s="715"/>
      <c r="N34" s="715"/>
      <c r="O34" s="715"/>
      <c r="P34" s="715">
        <f>41168546.75-19935638+11537755</f>
        <v>32770663.75</v>
      </c>
      <c r="Q34" s="715" t="s">
        <v>272</v>
      </c>
      <c r="R34" s="715"/>
      <c r="S34" s="715"/>
      <c r="T34" s="715"/>
      <c r="U34" s="715"/>
      <c r="V34" s="715"/>
      <c r="W34" s="715"/>
      <c r="X34" s="715"/>
      <c r="Y34" s="715"/>
      <c r="Z34" s="715"/>
      <c r="AA34" s="715"/>
      <c r="AB34" s="715"/>
      <c r="AC34" s="715"/>
      <c r="AD34" s="715"/>
      <c r="AE34" s="715"/>
      <c r="AF34" s="715"/>
      <c r="AG34" s="715"/>
      <c r="AH34" s="715"/>
      <c r="AI34" s="715"/>
      <c r="AJ34" s="715">
        <v>7869022</v>
      </c>
      <c r="AK34" s="715" t="s">
        <v>273</v>
      </c>
      <c r="AL34" s="715"/>
      <c r="AM34" s="715"/>
      <c r="AN34" s="715"/>
      <c r="AO34" s="715"/>
      <c r="AP34" s="715"/>
      <c r="AQ34" s="715"/>
      <c r="AR34" s="715"/>
      <c r="AS34" s="715"/>
      <c r="AT34" s="715"/>
      <c r="AU34" s="715"/>
      <c r="AV34" s="715"/>
      <c r="AW34" s="715"/>
      <c r="AX34" s="715"/>
      <c r="AY34" s="715"/>
      <c r="AZ34" s="715"/>
      <c r="BA34" s="715"/>
      <c r="BB34" s="715"/>
      <c r="BC34" s="715"/>
      <c r="BD34" s="715"/>
      <c r="BE34" s="715"/>
      <c r="BF34" s="715"/>
      <c r="BG34" s="715"/>
      <c r="BH34" s="715"/>
      <c r="BI34" s="715"/>
      <c r="BJ34" s="715"/>
      <c r="BK34" s="715"/>
      <c r="BL34" s="715"/>
      <c r="BM34" s="715"/>
      <c r="BN34" s="715"/>
      <c r="BO34" s="715"/>
      <c r="BP34" s="715"/>
      <c r="BQ34" s="715"/>
      <c r="BR34" s="715"/>
      <c r="BS34" s="715"/>
      <c r="BT34" s="715"/>
      <c r="BU34" s="715"/>
      <c r="BV34" s="715"/>
      <c r="BW34" s="715"/>
      <c r="BX34" s="715"/>
      <c r="BY34" s="715"/>
    </row>
    <row r="35" spans="1:77" x14ac:dyDescent="0.2">
      <c r="A35" s="14"/>
      <c r="B35" s="716"/>
      <c r="C35" s="715"/>
      <c r="D35" s="715"/>
      <c r="E35" s="715"/>
      <c r="F35" s="715"/>
      <c r="G35" s="715"/>
      <c r="H35" s="715"/>
      <c r="I35" s="715"/>
      <c r="J35" s="715"/>
      <c r="K35" s="715"/>
      <c r="L35" s="715"/>
      <c r="M35" s="715"/>
      <c r="N35" s="715"/>
      <c r="O35" s="715"/>
      <c r="P35" s="716"/>
      <c r="Q35" s="716"/>
      <c r="R35" s="715"/>
      <c r="S35" s="715"/>
      <c r="T35" s="715"/>
      <c r="U35" s="715"/>
      <c r="V35" s="715"/>
      <c r="W35" s="715"/>
      <c r="X35" s="715"/>
      <c r="Y35" s="715"/>
      <c r="Z35" s="715"/>
      <c r="AA35" s="715"/>
      <c r="AB35" s="715"/>
      <c r="AC35" s="715"/>
      <c r="AD35" s="715"/>
      <c r="AE35" s="715"/>
      <c r="AF35" s="715"/>
      <c r="AG35" s="715"/>
      <c r="AH35" s="715"/>
      <c r="AI35" s="715"/>
      <c r="AJ35" s="715">
        <v>3921823.32</v>
      </c>
      <c r="AK35" s="715" t="s">
        <v>274</v>
      </c>
      <c r="AL35" s="715"/>
      <c r="AM35" s="715"/>
      <c r="AN35" s="715"/>
      <c r="AO35" s="715"/>
      <c r="AP35" s="715"/>
      <c r="AQ35" s="715"/>
      <c r="AR35" s="715"/>
      <c r="AS35" s="715"/>
      <c r="AT35" s="715"/>
      <c r="AU35" s="715"/>
      <c r="AV35" s="715"/>
      <c r="AW35" s="715"/>
      <c r="AX35" s="715"/>
      <c r="AY35" s="715"/>
      <c r="AZ35" s="715"/>
      <c r="BA35" s="715"/>
      <c r="BB35" s="715"/>
      <c r="BC35" s="715"/>
      <c r="BD35" s="715"/>
      <c r="BE35" s="715"/>
      <c r="BF35" s="715"/>
      <c r="BG35" s="715"/>
      <c r="BH35" s="715"/>
      <c r="BI35" s="715"/>
      <c r="BJ35" s="715"/>
      <c r="BK35" s="715"/>
      <c r="BL35" s="715"/>
      <c r="BM35" s="715"/>
      <c r="BN35" s="715"/>
      <c r="BO35" s="715"/>
      <c r="BP35" s="715"/>
      <c r="BQ35" s="715"/>
      <c r="BR35" s="715"/>
      <c r="BS35" s="715"/>
      <c r="BT35" s="715"/>
      <c r="BU35" s="715"/>
      <c r="BV35" s="715"/>
      <c r="BW35" s="715"/>
      <c r="BX35" s="715"/>
      <c r="BY35" s="715"/>
    </row>
    <row r="36" spans="1:77" x14ac:dyDescent="0.2">
      <c r="A36" s="14"/>
      <c r="B36" s="716"/>
      <c r="C36" s="715"/>
      <c r="D36" s="715"/>
      <c r="E36" s="715"/>
      <c r="F36" s="715"/>
      <c r="G36" s="715"/>
      <c r="H36" s="715"/>
      <c r="I36" s="715"/>
      <c r="J36" s="715"/>
      <c r="K36" s="715"/>
      <c r="L36" s="715"/>
      <c r="M36" s="715"/>
      <c r="N36" s="715"/>
      <c r="O36" s="715"/>
      <c r="P36" s="715"/>
      <c r="Q36" s="715"/>
      <c r="R36" s="715"/>
      <c r="S36" s="715"/>
      <c r="T36" s="715"/>
      <c r="U36" s="715"/>
      <c r="V36" s="715"/>
      <c r="W36" s="715"/>
      <c r="X36" s="715"/>
      <c r="Y36" s="715"/>
      <c r="Z36" s="715"/>
      <c r="AA36" s="715"/>
      <c r="AB36" s="715"/>
      <c r="AC36" s="715"/>
      <c r="AD36" s="715"/>
      <c r="AE36" s="715"/>
      <c r="AF36" s="715"/>
      <c r="AG36" s="715"/>
      <c r="AH36" s="715"/>
      <c r="AI36" s="715"/>
      <c r="AJ36" s="715"/>
      <c r="AK36" s="715"/>
      <c r="AL36" s="715"/>
      <c r="AM36" s="715"/>
      <c r="AN36" s="715"/>
      <c r="AO36" s="715"/>
      <c r="AP36" s="715"/>
      <c r="AQ36" s="715"/>
      <c r="AR36" s="715"/>
      <c r="AS36" s="715"/>
      <c r="AT36" s="715"/>
      <c r="AU36" s="715"/>
      <c r="AV36" s="715"/>
      <c r="AW36" s="715"/>
      <c r="AX36" s="715"/>
      <c r="AY36" s="715"/>
      <c r="AZ36" s="715"/>
      <c r="BA36" s="715"/>
      <c r="BB36" s="715"/>
      <c r="BC36" s="715"/>
      <c r="BD36" s="715"/>
      <c r="BE36" s="715"/>
      <c r="BF36" s="715"/>
      <c r="BG36" s="715"/>
      <c r="BH36" s="715"/>
      <c r="BI36" s="715"/>
      <c r="BJ36" s="715"/>
      <c r="BK36" s="715"/>
      <c r="BL36" s="715"/>
      <c r="BM36" s="715"/>
      <c r="BN36" s="715"/>
      <c r="BO36" s="715"/>
      <c r="BP36" s="715"/>
      <c r="BQ36" s="715"/>
      <c r="BR36" s="715"/>
      <c r="BS36" s="715"/>
      <c r="BT36" s="715"/>
      <c r="BU36" s="715"/>
      <c r="BV36" s="715"/>
      <c r="BW36" s="715"/>
      <c r="BX36" s="715"/>
      <c r="BY36" s="715"/>
    </row>
    <row r="37" spans="1:77" x14ac:dyDescent="0.2">
      <c r="A37" s="14"/>
      <c r="B37" s="717" t="s">
        <v>31</v>
      </c>
      <c r="C37" s="718"/>
      <c r="D37" s="718"/>
      <c r="E37" s="718"/>
      <c r="F37" s="718"/>
      <c r="G37" s="718"/>
      <c r="H37" s="718"/>
      <c r="I37" s="718"/>
      <c r="J37" s="718"/>
      <c r="K37" s="718"/>
      <c r="L37" s="718"/>
      <c r="M37" s="718"/>
      <c r="N37" s="718"/>
      <c r="O37" s="718"/>
      <c r="P37" s="747">
        <v>578016.13</v>
      </c>
      <c r="Q37" s="747" t="s">
        <v>275</v>
      </c>
      <c r="R37" s="721"/>
      <c r="S37" s="718"/>
      <c r="T37" s="718"/>
      <c r="U37" s="718"/>
      <c r="V37" s="718"/>
      <c r="W37" s="718"/>
      <c r="X37" s="718"/>
      <c r="Y37" s="718"/>
      <c r="Z37" s="718"/>
      <c r="AA37" s="718"/>
      <c r="AB37" s="718"/>
      <c r="AC37" s="718"/>
      <c r="AD37" s="718"/>
      <c r="AE37" s="718"/>
      <c r="AF37" s="718"/>
      <c r="AG37" s="718"/>
      <c r="AH37" s="718"/>
      <c r="AI37" s="718"/>
      <c r="AJ37" s="747"/>
      <c r="AK37" s="747"/>
      <c r="AL37" s="718"/>
      <c r="AM37" s="718"/>
      <c r="AN37" s="718"/>
      <c r="AO37" s="718"/>
      <c r="AP37" s="718"/>
      <c r="AQ37" s="718"/>
      <c r="AR37" s="718"/>
      <c r="AS37" s="718"/>
      <c r="AT37" s="747"/>
      <c r="AU37" s="747"/>
      <c r="AV37" s="718"/>
      <c r="AW37" s="718"/>
      <c r="AX37" s="718"/>
      <c r="AY37" s="718"/>
      <c r="AZ37" s="718"/>
      <c r="BA37" s="718"/>
      <c r="BB37" s="718"/>
      <c r="BC37" s="718"/>
      <c r="BD37" s="747"/>
      <c r="BE37" s="747"/>
      <c r="BF37" s="718"/>
      <c r="BG37" s="718"/>
      <c r="BH37" s="718"/>
      <c r="BI37" s="718"/>
      <c r="BJ37" s="718"/>
      <c r="BK37" s="718"/>
      <c r="BL37" s="718"/>
      <c r="BM37" s="718"/>
      <c r="BN37" s="747"/>
      <c r="BO37" s="747"/>
      <c r="BP37" s="718"/>
      <c r="BQ37" s="718"/>
      <c r="BR37" s="718"/>
      <c r="BS37" s="718"/>
      <c r="BT37" s="718"/>
      <c r="BU37" s="718"/>
      <c r="BV37" s="718"/>
      <c r="BW37" s="718"/>
      <c r="BX37" s="747"/>
      <c r="BY37" s="747"/>
    </row>
    <row r="38" spans="1:77" x14ac:dyDescent="0.2">
      <c r="A38" s="14"/>
      <c r="B38" s="719"/>
      <c r="C38" s="718"/>
      <c r="D38" s="718"/>
      <c r="E38" s="718"/>
      <c r="F38" s="718"/>
      <c r="G38" s="718"/>
      <c r="H38" s="718"/>
      <c r="I38" s="718"/>
      <c r="J38" s="718"/>
      <c r="K38" s="718"/>
      <c r="L38" s="718"/>
      <c r="M38" s="718"/>
      <c r="N38" s="718"/>
      <c r="O38" s="718"/>
      <c r="P38" s="718"/>
      <c r="Q38" s="718"/>
      <c r="R38" s="718"/>
      <c r="S38" s="718"/>
      <c r="T38" s="718"/>
      <c r="U38" s="718"/>
      <c r="V38" s="718"/>
      <c r="W38" s="718"/>
      <c r="X38" s="718"/>
      <c r="Y38" s="718"/>
      <c r="Z38" s="718"/>
      <c r="AA38" s="718"/>
      <c r="AB38" s="718"/>
      <c r="AC38" s="718"/>
      <c r="AD38" s="718"/>
      <c r="AE38" s="718"/>
      <c r="AF38" s="718"/>
      <c r="AG38" s="718"/>
      <c r="AH38" s="718"/>
      <c r="AI38" s="718"/>
      <c r="AJ38" s="718">
        <v>4567571.09</v>
      </c>
      <c r="AK38" s="718" t="s">
        <v>276</v>
      </c>
      <c r="AL38" s="718"/>
      <c r="AM38" s="718"/>
      <c r="AN38" s="718"/>
      <c r="AO38" s="718"/>
      <c r="AP38" s="718"/>
      <c r="AQ38" s="718"/>
      <c r="AR38" s="718"/>
      <c r="AS38" s="718"/>
      <c r="AT38" s="718"/>
      <c r="AU38" s="718"/>
      <c r="AV38" s="718"/>
      <c r="AW38" s="718"/>
      <c r="AX38" s="718"/>
      <c r="AY38" s="718"/>
      <c r="AZ38" s="718"/>
      <c r="BA38" s="718"/>
      <c r="BB38" s="718"/>
      <c r="BC38" s="718"/>
      <c r="BD38" s="718"/>
      <c r="BE38" s="718"/>
      <c r="BF38" s="718"/>
      <c r="BG38" s="718"/>
      <c r="BH38" s="718"/>
      <c r="BI38" s="718"/>
      <c r="BJ38" s="718"/>
      <c r="BK38" s="718"/>
      <c r="BL38" s="718"/>
      <c r="BM38" s="718"/>
      <c r="BN38" s="718"/>
      <c r="BO38" s="718"/>
      <c r="BP38" s="718"/>
      <c r="BQ38" s="718"/>
      <c r="BR38" s="718"/>
      <c r="BS38" s="718"/>
      <c r="BT38" s="718"/>
      <c r="BU38" s="718"/>
      <c r="BV38" s="718"/>
      <c r="BW38" s="718"/>
      <c r="BX38" s="718"/>
      <c r="BY38" s="718"/>
    </row>
    <row r="39" spans="1:77" x14ac:dyDescent="0.2">
      <c r="A39" s="14"/>
      <c r="B39" s="719"/>
      <c r="C39" s="718"/>
      <c r="D39" s="718"/>
      <c r="E39" s="718"/>
      <c r="F39" s="718"/>
      <c r="G39" s="718"/>
      <c r="H39" s="718"/>
      <c r="I39" s="718"/>
      <c r="J39" s="718"/>
      <c r="K39" s="718"/>
      <c r="L39" s="718"/>
      <c r="M39" s="718"/>
      <c r="N39" s="718"/>
      <c r="O39" s="718"/>
      <c r="P39" s="718"/>
      <c r="Q39" s="718"/>
      <c r="R39" s="718"/>
      <c r="S39" s="718"/>
      <c r="T39" s="718"/>
      <c r="U39" s="718"/>
      <c r="V39" s="718"/>
      <c r="W39" s="718"/>
      <c r="X39" s="718"/>
      <c r="Y39" s="718"/>
      <c r="Z39" s="718"/>
      <c r="AA39" s="718"/>
      <c r="AB39" s="718"/>
      <c r="AC39" s="718"/>
      <c r="AD39" s="718"/>
      <c r="AE39" s="718"/>
      <c r="AF39" s="718"/>
      <c r="AG39" s="718"/>
      <c r="AH39" s="718"/>
      <c r="AI39" s="718"/>
      <c r="AJ39" s="747"/>
      <c r="AK39" s="747"/>
      <c r="AL39" s="718"/>
      <c r="AM39" s="718"/>
      <c r="AN39" s="718"/>
      <c r="AO39" s="718"/>
      <c r="AP39" s="718"/>
      <c r="AQ39" s="718"/>
      <c r="AR39" s="718"/>
      <c r="AS39" s="718"/>
      <c r="AT39" s="747"/>
      <c r="AU39" s="747"/>
      <c r="AV39" s="718"/>
      <c r="AW39" s="718"/>
      <c r="AX39" s="718"/>
      <c r="AY39" s="718"/>
      <c r="AZ39" s="718"/>
      <c r="BA39" s="718"/>
      <c r="BB39" s="718"/>
      <c r="BC39" s="718"/>
      <c r="BD39" s="747"/>
      <c r="BE39" s="747"/>
      <c r="BF39" s="718"/>
      <c r="BG39" s="718"/>
      <c r="BH39" s="718"/>
      <c r="BI39" s="718"/>
      <c r="BJ39" s="718"/>
      <c r="BK39" s="718"/>
      <c r="BL39" s="718"/>
      <c r="BM39" s="718"/>
      <c r="BN39" s="747"/>
      <c r="BO39" s="747"/>
      <c r="BP39" s="718"/>
      <c r="BQ39" s="718"/>
      <c r="BR39" s="718"/>
      <c r="BS39" s="718"/>
      <c r="BT39" s="718"/>
      <c r="BU39" s="718"/>
      <c r="BV39" s="718"/>
      <c r="BW39" s="718"/>
      <c r="BX39" s="747"/>
      <c r="BY39" s="747"/>
    </row>
    <row r="40" spans="1:77" x14ac:dyDescent="0.2">
      <c r="A40" s="14"/>
      <c r="B40" s="719"/>
      <c r="C40" s="718"/>
      <c r="D40" s="718"/>
      <c r="E40" s="718"/>
      <c r="F40" s="718"/>
      <c r="G40" s="718"/>
      <c r="H40" s="718"/>
      <c r="I40" s="718"/>
      <c r="J40" s="718"/>
      <c r="K40" s="718"/>
      <c r="L40" s="718"/>
      <c r="M40" s="718"/>
      <c r="N40" s="718"/>
      <c r="O40" s="718"/>
      <c r="P40" s="718"/>
      <c r="Q40" s="718"/>
      <c r="R40" s="718"/>
      <c r="S40" s="718"/>
      <c r="T40" s="718"/>
      <c r="U40" s="718"/>
      <c r="V40" s="718"/>
      <c r="W40" s="718"/>
      <c r="X40" s="718"/>
      <c r="Y40" s="718"/>
      <c r="Z40" s="718"/>
      <c r="AA40" s="718"/>
      <c r="AB40" s="718"/>
      <c r="AC40" s="718"/>
      <c r="AD40" s="718"/>
      <c r="AE40" s="718"/>
      <c r="AF40" s="718"/>
      <c r="AG40" s="718"/>
      <c r="AH40" s="718"/>
      <c r="AI40" s="718"/>
      <c r="AJ40" s="747"/>
      <c r="AK40" s="747"/>
      <c r="AL40" s="718"/>
      <c r="AM40" s="718"/>
      <c r="AN40" s="718"/>
      <c r="AO40" s="718"/>
      <c r="AP40" s="718"/>
      <c r="AQ40" s="718"/>
      <c r="AR40" s="718"/>
      <c r="AS40" s="718"/>
      <c r="AT40" s="747"/>
      <c r="AU40" s="747"/>
      <c r="AV40" s="718"/>
      <c r="AW40" s="718"/>
      <c r="AX40" s="718"/>
      <c r="AY40" s="718"/>
      <c r="AZ40" s="718"/>
      <c r="BA40" s="718"/>
      <c r="BB40" s="718"/>
      <c r="BC40" s="718"/>
      <c r="BD40" s="747"/>
      <c r="BE40" s="747"/>
      <c r="BF40" s="718"/>
      <c r="BG40" s="718"/>
      <c r="BH40" s="718"/>
      <c r="BI40" s="718"/>
      <c r="BJ40" s="718"/>
      <c r="BK40" s="718"/>
      <c r="BL40" s="718"/>
      <c r="BM40" s="718"/>
      <c r="BN40" s="747"/>
      <c r="BO40" s="747"/>
      <c r="BP40" s="718"/>
      <c r="BQ40" s="718"/>
      <c r="BR40" s="718"/>
      <c r="BS40" s="718"/>
      <c r="BT40" s="718"/>
      <c r="BU40" s="718"/>
      <c r="BV40" s="718"/>
      <c r="BW40" s="718"/>
      <c r="BX40" s="747"/>
      <c r="BY40" s="747"/>
    </row>
    <row r="41" spans="1:77" x14ac:dyDescent="0.2">
      <c r="A41" s="14"/>
      <c r="B41" s="717"/>
      <c r="C41" s="718"/>
      <c r="D41" s="718"/>
      <c r="E41" s="718"/>
      <c r="F41" s="718"/>
      <c r="G41" s="718"/>
      <c r="H41" s="718"/>
      <c r="I41" s="718"/>
      <c r="J41" s="719"/>
      <c r="K41" s="719"/>
      <c r="L41" s="719"/>
      <c r="M41" s="719"/>
      <c r="N41" s="719"/>
      <c r="O41" s="719"/>
      <c r="P41" s="719"/>
      <c r="Q41" s="719"/>
      <c r="R41" s="718"/>
      <c r="S41" s="718"/>
      <c r="T41" s="719"/>
      <c r="U41" s="719"/>
      <c r="V41" s="718"/>
      <c r="W41" s="718"/>
      <c r="X41" s="718"/>
      <c r="Y41" s="718"/>
      <c r="Z41" s="718"/>
      <c r="AA41" s="718"/>
      <c r="AB41" s="718"/>
      <c r="AC41" s="718"/>
      <c r="AD41" s="719"/>
      <c r="AE41" s="719"/>
      <c r="AF41" s="718"/>
      <c r="AG41" s="718"/>
      <c r="AH41" s="718"/>
      <c r="AI41" s="718"/>
      <c r="AJ41" s="747"/>
      <c r="AK41" s="747"/>
      <c r="AL41" s="718"/>
      <c r="AM41" s="718"/>
      <c r="AN41" s="719"/>
      <c r="AO41" s="719"/>
      <c r="AP41" s="718"/>
      <c r="AQ41" s="718"/>
      <c r="AR41" s="718"/>
      <c r="AS41" s="718"/>
      <c r="AT41" s="747"/>
      <c r="AU41" s="747"/>
      <c r="AV41" s="718"/>
      <c r="AW41" s="718"/>
      <c r="AX41" s="719"/>
      <c r="AY41" s="719"/>
      <c r="AZ41" s="718"/>
      <c r="BA41" s="718"/>
      <c r="BB41" s="718"/>
      <c r="BC41" s="718"/>
      <c r="BD41" s="747"/>
      <c r="BE41" s="747"/>
      <c r="BF41" s="718"/>
      <c r="BG41" s="718"/>
      <c r="BH41" s="719"/>
      <c r="BI41" s="719"/>
      <c r="BJ41" s="718"/>
      <c r="BK41" s="718"/>
      <c r="BL41" s="718"/>
      <c r="BM41" s="718"/>
      <c r="BN41" s="747"/>
      <c r="BO41" s="747"/>
      <c r="BP41" s="718"/>
      <c r="BQ41" s="718"/>
      <c r="BR41" s="719"/>
      <c r="BS41" s="719"/>
      <c r="BT41" s="718"/>
      <c r="BU41" s="718"/>
      <c r="BV41" s="718"/>
      <c r="BW41" s="718"/>
      <c r="BX41" s="747"/>
      <c r="BY41" s="747"/>
    </row>
    <row r="42" spans="1:77" x14ac:dyDescent="0.2">
      <c r="A42" s="14"/>
      <c r="B42" s="714" t="s">
        <v>277</v>
      </c>
      <c r="C42" s="715"/>
      <c r="D42" s="715"/>
      <c r="E42" s="715"/>
      <c r="F42" s="715">
        <v>5717467</v>
      </c>
      <c r="G42" s="715"/>
      <c r="H42" s="715"/>
      <c r="I42" s="715"/>
      <c r="J42" s="715"/>
      <c r="K42" s="715"/>
      <c r="L42" s="715"/>
      <c r="M42" s="715"/>
      <c r="N42" s="716"/>
      <c r="O42" s="715"/>
      <c r="P42" s="716"/>
      <c r="Q42" s="716"/>
      <c r="R42" s="715"/>
      <c r="S42" s="715"/>
      <c r="T42" s="715"/>
      <c r="U42" s="715"/>
      <c r="V42" s="715"/>
      <c r="W42" s="715"/>
      <c r="X42" s="715"/>
      <c r="Y42" s="715"/>
      <c r="Z42" s="715"/>
      <c r="AA42" s="715"/>
      <c r="AB42" s="715"/>
      <c r="AC42" s="715"/>
      <c r="AD42" s="715"/>
      <c r="AE42" s="715"/>
      <c r="AF42" s="715"/>
      <c r="AG42" s="715"/>
      <c r="AH42" s="715"/>
      <c r="AI42" s="715"/>
      <c r="AJ42" s="715"/>
      <c r="AK42" s="715"/>
      <c r="AL42" s="715"/>
      <c r="AM42" s="715"/>
      <c r="AN42" s="715"/>
      <c r="AO42" s="715"/>
      <c r="AP42" s="715"/>
      <c r="AQ42" s="715"/>
      <c r="AR42" s="715"/>
      <c r="AS42" s="715"/>
      <c r="AT42" s="715"/>
      <c r="AU42" s="715"/>
      <c r="AV42" s="715"/>
      <c r="AW42" s="715"/>
      <c r="AX42" s="715"/>
      <c r="AY42" s="715"/>
      <c r="AZ42" s="715"/>
      <c r="BA42" s="715"/>
      <c r="BB42" s="715"/>
      <c r="BC42" s="715"/>
      <c r="BD42" s="715"/>
      <c r="BE42" s="715"/>
      <c r="BF42" s="715"/>
      <c r="BG42" s="715"/>
      <c r="BH42" s="715"/>
      <c r="BI42" s="715"/>
      <c r="BJ42" s="715"/>
      <c r="BK42" s="715"/>
      <c r="BL42" s="715"/>
      <c r="BM42" s="715"/>
      <c r="BN42" s="715"/>
      <c r="BO42" s="715"/>
      <c r="BP42" s="715"/>
      <c r="BQ42" s="715"/>
      <c r="BR42" s="715"/>
      <c r="BS42" s="715"/>
      <c r="BT42" s="715"/>
      <c r="BU42" s="715"/>
      <c r="BV42" s="715"/>
      <c r="BW42" s="715"/>
      <c r="BX42" s="715"/>
      <c r="BY42" s="715"/>
    </row>
    <row r="43" spans="1:77" x14ac:dyDescent="0.2">
      <c r="A43" s="14"/>
      <c r="B43" s="714"/>
      <c r="C43" s="715"/>
      <c r="D43" s="715"/>
      <c r="E43" s="715"/>
      <c r="F43" s="715"/>
      <c r="G43" s="715"/>
      <c r="H43" s="715"/>
      <c r="I43" s="715"/>
      <c r="J43" s="715"/>
      <c r="K43" s="715"/>
      <c r="L43" s="716"/>
      <c r="M43" s="716"/>
      <c r="N43" s="716"/>
      <c r="O43" s="716"/>
      <c r="P43" s="716"/>
      <c r="Q43" s="716"/>
      <c r="R43" s="715"/>
      <c r="S43" s="715"/>
      <c r="T43" s="715"/>
      <c r="U43" s="715"/>
      <c r="V43" s="715"/>
      <c r="W43" s="715"/>
      <c r="X43" s="715"/>
      <c r="Y43" s="715"/>
      <c r="Z43" s="715"/>
      <c r="AA43" s="715"/>
      <c r="AB43" s="715"/>
      <c r="AC43" s="715"/>
      <c r="AD43" s="715"/>
      <c r="AE43" s="715"/>
      <c r="AF43" s="715"/>
      <c r="AG43" s="715"/>
      <c r="AH43" s="715"/>
      <c r="AI43" s="715"/>
      <c r="AJ43" s="715"/>
      <c r="AK43" s="715"/>
      <c r="AL43" s="715"/>
      <c r="AM43" s="715"/>
      <c r="AN43" s="715"/>
      <c r="AO43" s="715"/>
      <c r="AP43" s="715"/>
      <c r="AQ43" s="715"/>
      <c r="AR43" s="715"/>
      <c r="AS43" s="715"/>
      <c r="AT43" s="715"/>
      <c r="AU43" s="715"/>
      <c r="AV43" s="715"/>
      <c r="AW43" s="715"/>
      <c r="AX43" s="715"/>
      <c r="AY43" s="715"/>
      <c r="AZ43" s="715"/>
      <c r="BA43" s="715"/>
      <c r="BB43" s="715"/>
      <c r="BC43" s="715"/>
      <c r="BD43" s="715"/>
      <c r="BE43" s="715"/>
      <c r="BF43" s="715"/>
      <c r="BG43" s="715"/>
      <c r="BH43" s="715"/>
      <c r="BI43" s="715"/>
      <c r="BJ43" s="715"/>
      <c r="BK43" s="715"/>
      <c r="BL43" s="715"/>
      <c r="BM43" s="715"/>
      <c r="BN43" s="715"/>
      <c r="BO43" s="715"/>
      <c r="BP43" s="715"/>
      <c r="BQ43" s="715"/>
      <c r="BR43" s="715"/>
      <c r="BS43" s="715"/>
      <c r="BT43" s="715"/>
      <c r="BU43" s="715"/>
      <c r="BV43" s="715"/>
      <c r="BW43" s="715"/>
      <c r="BX43" s="715"/>
      <c r="BY43" s="715"/>
    </row>
    <row r="44" spans="1:77" x14ac:dyDescent="0.2">
      <c r="A44" s="14"/>
      <c r="B44" s="714"/>
      <c r="C44" s="715"/>
      <c r="D44" s="715"/>
      <c r="E44" s="715"/>
      <c r="F44" s="716"/>
      <c r="G44" s="716"/>
      <c r="H44" s="716"/>
      <c r="I44" s="716"/>
      <c r="J44" s="716"/>
      <c r="K44" s="716"/>
      <c r="L44" s="716"/>
      <c r="M44" s="716"/>
      <c r="N44" s="716"/>
      <c r="O44" s="716"/>
      <c r="P44" s="716"/>
      <c r="Q44" s="716"/>
      <c r="R44" s="715"/>
      <c r="S44" s="715"/>
      <c r="T44" s="716"/>
      <c r="U44" s="716"/>
      <c r="V44" s="715"/>
      <c r="W44" s="715"/>
      <c r="X44" s="715"/>
      <c r="Y44" s="715"/>
      <c r="Z44" s="715"/>
      <c r="AA44" s="715"/>
      <c r="AB44" s="715"/>
      <c r="AC44" s="715"/>
      <c r="AD44" s="716"/>
      <c r="AE44" s="716"/>
      <c r="AF44" s="715"/>
      <c r="AG44" s="715"/>
      <c r="AH44" s="715"/>
      <c r="AI44" s="715"/>
      <c r="AJ44" s="715"/>
      <c r="AK44" s="715"/>
      <c r="AL44" s="715"/>
      <c r="AM44" s="715"/>
      <c r="AN44" s="716"/>
      <c r="AO44" s="716"/>
      <c r="AP44" s="715"/>
      <c r="AQ44" s="715"/>
      <c r="AR44" s="715"/>
      <c r="AS44" s="715"/>
      <c r="AT44" s="715"/>
      <c r="AU44" s="715"/>
      <c r="AV44" s="715"/>
      <c r="AW44" s="715"/>
      <c r="AX44" s="716"/>
      <c r="AY44" s="716"/>
      <c r="AZ44" s="715"/>
      <c r="BA44" s="715"/>
      <c r="BB44" s="715"/>
      <c r="BC44" s="715"/>
      <c r="BD44" s="715"/>
      <c r="BE44" s="715"/>
      <c r="BF44" s="715"/>
      <c r="BG44" s="715"/>
      <c r="BH44" s="716"/>
      <c r="BI44" s="716"/>
      <c r="BJ44" s="715"/>
      <c r="BK44" s="715"/>
      <c r="BL44" s="715"/>
      <c r="BM44" s="715"/>
      <c r="BN44" s="715"/>
      <c r="BO44" s="715"/>
      <c r="BP44" s="715"/>
      <c r="BQ44" s="715"/>
      <c r="BR44" s="716"/>
      <c r="BS44" s="716"/>
      <c r="BT44" s="715"/>
      <c r="BU44" s="715"/>
      <c r="BV44" s="715"/>
      <c r="BW44" s="715"/>
      <c r="BX44" s="715"/>
      <c r="BY44" s="715"/>
    </row>
    <row r="45" spans="1:77" x14ac:dyDescent="0.2">
      <c r="A45" s="14"/>
      <c r="B45" s="717" t="s">
        <v>278</v>
      </c>
      <c r="C45" s="718"/>
      <c r="D45" s="718"/>
      <c r="E45" s="718"/>
      <c r="F45" s="718">
        <v>588000</v>
      </c>
      <c r="G45" s="718" t="s">
        <v>279</v>
      </c>
      <c r="H45" s="718"/>
      <c r="I45" s="718"/>
      <c r="J45" s="718"/>
      <c r="K45" s="718"/>
      <c r="L45" s="718"/>
      <c r="M45" s="718"/>
      <c r="N45" s="718"/>
      <c r="O45" s="718"/>
      <c r="P45" s="718">
        <v>1806000</v>
      </c>
      <c r="Q45" s="718" t="s">
        <v>280</v>
      </c>
      <c r="R45" s="718"/>
      <c r="S45" s="718"/>
      <c r="T45" s="718"/>
      <c r="U45" s="718"/>
      <c r="V45" s="718"/>
      <c r="W45" s="718"/>
      <c r="X45" s="718"/>
      <c r="Y45" s="718"/>
      <c r="Z45" s="718">
        <v>1701000</v>
      </c>
      <c r="AA45" s="718" t="s">
        <v>281</v>
      </c>
      <c r="AB45" s="718"/>
      <c r="AC45" s="718"/>
      <c r="AD45" s="718"/>
      <c r="AE45" s="718"/>
      <c r="AF45" s="718"/>
      <c r="AG45" s="718"/>
      <c r="AH45" s="718"/>
      <c r="AI45" s="718"/>
      <c r="AJ45" s="718">
        <v>764701</v>
      </c>
      <c r="AK45" s="718" t="s">
        <v>282</v>
      </c>
      <c r="AL45" s="718"/>
      <c r="AM45" s="718"/>
      <c r="AN45" s="718"/>
      <c r="AO45" s="718"/>
      <c r="AP45" s="718"/>
      <c r="AQ45" s="718"/>
      <c r="AR45" s="718"/>
      <c r="AS45" s="718"/>
      <c r="AT45" s="718">
        <f>'[1]Plan de Expansión'!$E$150*1000</f>
        <v>783966.19000000029</v>
      </c>
      <c r="AU45" s="718" t="s">
        <v>324</v>
      </c>
      <c r="AV45" s="718"/>
      <c r="AW45" s="718"/>
      <c r="AX45" s="718"/>
      <c r="AY45" s="718"/>
      <c r="AZ45" s="718"/>
      <c r="BA45" s="718"/>
      <c r="BB45" s="718"/>
      <c r="BC45" s="718"/>
      <c r="BD45" s="718">
        <f>'[1]Plan de Expansión'!$F$150*1000</f>
        <v>489497.16000000003</v>
      </c>
      <c r="BE45" s="718" t="s">
        <v>324</v>
      </c>
      <c r="BF45" s="718"/>
      <c r="BG45" s="718"/>
      <c r="BH45" s="718"/>
      <c r="BI45" s="718"/>
      <c r="BJ45" s="718"/>
      <c r="BK45" s="718"/>
      <c r="BL45" s="718"/>
      <c r="BM45" s="718"/>
      <c r="BN45" s="718">
        <f>'[2]Plan de Expansión'!$G$150*1000</f>
        <v>1066901.27</v>
      </c>
      <c r="BO45" s="718" t="s">
        <v>324</v>
      </c>
      <c r="BP45" s="718"/>
      <c r="BQ45" s="718"/>
      <c r="BR45" s="718"/>
      <c r="BS45" s="718"/>
      <c r="BT45" s="718"/>
      <c r="BU45" s="718"/>
      <c r="BV45" s="718"/>
      <c r="BW45" s="718"/>
      <c r="BX45" s="718"/>
      <c r="BY45" s="718"/>
    </row>
    <row r="46" spans="1:77" x14ac:dyDescent="0.2">
      <c r="A46" s="14"/>
      <c r="B46" s="717"/>
      <c r="C46" s="718"/>
      <c r="D46" s="718"/>
      <c r="E46" s="718"/>
      <c r="F46" s="718">
        <v>773000</v>
      </c>
      <c r="G46" s="718" t="s">
        <v>283</v>
      </c>
      <c r="H46" s="718"/>
      <c r="I46" s="718"/>
      <c r="J46" s="718"/>
      <c r="K46" s="718"/>
      <c r="L46" s="718"/>
      <c r="M46" s="718"/>
      <c r="N46" s="718"/>
      <c r="O46" s="718"/>
      <c r="P46" s="718">
        <v>1526000</v>
      </c>
      <c r="Q46" s="718" t="s">
        <v>284</v>
      </c>
      <c r="R46" s="718"/>
      <c r="S46" s="718"/>
      <c r="T46" s="718"/>
      <c r="U46" s="718"/>
      <c r="V46" s="718"/>
      <c r="W46" s="718"/>
      <c r="X46" s="718"/>
      <c r="Y46" s="718"/>
      <c r="Z46" s="718">
        <v>442000</v>
      </c>
      <c r="AA46" s="718" t="s">
        <v>285</v>
      </c>
      <c r="AB46" s="718"/>
      <c r="AC46" s="718"/>
      <c r="AD46" s="718"/>
      <c r="AE46" s="718"/>
      <c r="AF46" s="718"/>
      <c r="AG46" s="718"/>
      <c r="AH46" s="718"/>
      <c r="AI46" s="718"/>
      <c r="AJ46" s="718">
        <v>582248.77</v>
      </c>
      <c r="AK46" s="718" t="s">
        <v>286</v>
      </c>
      <c r="AL46" s="718"/>
      <c r="AM46" s="718"/>
      <c r="AN46" s="718"/>
      <c r="AO46" s="718"/>
      <c r="AP46" s="718"/>
      <c r="AQ46" s="718"/>
      <c r="AR46" s="718"/>
      <c r="AS46" s="718"/>
      <c r="AT46" s="718">
        <f>'[1]Plan de Expansión'!$E$151*1000</f>
        <v>111280</v>
      </c>
      <c r="AU46" s="721" t="s">
        <v>1300</v>
      </c>
      <c r="AV46" s="718"/>
      <c r="AW46" s="718"/>
      <c r="AX46" s="718"/>
      <c r="AY46" s="718"/>
      <c r="AZ46" s="718"/>
      <c r="BA46" s="718"/>
      <c r="BB46" s="718"/>
      <c r="BC46" s="718"/>
      <c r="BD46" s="718">
        <f>'[1]Plan de Expansión'!$F$151*1000</f>
        <v>1771930.0495999998</v>
      </c>
      <c r="BE46" s="721" t="s">
        <v>1300</v>
      </c>
      <c r="BF46" s="718"/>
      <c r="BG46" s="718"/>
      <c r="BH46" s="718"/>
      <c r="BI46" s="718"/>
      <c r="BJ46" s="718"/>
      <c r="BK46" s="718"/>
      <c r="BL46" s="718"/>
      <c r="BM46" s="718"/>
      <c r="BN46" s="718">
        <f>'[2]Plan de Expansión'!$G$151*1000</f>
        <v>730910.97</v>
      </c>
      <c r="BO46" s="718" t="s">
        <v>1300</v>
      </c>
      <c r="BP46" s="718"/>
      <c r="BQ46" s="718"/>
      <c r="BR46" s="718"/>
      <c r="BS46" s="718"/>
      <c r="BT46" s="718"/>
      <c r="BU46" s="718"/>
      <c r="BV46" s="718"/>
      <c r="BW46" s="718"/>
      <c r="BX46" s="718"/>
      <c r="BY46" s="718"/>
    </row>
    <row r="47" spans="1:77" x14ac:dyDescent="0.2">
      <c r="A47" s="14"/>
      <c r="B47" s="719"/>
      <c r="C47" s="718"/>
      <c r="D47" s="718"/>
      <c r="E47" s="718"/>
      <c r="F47" s="718"/>
      <c r="G47" s="718"/>
      <c r="H47" s="718"/>
      <c r="I47" s="718"/>
      <c r="J47" s="718"/>
      <c r="K47" s="718"/>
      <c r="L47" s="718"/>
      <c r="M47" s="718"/>
      <c r="N47" s="718"/>
      <c r="O47" s="718"/>
      <c r="P47" s="718"/>
      <c r="Q47" s="718"/>
      <c r="R47" s="718"/>
      <c r="S47" s="718"/>
      <c r="T47" s="718"/>
      <c r="U47" s="718"/>
      <c r="V47" s="718"/>
      <c r="W47" s="718"/>
      <c r="X47" s="718"/>
      <c r="Y47" s="718"/>
      <c r="Z47" s="718"/>
      <c r="AA47" s="718"/>
      <c r="AB47" s="718"/>
      <c r="AC47" s="718"/>
      <c r="AD47" s="718"/>
      <c r="AE47" s="718"/>
      <c r="AF47" s="718"/>
      <c r="AG47" s="718"/>
      <c r="AH47" s="718"/>
      <c r="AI47" s="718"/>
      <c r="AJ47" s="718"/>
      <c r="AK47" s="718"/>
      <c r="AL47" s="718"/>
      <c r="AM47" s="718"/>
      <c r="AN47" s="718"/>
      <c r="AO47" s="718"/>
      <c r="AP47" s="718"/>
      <c r="AQ47" s="718"/>
      <c r="AR47" s="718"/>
      <c r="AS47" s="718"/>
      <c r="AT47" s="718"/>
      <c r="AU47" s="718"/>
      <c r="AV47" s="718"/>
      <c r="AW47" s="718"/>
      <c r="AX47" s="718"/>
      <c r="AY47" s="718"/>
      <c r="AZ47" s="718"/>
      <c r="BA47" s="718"/>
      <c r="BB47" s="718"/>
      <c r="BC47" s="718"/>
      <c r="BD47" s="718"/>
      <c r="BE47" s="718"/>
      <c r="BF47" s="718"/>
      <c r="BG47" s="718"/>
      <c r="BH47" s="718"/>
      <c r="BI47" s="718"/>
      <c r="BJ47" s="718"/>
      <c r="BK47" s="718"/>
      <c r="BL47" s="718"/>
      <c r="BM47" s="718"/>
      <c r="BN47" s="718"/>
      <c r="BO47" s="718"/>
      <c r="BP47" s="718"/>
      <c r="BQ47" s="718"/>
      <c r="BR47" s="718"/>
      <c r="BS47" s="718"/>
      <c r="BT47" s="718"/>
      <c r="BU47" s="718"/>
      <c r="BV47" s="718"/>
      <c r="BW47" s="718"/>
      <c r="BX47" s="718"/>
      <c r="BY47" s="718"/>
    </row>
    <row r="48" spans="1:77" x14ac:dyDescent="0.2">
      <c r="A48" s="14"/>
      <c r="B48" s="714" t="s">
        <v>287</v>
      </c>
      <c r="C48" s="715"/>
      <c r="D48" s="715"/>
      <c r="E48" s="715"/>
      <c r="F48" s="715"/>
      <c r="G48" s="715"/>
      <c r="H48" s="715"/>
      <c r="I48" s="715"/>
      <c r="J48" s="715"/>
      <c r="K48" s="715"/>
      <c r="L48" s="715"/>
      <c r="M48" s="715"/>
      <c r="N48" s="715"/>
      <c r="O48" s="715"/>
      <c r="P48" s="715"/>
      <c r="Q48" s="715"/>
      <c r="R48" s="715"/>
      <c r="S48" s="715"/>
      <c r="T48" s="715"/>
      <c r="U48" s="715"/>
      <c r="V48" s="715"/>
      <c r="W48" s="715"/>
      <c r="X48" s="715"/>
      <c r="Y48" s="715"/>
      <c r="Z48" s="715"/>
      <c r="AA48" s="715"/>
      <c r="AB48" s="715"/>
      <c r="AC48" s="715"/>
      <c r="AD48" s="715"/>
      <c r="AE48" s="715"/>
      <c r="AF48" s="715"/>
      <c r="AG48" s="715"/>
      <c r="AH48" s="715"/>
      <c r="AI48" s="715"/>
      <c r="AJ48" s="715"/>
      <c r="AK48" s="715"/>
      <c r="AL48" s="715"/>
      <c r="AM48" s="715"/>
      <c r="AN48" s="715"/>
      <c r="AO48" s="715"/>
      <c r="AP48" s="715"/>
      <c r="AQ48" s="715"/>
      <c r="AR48" s="715"/>
      <c r="AS48" s="715"/>
      <c r="AT48" s="715"/>
      <c r="AU48" s="715"/>
      <c r="AV48" s="715"/>
      <c r="AW48" s="715"/>
      <c r="AX48" s="715"/>
      <c r="AY48" s="715"/>
      <c r="AZ48" s="715"/>
      <c r="BA48" s="715"/>
      <c r="BB48" s="715"/>
      <c r="BC48" s="715"/>
      <c r="BD48" s="715"/>
      <c r="BE48" s="715"/>
      <c r="BF48" s="715"/>
      <c r="BG48" s="715"/>
      <c r="BH48" s="715"/>
      <c r="BI48" s="715"/>
      <c r="BJ48" s="715"/>
      <c r="BK48" s="715"/>
      <c r="BL48" s="715"/>
      <c r="BM48" s="715"/>
      <c r="BN48" s="715"/>
      <c r="BO48" s="715"/>
      <c r="BP48" s="715"/>
      <c r="BQ48" s="715"/>
      <c r="BR48" s="715"/>
      <c r="BS48" s="715"/>
      <c r="BT48" s="715"/>
      <c r="BU48" s="715"/>
      <c r="BV48" s="715"/>
      <c r="BW48" s="715"/>
      <c r="BX48" s="715"/>
      <c r="BY48" s="715"/>
    </row>
    <row r="49" spans="1:83" x14ac:dyDescent="0.2">
      <c r="A49" s="14"/>
      <c r="B49" s="716"/>
      <c r="C49" s="715"/>
      <c r="D49" s="715"/>
      <c r="E49" s="715"/>
      <c r="F49" s="716"/>
      <c r="G49" s="715"/>
      <c r="H49" s="715"/>
      <c r="I49" s="715"/>
      <c r="J49" s="715"/>
      <c r="K49" s="715"/>
      <c r="L49" s="715"/>
      <c r="M49" s="715"/>
      <c r="N49" s="715"/>
      <c r="O49" s="716"/>
      <c r="P49" s="716"/>
      <c r="Q49" s="716"/>
      <c r="R49" s="716"/>
      <c r="S49" s="716"/>
      <c r="T49" s="715"/>
      <c r="U49" s="715"/>
      <c r="V49" s="716"/>
      <c r="W49" s="716"/>
      <c r="X49" s="716"/>
      <c r="Y49" s="716"/>
      <c r="Z49" s="716"/>
      <c r="AA49" s="716"/>
      <c r="AB49" s="716"/>
      <c r="AC49" s="716"/>
      <c r="AD49" s="715"/>
      <c r="AE49" s="715"/>
      <c r="AF49" s="716"/>
      <c r="AG49" s="716"/>
      <c r="AH49" s="716"/>
      <c r="AI49" s="716"/>
      <c r="AJ49" s="716"/>
      <c r="AK49" s="716"/>
      <c r="AL49" s="716"/>
      <c r="AM49" s="716"/>
      <c r="AN49" s="715"/>
      <c r="AO49" s="715"/>
      <c r="AP49" s="716"/>
      <c r="AQ49" s="716"/>
      <c r="AR49" s="716"/>
      <c r="AS49" s="716"/>
      <c r="AT49" s="716"/>
      <c r="AU49" s="716"/>
      <c r="AV49" s="716"/>
      <c r="AW49" s="716"/>
      <c r="AX49" s="715"/>
      <c r="AY49" s="715"/>
      <c r="AZ49" s="716"/>
      <c r="BA49" s="716"/>
      <c r="BB49" s="716"/>
      <c r="BC49" s="716"/>
      <c r="BD49" s="716"/>
      <c r="BE49" s="716"/>
      <c r="BF49" s="716"/>
      <c r="BG49" s="716"/>
      <c r="BH49" s="715"/>
      <c r="BI49" s="715"/>
      <c r="BJ49" s="716"/>
      <c r="BK49" s="716"/>
      <c r="BL49" s="716"/>
      <c r="BM49" s="716"/>
      <c r="BN49" s="716"/>
      <c r="BO49" s="716"/>
      <c r="BP49" s="716"/>
      <c r="BQ49" s="716"/>
      <c r="BR49" s="715"/>
      <c r="BS49" s="715"/>
      <c r="BT49" s="716"/>
      <c r="BU49" s="716"/>
      <c r="BV49" s="716"/>
      <c r="BW49" s="716"/>
      <c r="BX49" s="716"/>
      <c r="BY49" s="716"/>
    </row>
    <row r="50" spans="1:83" x14ac:dyDescent="0.2">
      <c r="A50" s="14"/>
      <c r="B50" s="717" t="s">
        <v>288</v>
      </c>
      <c r="C50" s="718"/>
      <c r="D50" s="718"/>
      <c r="E50" s="718"/>
      <c r="F50" s="719"/>
      <c r="G50" s="718"/>
      <c r="H50" s="718"/>
      <c r="I50" s="718"/>
      <c r="J50" s="718"/>
      <c r="K50" s="718"/>
      <c r="L50" s="718"/>
      <c r="M50" s="718"/>
      <c r="N50" s="718"/>
      <c r="O50" s="718"/>
      <c r="P50" s="719"/>
      <c r="Q50" s="719"/>
      <c r="R50" s="719"/>
      <c r="S50" s="719"/>
      <c r="T50" s="718"/>
      <c r="U50" s="718"/>
      <c r="V50" s="718"/>
      <c r="W50" s="718"/>
      <c r="X50" s="719"/>
      <c r="Y50" s="718"/>
      <c r="Z50" s="719"/>
      <c r="AA50" s="719"/>
      <c r="AB50" s="719"/>
      <c r="AC50" s="719"/>
      <c r="AD50" s="718"/>
      <c r="AE50" s="718"/>
      <c r="AF50" s="718"/>
      <c r="AG50" s="718"/>
      <c r="AH50" s="719"/>
      <c r="AI50" s="718"/>
      <c r="AJ50" s="719"/>
      <c r="AK50" s="719"/>
      <c r="AL50" s="719"/>
      <c r="AM50" s="719"/>
      <c r="AN50" s="718"/>
      <c r="AO50" s="718"/>
      <c r="AP50" s="718"/>
      <c r="AQ50" s="718"/>
      <c r="AR50" s="719"/>
      <c r="AS50" s="718"/>
      <c r="AT50" s="719"/>
      <c r="AU50" s="719"/>
      <c r="AV50" s="719"/>
      <c r="AW50" s="719"/>
      <c r="AX50" s="718"/>
      <c r="AY50" s="718"/>
      <c r="AZ50" s="718"/>
      <c r="BA50" s="718"/>
      <c r="BB50" s="719"/>
      <c r="BC50" s="718"/>
      <c r="BD50" s="719"/>
      <c r="BE50" s="719"/>
      <c r="BF50" s="719"/>
      <c r="BG50" s="719"/>
      <c r="BH50" s="718"/>
      <c r="BI50" s="718"/>
      <c r="BJ50" s="718"/>
      <c r="BK50" s="718"/>
      <c r="BL50" s="719"/>
      <c r="BM50" s="718"/>
      <c r="BN50" s="719"/>
      <c r="BO50" s="719"/>
      <c r="BP50" s="719"/>
      <c r="BQ50" s="719"/>
      <c r="BR50" s="718"/>
      <c r="BS50" s="718"/>
      <c r="BT50" s="718"/>
      <c r="BU50" s="718"/>
      <c r="BV50" s="719"/>
      <c r="BW50" s="718"/>
      <c r="BX50" s="719"/>
      <c r="BY50" s="719"/>
    </row>
    <row r="51" spans="1:83" x14ac:dyDescent="0.2">
      <c r="A51" s="14"/>
      <c r="B51" s="717"/>
      <c r="C51" s="718"/>
      <c r="D51" s="718"/>
      <c r="E51" s="718"/>
      <c r="F51" s="719"/>
      <c r="G51" s="718"/>
      <c r="H51" s="718"/>
      <c r="I51" s="718"/>
      <c r="J51" s="718"/>
      <c r="K51" s="718"/>
      <c r="L51" s="718"/>
      <c r="M51" s="718"/>
      <c r="N51" s="718"/>
      <c r="O51" s="719"/>
      <c r="P51" s="719"/>
      <c r="Q51" s="719"/>
      <c r="R51" s="719"/>
      <c r="S51" s="719"/>
      <c r="T51" s="718"/>
      <c r="U51" s="718"/>
      <c r="V51" s="719"/>
      <c r="W51" s="719"/>
      <c r="X51" s="719"/>
      <c r="Y51" s="719"/>
      <c r="Z51" s="719"/>
      <c r="AA51" s="719"/>
      <c r="AB51" s="719"/>
      <c r="AC51" s="719"/>
      <c r="AD51" s="718"/>
      <c r="AE51" s="718"/>
      <c r="AF51" s="719"/>
      <c r="AG51" s="719"/>
      <c r="AH51" s="719"/>
      <c r="AI51" s="719"/>
      <c r="AJ51" s="719"/>
      <c r="AK51" s="719"/>
      <c r="AL51" s="719"/>
      <c r="AM51" s="719"/>
      <c r="AN51" s="718"/>
      <c r="AO51" s="718"/>
      <c r="AP51" s="719"/>
      <c r="AQ51" s="719"/>
      <c r="AR51" s="719"/>
      <c r="AS51" s="719"/>
      <c r="AT51" s="719"/>
      <c r="AU51" s="719"/>
      <c r="AV51" s="719"/>
      <c r="AW51" s="719"/>
      <c r="AX51" s="718"/>
      <c r="AY51" s="718"/>
      <c r="AZ51" s="719"/>
      <c r="BA51" s="719"/>
      <c r="BB51" s="719"/>
      <c r="BC51" s="719"/>
      <c r="BD51" s="719"/>
      <c r="BE51" s="719"/>
      <c r="BF51" s="719"/>
      <c r="BG51" s="719"/>
      <c r="BH51" s="718"/>
      <c r="BI51" s="718"/>
      <c r="BJ51" s="719"/>
      <c r="BK51" s="719"/>
      <c r="BL51" s="719"/>
      <c r="BM51" s="719"/>
      <c r="BN51" s="719"/>
      <c r="BO51" s="719"/>
      <c r="BP51" s="719"/>
      <c r="BQ51" s="719"/>
      <c r="BR51" s="718"/>
      <c r="BS51" s="718"/>
      <c r="BT51" s="719"/>
      <c r="BU51" s="719"/>
      <c r="BV51" s="719"/>
      <c r="BW51" s="719"/>
      <c r="BX51" s="719"/>
      <c r="BY51" s="719"/>
    </row>
    <row r="52" spans="1:83" x14ac:dyDescent="0.2">
      <c r="A52" s="14"/>
      <c r="B52" s="714" t="s">
        <v>289</v>
      </c>
      <c r="C52" s="715"/>
      <c r="D52" s="715"/>
      <c r="E52" s="715"/>
      <c r="F52" s="716"/>
      <c r="G52" s="715"/>
      <c r="H52" s="715"/>
      <c r="I52" s="715"/>
      <c r="J52" s="715"/>
      <c r="K52" s="715"/>
      <c r="L52" s="715"/>
      <c r="M52" s="715"/>
      <c r="N52" s="715"/>
      <c r="O52" s="715"/>
      <c r="P52" s="716"/>
      <c r="Q52" s="716"/>
      <c r="R52" s="716"/>
      <c r="S52" s="716"/>
      <c r="T52" s="715"/>
      <c r="U52" s="715"/>
      <c r="V52" s="715"/>
      <c r="W52" s="715"/>
      <c r="X52" s="716"/>
      <c r="Y52" s="715"/>
      <c r="Z52" s="716"/>
      <c r="AA52" s="716"/>
      <c r="AB52" s="716"/>
      <c r="AC52" s="716"/>
      <c r="AD52" s="715"/>
      <c r="AE52" s="715"/>
      <c r="AF52" s="715"/>
      <c r="AG52" s="715"/>
      <c r="AH52" s="716"/>
      <c r="AI52" s="715"/>
      <c r="AJ52" s="716"/>
      <c r="AK52" s="716"/>
      <c r="AL52" s="716"/>
      <c r="AM52" s="716"/>
      <c r="AN52" s="715"/>
      <c r="AO52" s="715"/>
      <c r="AP52" s="715"/>
      <c r="AQ52" s="715"/>
      <c r="AR52" s="716"/>
      <c r="AS52" s="715"/>
      <c r="AT52" s="716"/>
      <c r="AU52" s="716"/>
      <c r="AV52" s="716"/>
      <c r="AW52" s="716"/>
      <c r="AX52" s="715"/>
      <c r="AY52" s="715"/>
      <c r="AZ52" s="715"/>
      <c r="BA52" s="715"/>
      <c r="BB52" s="716"/>
      <c r="BC52" s="715"/>
      <c r="BD52" s="716"/>
      <c r="BE52" s="716"/>
      <c r="BF52" s="716"/>
      <c r="BG52" s="716"/>
      <c r="BH52" s="715"/>
      <c r="BI52" s="715"/>
      <c r="BJ52" s="715"/>
      <c r="BK52" s="715"/>
      <c r="BL52" s="716"/>
      <c r="BM52" s="715"/>
      <c r="BN52" s="716"/>
      <c r="BO52" s="716"/>
      <c r="BP52" s="716"/>
      <c r="BQ52" s="716"/>
      <c r="BR52" s="715"/>
      <c r="BS52" s="715"/>
      <c r="BT52" s="715"/>
      <c r="BU52" s="715"/>
      <c r="BV52" s="716"/>
      <c r="BW52" s="715"/>
      <c r="BX52" s="716"/>
      <c r="BY52" s="716"/>
    </row>
    <row r="53" spans="1:83" x14ac:dyDescent="0.2">
      <c r="A53" s="14"/>
      <c r="C53" s="26"/>
      <c r="E53" s="21"/>
      <c r="F53" s="21"/>
      <c r="G53" s="21"/>
      <c r="H53" s="21"/>
      <c r="I53" s="21"/>
      <c r="J53" s="21"/>
      <c r="K53" s="21"/>
      <c r="L53" s="21"/>
    </row>
    <row r="54" spans="1:83" ht="13.5" thickBot="1" x14ac:dyDescent="0.25">
      <c r="A54" s="14"/>
      <c r="B54" s="16"/>
      <c r="C54" s="31"/>
      <c r="E54" s="21"/>
      <c r="F54" s="21"/>
      <c r="G54" s="21"/>
      <c r="H54" s="21"/>
      <c r="I54" s="21"/>
      <c r="J54" s="21"/>
      <c r="K54" s="21"/>
      <c r="L54" s="21"/>
    </row>
    <row r="55" spans="1:83" ht="39" thickBot="1" x14ac:dyDescent="0.25">
      <c r="A55" s="14" t="s">
        <v>290</v>
      </c>
      <c r="B55" s="19"/>
      <c r="C55" s="21"/>
      <c r="J55" s="1" t="s">
        <v>229</v>
      </c>
      <c r="K55" s="21">
        <f>+'Base ETESA'!H9</f>
        <v>15448790.777728345</v>
      </c>
      <c r="L55" s="1" t="s">
        <v>291</v>
      </c>
      <c r="T55" s="1" t="s">
        <v>229</v>
      </c>
      <c r="U55" s="21">
        <f>+'Base ETESA'!O9</f>
        <v>22833267</v>
      </c>
      <c r="AD55" s="1" t="s">
        <v>229</v>
      </c>
      <c r="AE55" s="21">
        <f>+'Base ETESA'!V9</f>
        <v>23144265</v>
      </c>
      <c r="AJ55" s="21"/>
      <c r="AN55" s="1" t="s">
        <v>229</v>
      </c>
      <c r="AO55" s="21">
        <f>+'Base ETESA'!AC9</f>
        <v>22437002</v>
      </c>
      <c r="AR55" s="1140" t="s">
        <v>1626</v>
      </c>
      <c r="AS55" s="1139" t="s">
        <v>1625</v>
      </c>
      <c r="AZ55" s="21">
        <f>AT77+BD77+BN77+BX77</f>
        <v>251231385.24999705</v>
      </c>
      <c r="BA55" s="21">
        <f>AZ55-CB147</f>
        <v>199084100.26999706</v>
      </c>
    </row>
    <row r="56" spans="1:83" x14ac:dyDescent="0.2">
      <c r="B56" s="16"/>
      <c r="C56" s="18"/>
      <c r="D56" s="16"/>
      <c r="E56" s="61"/>
      <c r="F56" s="16"/>
      <c r="G56" s="16"/>
      <c r="I56" s="727"/>
      <c r="J56" s="9" t="s">
        <v>52</v>
      </c>
      <c r="K56" s="722">
        <f>+'Base ETESA'!H88</f>
        <v>748662.85679999925</v>
      </c>
      <c r="T56" s="9" t="s">
        <v>52</v>
      </c>
      <c r="U56" s="722">
        <f>+'Base ETESA'!O88</f>
        <v>945495</v>
      </c>
      <c r="AD56" s="9" t="s">
        <v>52</v>
      </c>
      <c r="AE56" s="722">
        <f>+'Base ETESA'!V88</f>
        <v>830171</v>
      </c>
      <c r="AN56" s="9" t="s">
        <v>52</v>
      </c>
      <c r="AO56" s="722">
        <f>+'Base ETESA'!AC88</f>
        <v>674265</v>
      </c>
    </row>
    <row r="57" spans="1:83" x14ac:dyDescent="0.2">
      <c r="A57" s="16"/>
      <c r="C57" s="18"/>
      <c r="D57" s="19"/>
      <c r="E57" s="19"/>
      <c r="F57" s="16"/>
      <c r="G57" s="16"/>
      <c r="H57" s="16"/>
      <c r="I57" s="16"/>
      <c r="J57" s="1" t="s">
        <v>228</v>
      </c>
      <c r="K57" s="21">
        <f>+'Base ETESA'!H115</f>
        <v>2694965.7599997595</v>
      </c>
      <c r="T57" s="1" t="s">
        <v>228</v>
      </c>
      <c r="U57" s="21">
        <f>+'Base ETESA'!O115</f>
        <v>-12422213</v>
      </c>
      <c r="AD57" s="1" t="s">
        <v>228</v>
      </c>
      <c r="AE57" s="21">
        <f>+'Base ETESA'!V115</f>
        <v>2708475</v>
      </c>
      <c r="AN57" s="1" t="s">
        <v>228</v>
      </c>
      <c r="AO57" s="21">
        <f>+'Base ETESA'!AC115</f>
        <v>4409977</v>
      </c>
    </row>
    <row r="58" spans="1:83" s="35" customFormat="1" ht="38.25" outlineLevel="1" x14ac:dyDescent="0.25">
      <c r="A58" s="33"/>
      <c r="B58" s="33"/>
      <c r="C58" s="34" t="str">
        <f t="shared" ref="C58" si="5">+CONCATENATE(C$59," ",C$60)</f>
        <v>COSTO AL 42735</v>
      </c>
      <c r="D58" s="34" t="str">
        <f t="shared" ref="D58:H58" si="6">+CONCATENATE(F$59," ",F$60)</f>
        <v>2017 ADICIONES</v>
      </c>
      <c r="E58" s="34" t="str">
        <f t="shared" si="6"/>
        <v>2017 RETIROS</v>
      </c>
      <c r="F58" s="34" t="str">
        <f t="shared" si="6"/>
        <v>2017 RECLASIFICACIONES</v>
      </c>
      <c r="G58" s="34" t="str">
        <f t="shared" si="6"/>
        <v xml:space="preserve">2017 AJUSTES </v>
      </c>
      <c r="H58" s="34" t="str">
        <f t="shared" si="6"/>
        <v>COSTO AL 43100</v>
      </c>
      <c r="I58" s="34" t="str">
        <f>+CONCATENATE(L$59," ",L$60)</f>
        <v>DEPRECIACION 43100</v>
      </c>
      <c r="J58" s="34" t="str">
        <f>+CONCATENATE(M$59," ",M$60)</f>
        <v>VALOR NETO 43100</v>
      </c>
      <c r="K58" s="34"/>
      <c r="M58" s="34" t="str">
        <f t="shared" ref="M58:R58" si="7">+CONCATENATE(O$59," ",O$60)</f>
        <v>COSTO AL 43100</v>
      </c>
      <c r="N58" s="34" t="str">
        <f t="shared" si="7"/>
        <v>2018 ADICIONES</v>
      </c>
      <c r="O58" s="34" t="str">
        <f t="shared" si="7"/>
        <v>2018 RETIROS</v>
      </c>
      <c r="P58" s="34" t="str">
        <f t="shared" si="7"/>
        <v>2018 RECLASIFICACIONES</v>
      </c>
      <c r="Q58" s="34" t="str">
        <f t="shared" si="7"/>
        <v xml:space="preserve">2018 AJUSTES </v>
      </c>
      <c r="R58" s="34" t="str">
        <f t="shared" si="7"/>
        <v>COSTO AL 43465</v>
      </c>
      <c r="S58" s="34" t="str">
        <f>+CONCATENATE(V$59," ",V$60)</f>
        <v>DEPRECIACION 43465</v>
      </c>
      <c r="T58" s="34" t="str">
        <f>+CONCATENATE(W$59," ",W$60)</f>
        <v>VALOR NETO 43465</v>
      </c>
      <c r="U58" s="34"/>
      <c r="W58" s="34" t="str">
        <f t="shared" ref="W58:AB58" si="8">+CONCATENATE(Y$59," ",Y$60)</f>
        <v>COSTO AL 43465</v>
      </c>
      <c r="X58" s="34" t="str">
        <f t="shared" si="8"/>
        <v>2019 ADICIONES</v>
      </c>
      <c r="Y58" s="34" t="str">
        <f t="shared" si="8"/>
        <v>2019 RETIROS</v>
      </c>
      <c r="Z58" s="34" t="str">
        <f t="shared" si="8"/>
        <v>2019 RECLASIFICACIONES</v>
      </c>
      <c r="AA58" s="34" t="str">
        <f t="shared" si="8"/>
        <v xml:space="preserve">2019 AJUSTES </v>
      </c>
      <c r="AB58" s="34" t="str">
        <f t="shared" si="8"/>
        <v>COSTO AL 43830</v>
      </c>
      <c r="AC58" s="34" t="str">
        <f>+CONCATENATE(AF$59," ",AF$60)</f>
        <v>DEPRECIACION 43830</v>
      </c>
      <c r="AD58" s="34" t="str">
        <f>+CONCATENATE(AG$59," ",AG$60)</f>
        <v>VALOR NETO 43830</v>
      </c>
      <c r="AE58" s="34"/>
      <c r="AG58" s="34" t="str">
        <f t="shared" ref="AG58:AL58" si="9">+CONCATENATE(AI$59," ",AI$60)</f>
        <v>COSTO AL 43830</v>
      </c>
      <c r="AH58" s="34" t="str">
        <f t="shared" si="9"/>
        <v>2020 ADICIONES</v>
      </c>
      <c r="AI58" s="34" t="str">
        <f t="shared" si="9"/>
        <v>2020 RETIROS</v>
      </c>
      <c r="AJ58" s="34" t="str">
        <f t="shared" si="9"/>
        <v>2020 RECLASIFICACIONES</v>
      </c>
      <c r="AK58" s="34" t="str">
        <f t="shared" si="9"/>
        <v xml:space="preserve">2020 AJUSTES </v>
      </c>
      <c r="AL58" s="34" t="str">
        <f t="shared" si="9"/>
        <v>COSTO AL 44196</v>
      </c>
      <c r="AM58" s="34" t="str">
        <f>+CONCATENATE(AP$59," ",AP$60)</f>
        <v>DEPRECIACION 44196</v>
      </c>
      <c r="AN58" s="34" t="str">
        <f>+CONCATENATE(AQ$59," ",AQ$60)</f>
        <v>VALOR NETO 44196</v>
      </c>
      <c r="AO58" s="34"/>
    </row>
    <row r="59" spans="1:83" s="487" customFormat="1" x14ac:dyDescent="0.2">
      <c r="B59" s="489"/>
      <c r="C59" s="584" t="s">
        <v>292</v>
      </c>
      <c r="D59" s="584" t="s">
        <v>293</v>
      </c>
      <c r="E59" s="584" t="s">
        <v>294</v>
      </c>
      <c r="F59" s="488">
        <v>2017</v>
      </c>
      <c r="G59" s="488">
        <v>2017</v>
      </c>
      <c r="H59" s="488">
        <v>2017</v>
      </c>
      <c r="I59" s="488">
        <v>2017</v>
      </c>
      <c r="J59" s="488" t="s">
        <v>292</v>
      </c>
      <c r="K59" s="488" t="s">
        <v>295</v>
      </c>
      <c r="L59" s="488" t="s">
        <v>293</v>
      </c>
      <c r="M59" s="488" t="s">
        <v>294</v>
      </c>
      <c r="O59" s="584" t="s">
        <v>292</v>
      </c>
      <c r="P59" s="488">
        <v>2018</v>
      </c>
      <c r="Q59" s="488">
        <v>2018</v>
      </c>
      <c r="R59" s="488">
        <v>2018</v>
      </c>
      <c r="S59" s="488">
        <v>2018</v>
      </c>
      <c r="T59" s="488" t="s">
        <v>292</v>
      </c>
      <c r="U59" s="488" t="s">
        <v>296</v>
      </c>
      <c r="V59" s="488" t="s">
        <v>293</v>
      </c>
      <c r="W59" s="488" t="s">
        <v>294</v>
      </c>
      <c r="Y59" s="488" t="s">
        <v>292</v>
      </c>
      <c r="Z59" s="488">
        <v>2019</v>
      </c>
      <c r="AA59" s="488">
        <v>2019</v>
      </c>
      <c r="AB59" s="488">
        <v>2019</v>
      </c>
      <c r="AC59" s="488">
        <v>2019</v>
      </c>
      <c r="AD59" s="488" t="s">
        <v>292</v>
      </c>
      <c r="AE59" s="488" t="s">
        <v>296</v>
      </c>
      <c r="AF59" s="488" t="s">
        <v>293</v>
      </c>
      <c r="AG59" s="488" t="s">
        <v>294</v>
      </c>
      <c r="AI59" s="488" t="s">
        <v>292</v>
      </c>
      <c r="AJ59" s="488">
        <v>2020</v>
      </c>
      <c r="AK59" s="488">
        <v>2020</v>
      </c>
      <c r="AL59" s="488">
        <v>2020</v>
      </c>
      <c r="AM59" s="488">
        <v>2020</v>
      </c>
      <c r="AN59" s="488" t="s">
        <v>292</v>
      </c>
      <c r="AO59" s="488" t="s">
        <v>295</v>
      </c>
      <c r="AP59" s="488" t="s">
        <v>293</v>
      </c>
      <c r="AQ59" s="488" t="s">
        <v>294</v>
      </c>
      <c r="AS59" s="488" t="s">
        <v>292</v>
      </c>
      <c r="AT59" s="488">
        <v>2021</v>
      </c>
      <c r="AU59" s="488">
        <f>AT59</f>
        <v>2021</v>
      </c>
      <c r="AV59" s="488">
        <f t="shared" ref="AV59:AW59" si="10">AU59</f>
        <v>2021</v>
      </c>
      <c r="AW59" s="488">
        <f t="shared" si="10"/>
        <v>2021</v>
      </c>
      <c r="AX59" s="488" t="s">
        <v>292</v>
      </c>
      <c r="AY59" s="488" t="s">
        <v>295</v>
      </c>
      <c r="AZ59" s="488" t="s">
        <v>293</v>
      </c>
      <c r="BA59" s="488" t="s">
        <v>294</v>
      </c>
      <c r="BC59" s="488" t="s">
        <v>292</v>
      </c>
      <c r="BD59" s="488">
        <v>2022</v>
      </c>
      <c r="BE59" s="488">
        <f>BD59</f>
        <v>2022</v>
      </c>
      <c r="BF59" s="488">
        <f t="shared" ref="BF59:BG59" si="11">BE59</f>
        <v>2022</v>
      </c>
      <c r="BG59" s="488">
        <f t="shared" si="11"/>
        <v>2022</v>
      </c>
      <c r="BH59" s="488" t="s">
        <v>292</v>
      </c>
      <c r="BI59" s="488" t="s">
        <v>295</v>
      </c>
      <c r="BJ59" s="488" t="s">
        <v>293</v>
      </c>
      <c r="BK59" s="488" t="s">
        <v>294</v>
      </c>
      <c r="BM59" s="488" t="s">
        <v>292</v>
      </c>
      <c r="BN59" s="488">
        <v>2023</v>
      </c>
      <c r="BO59" s="488">
        <f>BN59</f>
        <v>2023</v>
      </c>
      <c r="BP59" s="488">
        <f t="shared" ref="BP59:BQ59" si="12">BO59</f>
        <v>2023</v>
      </c>
      <c r="BQ59" s="488">
        <f t="shared" si="12"/>
        <v>2023</v>
      </c>
      <c r="BR59" s="488" t="s">
        <v>292</v>
      </c>
      <c r="BS59" s="488" t="s">
        <v>295</v>
      </c>
      <c r="BT59" s="488" t="s">
        <v>293</v>
      </c>
      <c r="BU59" s="488" t="s">
        <v>294</v>
      </c>
      <c r="BW59" s="488" t="s">
        <v>292</v>
      </c>
      <c r="BX59" s="488">
        <v>2024</v>
      </c>
      <c r="BY59" s="488">
        <f>BX59</f>
        <v>2024</v>
      </c>
      <c r="BZ59" s="488">
        <f t="shared" ref="BZ59:CA59" si="13">BY59</f>
        <v>2024</v>
      </c>
      <c r="CA59" s="488">
        <f t="shared" si="13"/>
        <v>2024</v>
      </c>
      <c r="CB59" s="488" t="s">
        <v>292</v>
      </c>
      <c r="CC59" s="488" t="s">
        <v>295</v>
      </c>
      <c r="CD59" s="488" t="s">
        <v>293</v>
      </c>
      <c r="CE59" s="488" t="s">
        <v>294</v>
      </c>
    </row>
    <row r="60" spans="1:83" s="487" customFormat="1" ht="13.5" thickBot="1" x14ac:dyDescent="0.25">
      <c r="C60" s="585">
        <v>42735</v>
      </c>
      <c r="D60" s="585">
        <v>42735</v>
      </c>
      <c r="E60" s="585">
        <v>42735</v>
      </c>
      <c r="F60" s="586" t="s">
        <v>160</v>
      </c>
      <c r="G60" s="586" t="s">
        <v>297</v>
      </c>
      <c r="H60" s="587" t="s">
        <v>298</v>
      </c>
      <c r="I60" s="586" t="s">
        <v>299</v>
      </c>
      <c r="J60" s="585">
        <v>43100</v>
      </c>
      <c r="K60" s="585" t="s">
        <v>300</v>
      </c>
      <c r="L60" s="585">
        <v>43100</v>
      </c>
      <c r="M60" s="585">
        <v>43100</v>
      </c>
      <c r="O60" s="585">
        <v>43100</v>
      </c>
      <c r="P60" s="586" t="s">
        <v>160</v>
      </c>
      <c r="Q60" s="586" t="s">
        <v>297</v>
      </c>
      <c r="R60" s="587" t="s">
        <v>298</v>
      </c>
      <c r="S60" s="586" t="s">
        <v>299</v>
      </c>
      <c r="T60" s="585">
        <v>43465</v>
      </c>
      <c r="U60" s="585" t="s">
        <v>25</v>
      </c>
      <c r="V60" s="585">
        <v>43465</v>
      </c>
      <c r="W60" s="585">
        <v>43465</v>
      </c>
      <c r="Y60" s="585">
        <v>43465</v>
      </c>
      <c r="Z60" s="586" t="s">
        <v>160</v>
      </c>
      <c r="AA60" s="586" t="s">
        <v>297</v>
      </c>
      <c r="AB60" s="587" t="s">
        <v>298</v>
      </c>
      <c r="AC60" s="586" t="s">
        <v>299</v>
      </c>
      <c r="AD60" s="585">
        <v>43830</v>
      </c>
      <c r="AE60" s="585" t="s">
        <v>25</v>
      </c>
      <c r="AF60" s="585">
        <v>43830</v>
      </c>
      <c r="AG60" s="585">
        <v>43830</v>
      </c>
      <c r="AI60" s="585">
        <v>43830</v>
      </c>
      <c r="AJ60" s="586" t="s">
        <v>160</v>
      </c>
      <c r="AK60" s="586" t="s">
        <v>297</v>
      </c>
      <c r="AL60" s="587" t="s">
        <v>298</v>
      </c>
      <c r="AM60" s="586" t="s">
        <v>299</v>
      </c>
      <c r="AN60" s="585">
        <v>44196</v>
      </c>
      <c r="AO60" s="585" t="s">
        <v>25</v>
      </c>
      <c r="AP60" s="585">
        <v>44196</v>
      </c>
      <c r="AQ60" s="585">
        <v>44196</v>
      </c>
      <c r="AS60" s="585">
        <v>44196</v>
      </c>
      <c r="AT60" s="586" t="s">
        <v>160</v>
      </c>
      <c r="AU60" s="586" t="s">
        <v>297</v>
      </c>
      <c r="AV60" s="587" t="s">
        <v>298</v>
      </c>
      <c r="AW60" s="586" t="s">
        <v>299</v>
      </c>
      <c r="AX60" s="585">
        <v>44561</v>
      </c>
      <c r="AY60" s="585" t="s">
        <v>25</v>
      </c>
      <c r="AZ60" s="585">
        <f>AX60</f>
        <v>44561</v>
      </c>
      <c r="BA60" s="585">
        <f>AZ60</f>
        <v>44561</v>
      </c>
      <c r="BC60" s="585">
        <v>44561</v>
      </c>
      <c r="BD60" s="586" t="s">
        <v>160</v>
      </c>
      <c r="BE60" s="586" t="s">
        <v>297</v>
      </c>
      <c r="BF60" s="587" t="s">
        <v>298</v>
      </c>
      <c r="BG60" s="586" t="s">
        <v>299</v>
      </c>
      <c r="BH60" s="585">
        <v>44926</v>
      </c>
      <c r="BI60" s="585" t="s">
        <v>25</v>
      </c>
      <c r="BJ60" s="585">
        <f>BH60</f>
        <v>44926</v>
      </c>
      <c r="BK60" s="585">
        <f>BJ60</f>
        <v>44926</v>
      </c>
      <c r="BM60" s="585">
        <v>44926</v>
      </c>
      <c r="BN60" s="586" t="s">
        <v>160</v>
      </c>
      <c r="BO60" s="586" t="s">
        <v>297</v>
      </c>
      <c r="BP60" s="587" t="s">
        <v>298</v>
      </c>
      <c r="BQ60" s="586" t="s">
        <v>299</v>
      </c>
      <c r="BR60" s="585">
        <v>45291</v>
      </c>
      <c r="BS60" s="585" t="s">
        <v>25</v>
      </c>
      <c r="BT60" s="585">
        <f>BR60</f>
        <v>45291</v>
      </c>
      <c r="BU60" s="585">
        <f>BT60</f>
        <v>45291</v>
      </c>
      <c r="BW60" s="585">
        <v>45291</v>
      </c>
      <c r="BX60" s="586" t="s">
        <v>160</v>
      </c>
      <c r="BY60" s="586" t="s">
        <v>297</v>
      </c>
      <c r="BZ60" s="587" t="s">
        <v>298</v>
      </c>
      <c r="CA60" s="586" t="s">
        <v>299</v>
      </c>
      <c r="CB60" s="585">
        <v>45657</v>
      </c>
      <c r="CC60" s="585" t="s">
        <v>25</v>
      </c>
      <c r="CD60" s="585">
        <f>CB60</f>
        <v>45657</v>
      </c>
      <c r="CE60" s="585">
        <f>CD60</f>
        <v>45657</v>
      </c>
    </row>
    <row r="61" spans="1:83" x14ac:dyDescent="0.2">
      <c r="A61" s="13"/>
      <c r="B61" s="19" t="s">
        <v>301</v>
      </c>
      <c r="C61" s="18"/>
      <c r="D61" s="18"/>
      <c r="E61" s="18"/>
      <c r="F61" s="14"/>
      <c r="G61" s="14"/>
      <c r="H61" s="14"/>
      <c r="I61" s="18"/>
      <c r="J61" s="14"/>
      <c r="K61" s="14"/>
      <c r="L61" s="14"/>
      <c r="M61" s="14"/>
      <c r="O61" s="18"/>
      <c r="P61" s="14"/>
      <c r="Q61" s="14"/>
      <c r="R61" s="14"/>
      <c r="S61" s="18"/>
      <c r="T61" s="14"/>
      <c r="U61" s="14"/>
      <c r="V61" s="14"/>
      <c r="W61" s="14"/>
      <c r="Y61" s="18"/>
      <c r="Z61" s="14"/>
      <c r="AA61" s="14"/>
      <c r="AB61" s="14"/>
      <c r="AC61" s="18"/>
      <c r="AD61" s="14"/>
      <c r="AE61" s="14"/>
      <c r="AF61" s="14"/>
      <c r="AG61" s="14"/>
      <c r="AI61" s="18"/>
      <c r="AJ61" s="14"/>
      <c r="AK61" s="14"/>
      <c r="AL61" s="14"/>
      <c r="AM61" s="18"/>
      <c r="AN61" s="14"/>
      <c r="AO61" s="14"/>
      <c r="AP61" s="14"/>
      <c r="AQ61" s="14"/>
      <c r="AS61" s="18"/>
      <c r="BC61" s="18"/>
      <c r="BM61" s="18"/>
      <c r="BW61" s="18"/>
    </row>
    <row r="62" spans="1:83" ht="16.5" customHeight="1" outlineLevel="1" x14ac:dyDescent="0.2">
      <c r="A62" s="14" t="str">
        <f t="shared" ref="A62:A77" si="14">+$B$61</f>
        <v>SPT GyD</v>
      </c>
      <c r="B62" s="1" t="s">
        <v>302</v>
      </c>
      <c r="C62" s="26">
        <v>4457611.5500000007</v>
      </c>
      <c r="D62" s="26">
        <v>0</v>
      </c>
      <c r="E62" s="26">
        <v>4457611.5500000007</v>
      </c>
      <c r="F62" s="26"/>
      <c r="G62" s="26">
        <v>0</v>
      </c>
      <c r="H62" s="26">
        <v>0</v>
      </c>
      <c r="I62" s="26">
        <v>0</v>
      </c>
      <c r="J62" s="21">
        <f t="shared" ref="J62:J76" si="15">+C62+F62-G62+H62+I62</f>
        <v>4457611.5500000007</v>
      </c>
      <c r="K62" s="21"/>
      <c r="L62" s="21">
        <f>+D62+K62</f>
        <v>0</v>
      </c>
      <c r="M62" s="21">
        <f>+J62-L62</f>
        <v>4457611.5500000007</v>
      </c>
      <c r="N62" s="14"/>
      <c r="O62" s="21">
        <f>+J62</f>
        <v>4457611.5500000007</v>
      </c>
      <c r="P62" s="15"/>
      <c r="Q62" s="15">
        <v>0</v>
      </c>
      <c r="R62" s="15">
        <v>0</v>
      </c>
      <c r="S62" s="15">
        <v>0</v>
      </c>
      <c r="T62" s="21">
        <f>+O62+P62-Q62+R62+S62</f>
        <v>4457611.5500000007</v>
      </c>
      <c r="U62" s="21"/>
      <c r="V62" s="21">
        <f>+L62+U62</f>
        <v>0</v>
      </c>
      <c r="W62" s="21">
        <f>+T62-V62</f>
        <v>4457611.5500000007</v>
      </c>
      <c r="Y62" s="21">
        <f>+T62</f>
        <v>4457611.5500000007</v>
      </c>
      <c r="Z62" s="26"/>
      <c r="AA62" s="26">
        <v>0</v>
      </c>
      <c r="AB62" s="26">
        <v>0</v>
      </c>
      <c r="AC62" s="26">
        <v>0</v>
      </c>
      <c r="AD62" s="21">
        <f t="shared" ref="AD62:AD76" si="16">+Y62+Z62-AA62+AB62+AC62</f>
        <v>4457611.5500000007</v>
      </c>
      <c r="AE62" s="21"/>
      <c r="AF62" s="21">
        <f>+V62+AE62</f>
        <v>0</v>
      </c>
      <c r="AG62" s="21">
        <f>+AD62-AF62</f>
        <v>4457611.5500000007</v>
      </c>
      <c r="AI62" s="21">
        <f>+AD62</f>
        <v>4457611.5500000007</v>
      </c>
      <c r="AJ62" s="27"/>
      <c r="AK62" s="27"/>
      <c r="AL62" s="27"/>
      <c r="AM62" s="27"/>
      <c r="AN62" s="14">
        <f>+AI62+AJ62-AK62+AL62+AM62+IF($AS$55="si",AI80+AJ80-AK80+AL80+AM80,)</f>
        <v>4457611.5500000007</v>
      </c>
      <c r="AO62" s="21"/>
      <c r="AP62" s="21">
        <f>+AF62+AO62+IF($AS$55="si",AF80+AO80,)</f>
        <v>0</v>
      </c>
      <c r="AQ62" s="14">
        <f t="shared" ref="AQ62:AQ75" si="17">+AN62-AP62</f>
        <v>4457611.5500000007</v>
      </c>
      <c r="AS62" s="21">
        <f>AN62</f>
        <v>4457611.5500000007</v>
      </c>
      <c r="AT62" s="21">
        <f>SUMIFS('Base ETESA'!$AJ:$AJ,'Base ETESA'!$BO:$BO,$A62,'Base ETESA'!$BP:$BP,$B62)</f>
        <v>0</v>
      </c>
      <c r="AX62" s="21">
        <f>+AS62+AT62-AU62+AV62+AW62</f>
        <v>4457611.5500000007</v>
      </c>
      <c r="AY62" s="21">
        <f>IF(AS$55="si",SUMIFS(BS01_BS02!$I$72:$I$79,BS01_BS02!$N$72:$N$79,$A62,BS01_BS02!$O$72:$O$79,$B62),SUMIFS(BS01_BS02!$S$72:$S$79,BS01_BS02!$O$72:$O$79,$B62))</f>
        <v>0</v>
      </c>
      <c r="AZ62" s="21">
        <f>+AP62+AY62</f>
        <v>0</v>
      </c>
      <c r="BA62" s="21">
        <f t="shared" ref="BA62:BA75" si="18">+AX62-AZ62</f>
        <v>4457611.5500000007</v>
      </c>
      <c r="BC62" s="21">
        <f>+AX62</f>
        <v>4457611.5500000007</v>
      </c>
      <c r="BD62" s="21">
        <f>SUMIFS('Base ETESA'!$AQ:$AQ,'Base ETESA'!$BO:$BO,$A62,'Base ETESA'!$BP:$BP,$B62)</f>
        <v>0</v>
      </c>
      <c r="BH62" s="21">
        <f>+BC62+BD62-BE62+BF62+BG62</f>
        <v>4457611.5500000007</v>
      </c>
      <c r="BI62" s="21">
        <f>IF(AS$55="si",SUMIFS(BS01_BS02!$J$72:$J$79,BS01_BS02!$N$72:$N$79,$A62,BS01_BS02!$O$72:$O$79,$B62),SUMIFS(BS01_BS02!$T$72:$T$79,BS01_BS02!$O$72:$O$79,$B62))</f>
        <v>0</v>
      </c>
      <c r="BJ62" s="21">
        <f>+AZ62+BI62</f>
        <v>0</v>
      </c>
      <c r="BK62" s="21">
        <f t="shared" ref="BK62:BK75" si="19">+BH62-BJ62</f>
        <v>4457611.5500000007</v>
      </c>
      <c r="BM62" s="21">
        <f>+BH62</f>
        <v>4457611.5500000007</v>
      </c>
      <c r="BN62" s="21">
        <f>SUMIFS('Base ETESA'!$AX:$AX,'Base ETESA'!$BO:$BO,$A62,'Base ETESA'!$BP:$BP,$B62)</f>
        <v>0</v>
      </c>
      <c r="BR62" s="21">
        <f>+BM62+BN62-BO62+BP62+BQ62</f>
        <v>4457611.5500000007</v>
      </c>
      <c r="BS62" s="21">
        <f>IF(AS$55="si",SUMIFS(BS01_BS02!$K$72:$K$79,BS01_BS02!$N$72:$N$79,$A62,BS01_BS02!$O$72:$O$79,$B62),SUMIFS(BS01_BS02!$U$72:$U$79,BS01_BS02!$O$72:$O$79,$B62))</f>
        <v>0</v>
      </c>
      <c r="BT62" s="21">
        <f>+BJ62+BS62</f>
        <v>0</v>
      </c>
      <c r="BU62" s="21">
        <f t="shared" ref="BU62:BU75" si="20">+BR62-BT62</f>
        <v>4457611.5500000007</v>
      </c>
      <c r="BW62" s="21">
        <f>+BR62</f>
        <v>4457611.5500000007</v>
      </c>
      <c r="BX62" s="21">
        <f>SUMIFS('Base ETESA'!$BE:$BE,'Base ETESA'!$BO:$BO,$A62,'Base ETESA'!$BP:$BP,$B62)</f>
        <v>0</v>
      </c>
      <c r="CB62" s="21">
        <f>+BW62+BX62-BY62+BZ62+CA62</f>
        <v>4457611.5500000007</v>
      </c>
      <c r="CC62" s="21">
        <f>IF(AS$55="si",SUMIFS(BS01_BS02!$L$72:$L$79,BS01_BS02!$N$72:$N$79,$A62,BS01_BS02!$O$72:$O$79,$B62),SUMIFS(BS01_BS02!$V$72:$V$79,BS01_BS02!$O$72:$O$79,$B62))</f>
        <v>0</v>
      </c>
      <c r="CD62" s="21">
        <f>+BT62+CC62</f>
        <v>0</v>
      </c>
      <c r="CE62" s="21">
        <f t="shared" ref="CE62:CE75" si="21">+CB62-CD62</f>
        <v>4457611.5500000007</v>
      </c>
    </row>
    <row r="63" spans="1:83" ht="16.5" customHeight="1" outlineLevel="1" x14ac:dyDescent="0.2">
      <c r="A63" s="14" t="str">
        <f t="shared" si="14"/>
        <v>SPT GyD</v>
      </c>
      <c r="B63" s="1" t="s">
        <v>303</v>
      </c>
      <c r="C63" s="26">
        <v>15954394.84</v>
      </c>
      <c r="D63" s="26">
        <v>8809191.7699999996</v>
      </c>
      <c r="E63" s="26">
        <v>7145203.0700000003</v>
      </c>
      <c r="F63" s="26"/>
      <c r="G63" s="26">
        <v>0</v>
      </c>
      <c r="H63" s="26">
        <v>0</v>
      </c>
      <c r="I63" s="26">
        <v>0</v>
      </c>
      <c r="J63" s="21">
        <f t="shared" si="15"/>
        <v>15954394.84</v>
      </c>
      <c r="K63" s="320">
        <f>+K55-12046324</f>
        <v>3402466.7777283452</v>
      </c>
      <c r="L63" s="21">
        <f t="shared" ref="L63:L76" si="22">+D63+K63</f>
        <v>12211658.547728345</v>
      </c>
      <c r="M63" s="21">
        <f t="shared" ref="M63:M76" si="23">+J63-L63</f>
        <v>3742736.2922716551</v>
      </c>
      <c r="N63" s="14"/>
      <c r="O63" s="21">
        <f t="shared" ref="O63:O76" si="24">+J63</f>
        <v>15954394.84</v>
      </c>
      <c r="P63" s="15"/>
      <c r="Q63" s="15">
        <v>0</v>
      </c>
      <c r="R63" s="15">
        <v>0</v>
      </c>
      <c r="S63" s="15">
        <v>0</v>
      </c>
      <c r="T63" s="21">
        <f t="shared" ref="T63:T76" si="25">+O63+P63-Q63+R63+S63</f>
        <v>15954394.84</v>
      </c>
      <c r="U63" s="320">
        <f>+U55-24064955</f>
        <v>-1231688</v>
      </c>
      <c r="V63" s="21">
        <f>+L63+U63</f>
        <v>10979970.547728345</v>
      </c>
      <c r="W63" s="21">
        <f t="shared" ref="W63:W76" si="26">+T63-V63</f>
        <v>4974424.2922716551</v>
      </c>
      <c r="Y63" s="21">
        <f t="shared" ref="Y63:Y76" si="27">+T63</f>
        <v>15954394.84</v>
      </c>
      <c r="Z63" s="26"/>
      <c r="AA63" s="26">
        <v>0</v>
      </c>
      <c r="AB63" s="26">
        <v>0</v>
      </c>
      <c r="AC63" s="26">
        <v>0</v>
      </c>
      <c r="AD63" s="21">
        <f t="shared" si="16"/>
        <v>15954394.84</v>
      </c>
      <c r="AE63" s="320">
        <f>+AE55-24261204</f>
        <v>-1116939</v>
      </c>
      <c r="AF63" s="21">
        <f t="shared" ref="AF63:AF76" si="28">+V63+AE63</f>
        <v>9863031.5477283448</v>
      </c>
      <c r="AG63" s="21">
        <f t="shared" ref="AG63:AG76" si="29">+AD63-AF63</f>
        <v>6091363.2922716551</v>
      </c>
      <c r="AI63" s="21">
        <f t="shared" ref="AI63:AI76" si="30">+AD63</f>
        <v>15954394.84</v>
      </c>
      <c r="AJ63" s="27"/>
      <c r="AK63" s="27"/>
      <c r="AL63" s="27"/>
      <c r="AM63" s="27"/>
      <c r="AN63" s="14">
        <f t="shared" ref="AN63:AN76" si="31">+AI63+AJ63-AK63+AL63+AM63+IF($AS$55="si",AI81+AJ81-AK81+AL81+AM81,)</f>
        <v>15954394.84</v>
      </c>
      <c r="AO63" s="320">
        <f>+AO55-25224895</f>
        <v>-2787893</v>
      </c>
      <c r="AP63" s="21">
        <f t="shared" ref="AP63:AP76" si="32">+AF63+AO63+IF($AS$55="si",AF81+AO81,)</f>
        <v>7075138.5477283448</v>
      </c>
      <c r="AQ63" s="14">
        <f t="shared" si="17"/>
        <v>8879256.2922716551</v>
      </c>
      <c r="AS63" s="21">
        <f t="shared" ref="AS63:AS76" si="33">AN63</f>
        <v>15954394.84</v>
      </c>
      <c r="AT63" s="21">
        <f>SUMIFS('Base ETESA'!$AJ:$AJ,'Base ETESA'!$BO:$BO,$A63,'Base ETESA'!$BP:$BP,$B63)</f>
        <v>0</v>
      </c>
      <c r="AX63" s="21">
        <f>+AS63+AT63-AU63+AV63+AW63</f>
        <v>15954394.84</v>
      </c>
      <c r="AY63" s="21">
        <f>IF(AS$55="si",SUMIFS(BS01_BS02!$I$72:$I$79,BS01_BS02!$N$72:$N$79,$A63,BS01_BS02!$O$72:$O$79,$B63),SUMIFS(BS01_BS02!$S$72:$S$79,BS01_BS02!$O$72:$O$79,$B63))</f>
        <v>0</v>
      </c>
      <c r="AZ63" s="21">
        <f t="shared" ref="AZ63:AZ76" si="34">+AP63+AY63</f>
        <v>7075138.5477283448</v>
      </c>
      <c r="BA63" s="21">
        <f t="shared" si="18"/>
        <v>8879256.2922716551</v>
      </c>
      <c r="BC63" s="21">
        <f t="shared" ref="BC63:BC76" si="35">+AX63</f>
        <v>15954394.84</v>
      </c>
      <c r="BD63" s="21">
        <f>SUMIFS('Base ETESA'!$AQ:$AQ,'Base ETESA'!$BO:$BO,$A63,'Base ETESA'!$BP:$BP,$B63)</f>
        <v>0</v>
      </c>
      <c r="BH63" s="21">
        <f>+BC63+BD63-BE63+BF63+BG63</f>
        <v>15954394.84</v>
      </c>
      <c r="BI63" s="21">
        <f>IF(AS$55="si",SUMIFS(BS01_BS02!$J$72:$J$79,BS01_BS02!$N$72:$N$79,$A63,BS01_BS02!$O$72:$O$79,$B63),SUMIFS(BS01_BS02!$T$72:$T$79,BS01_BS02!$O$72:$O$79,$B63))</f>
        <v>0</v>
      </c>
      <c r="BJ63" s="21">
        <f t="shared" ref="BJ63:BJ76" si="36">+AZ63+BI63</f>
        <v>7075138.5477283448</v>
      </c>
      <c r="BK63" s="21">
        <f t="shared" si="19"/>
        <v>8879256.2922716551</v>
      </c>
      <c r="BM63" s="21">
        <f t="shared" ref="BM63:BM76" si="37">+BH63</f>
        <v>15954394.84</v>
      </c>
      <c r="BN63" s="21">
        <f>SUMIFS('Base ETESA'!$AX:$AX,'Base ETESA'!$BO:$BO,$A63,'Base ETESA'!$BP:$BP,$B63)</f>
        <v>0</v>
      </c>
      <c r="BR63" s="21">
        <f>+BM63+BN63-BO63+BP63+BQ63</f>
        <v>15954394.84</v>
      </c>
      <c r="BS63" s="21">
        <f>IF(AS$55="si",SUMIFS(BS01_BS02!$K$72:$K$79,BS01_BS02!$N$72:$N$79,$A63,BS01_BS02!$O$72:$O$79,$B63),SUMIFS(BS01_BS02!$U$72:$U$79,BS01_BS02!$O$72:$O$79,$B63))</f>
        <v>0</v>
      </c>
      <c r="BT63" s="21">
        <f t="shared" ref="BT63:BT76" si="38">+BJ63+BS63</f>
        <v>7075138.5477283448</v>
      </c>
      <c r="BU63" s="21">
        <f t="shared" si="20"/>
        <v>8879256.2922716551</v>
      </c>
      <c r="BW63" s="21">
        <f t="shared" ref="BW63:BW76" si="39">+BR63</f>
        <v>15954394.84</v>
      </c>
      <c r="BX63" s="21">
        <f>SUMIFS('Base ETESA'!$BE:$BE,'Base ETESA'!$BO:$BO,$A63,'Base ETESA'!$BP:$BP,$B63)</f>
        <v>0</v>
      </c>
      <c r="CB63" s="21">
        <f>+BW63+BX63-BY63+BZ63+CA63</f>
        <v>15954394.84</v>
      </c>
      <c r="CC63" s="21">
        <f>IF(AS$55="si",SUMIFS(BS01_BS02!$L$72:$L$79,BS01_BS02!$N$72:$N$79,$A63,BS01_BS02!$O$72:$O$79,$B63),SUMIFS(BS01_BS02!$V$72:$V$79,BS01_BS02!$O$72:$O$79,$B63))</f>
        <v>0</v>
      </c>
      <c r="CD63" s="21">
        <f t="shared" ref="CD63:CD76" si="40">+BT63+CC63</f>
        <v>7075138.5477283448</v>
      </c>
      <c r="CE63" s="21">
        <f t="shared" si="21"/>
        <v>8879256.2922716551</v>
      </c>
    </row>
    <row r="64" spans="1:83" ht="16.5" customHeight="1" outlineLevel="1" x14ac:dyDescent="0.2">
      <c r="A64" s="14" t="str">
        <f t="shared" si="14"/>
        <v>SPT GyD</v>
      </c>
      <c r="B64" s="1" t="s">
        <v>304</v>
      </c>
      <c r="C64" s="26">
        <v>758817.52</v>
      </c>
      <c r="D64" s="26">
        <v>171855.87</v>
      </c>
      <c r="E64" s="26">
        <v>586961.65</v>
      </c>
      <c r="F64" s="26"/>
      <c r="G64" s="26">
        <v>0</v>
      </c>
      <c r="H64" s="26">
        <v>0</v>
      </c>
      <c r="I64" s="26">
        <v>0</v>
      </c>
      <c r="J64" s="21">
        <f t="shared" si="15"/>
        <v>758817.52</v>
      </c>
      <c r="K64" s="21"/>
      <c r="L64" s="21">
        <f t="shared" si="22"/>
        <v>171855.87</v>
      </c>
      <c r="M64" s="21">
        <f>+J64-L64</f>
        <v>586961.65</v>
      </c>
      <c r="N64" s="14"/>
      <c r="O64" s="21">
        <f t="shared" si="24"/>
        <v>758817.52</v>
      </c>
      <c r="P64" s="15"/>
      <c r="Q64" s="15">
        <v>0</v>
      </c>
      <c r="R64" s="15">
        <v>0</v>
      </c>
      <c r="S64" s="15">
        <v>0</v>
      </c>
      <c r="T64" s="21">
        <f t="shared" si="25"/>
        <v>758817.52</v>
      </c>
      <c r="U64" s="21"/>
      <c r="V64" s="21">
        <f t="shared" ref="V64:V76" si="41">+L64+U64</f>
        <v>171855.87</v>
      </c>
      <c r="W64" s="21">
        <f t="shared" si="26"/>
        <v>586961.65</v>
      </c>
      <c r="Y64" s="21">
        <f t="shared" si="27"/>
        <v>758817.52</v>
      </c>
      <c r="Z64" s="26"/>
      <c r="AA64" s="26">
        <v>0</v>
      </c>
      <c r="AB64" s="26">
        <v>0</v>
      </c>
      <c r="AC64" s="26">
        <v>0</v>
      </c>
      <c r="AD64" s="21">
        <f t="shared" si="16"/>
        <v>758817.52</v>
      </c>
      <c r="AE64" s="21"/>
      <c r="AF64" s="21">
        <f t="shared" si="28"/>
        <v>171855.87</v>
      </c>
      <c r="AG64" s="21">
        <f t="shared" si="29"/>
        <v>586961.65</v>
      </c>
      <c r="AI64" s="21">
        <f t="shared" si="30"/>
        <v>758817.52</v>
      </c>
      <c r="AJ64" s="27"/>
      <c r="AK64" s="27"/>
      <c r="AL64" s="27"/>
      <c r="AM64" s="27"/>
      <c r="AN64" s="14">
        <f t="shared" si="31"/>
        <v>758817.52</v>
      </c>
      <c r="AO64" s="21"/>
      <c r="AP64" s="21">
        <f t="shared" si="32"/>
        <v>171855.87</v>
      </c>
      <c r="AQ64" s="14">
        <f t="shared" si="17"/>
        <v>586961.65</v>
      </c>
      <c r="AS64" s="21">
        <f t="shared" si="33"/>
        <v>758817.52</v>
      </c>
      <c r="AT64" s="21">
        <f>SUMIFS('Base ETESA'!$AJ:$AJ,'Base ETESA'!$BO:$BO,$A64,'Base ETESA'!$BP:$BP,$B64)</f>
        <v>0</v>
      </c>
      <c r="AX64" s="21">
        <f t="shared" ref="AX64:AX76" si="42">+AS64+AT64-AU64+AV64+AW64</f>
        <v>758817.52</v>
      </c>
      <c r="AY64" s="21">
        <f>IF(AS$55="si",SUMIFS(BS01_BS02!$I$72:$I$79,BS01_BS02!$N$72:$N$79,$A64,BS01_BS02!$O$72:$O$79,$B64),SUMIFS(BS01_BS02!$S$72:$S$79,BS01_BS02!$O$72:$O$79,$B64))</f>
        <v>0</v>
      </c>
      <c r="AZ64" s="21">
        <f t="shared" si="34"/>
        <v>171855.87</v>
      </c>
      <c r="BA64" s="21">
        <f t="shared" si="18"/>
        <v>586961.65</v>
      </c>
      <c r="BC64" s="21">
        <f t="shared" si="35"/>
        <v>758817.52</v>
      </c>
      <c r="BD64" s="21">
        <f>SUMIFS('Base ETESA'!$AQ:$AQ,'Base ETESA'!$BO:$BO,$A64,'Base ETESA'!$BP:$BP,$B64)</f>
        <v>0</v>
      </c>
      <c r="BH64" s="21">
        <f t="shared" ref="BH64:BH67" si="43">+BC64+BD64-BE64+BF64+BG64</f>
        <v>758817.52</v>
      </c>
      <c r="BI64" s="21">
        <f>IF(AS$55="si",SUMIFS(BS01_BS02!$J$72:$J$79,BS01_BS02!$N$72:$N$79,$A64,BS01_BS02!$O$72:$O$79,$B64),SUMIFS(BS01_BS02!$T$72:$T$79,BS01_BS02!$O$72:$O$79,$B64))</f>
        <v>0</v>
      </c>
      <c r="BJ64" s="21">
        <f t="shared" si="36"/>
        <v>171855.87</v>
      </c>
      <c r="BK64" s="21">
        <f t="shared" si="19"/>
        <v>586961.65</v>
      </c>
      <c r="BM64" s="21">
        <f t="shared" si="37"/>
        <v>758817.52</v>
      </c>
      <c r="BN64" s="21">
        <f>SUMIFS('Base ETESA'!$AX:$AX,'Base ETESA'!$BO:$BO,$A64,'Base ETESA'!$BP:$BP,$B64)</f>
        <v>0</v>
      </c>
      <c r="BR64" s="21">
        <f t="shared" ref="BR64:BR67" si="44">+BM64+BN64-BO64+BP64+BQ64</f>
        <v>758817.52</v>
      </c>
      <c r="BS64" s="21">
        <f>IF(AS$55="si",SUMIFS(BS01_BS02!$K$72:$K$79,BS01_BS02!$N$72:$N$79,$A64,BS01_BS02!$O$72:$O$79,$B64),SUMIFS(BS01_BS02!$U$72:$U$79,BS01_BS02!$O$72:$O$79,$B64))</f>
        <v>0</v>
      </c>
      <c r="BT64" s="21">
        <f t="shared" si="38"/>
        <v>171855.87</v>
      </c>
      <c r="BU64" s="21">
        <f t="shared" si="20"/>
        <v>586961.65</v>
      </c>
      <c r="BW64" s="21">
        <f t="shared" si="39"/>
        <v>758817.52</v>
      </c>
      <c r="BX64" s="21">
        <f>SUMIFS('Base ETESA'!$BE:$BE,'Base ETESA'!$BO:$BO,$A64,'Base ETESA'!$BP:$BP,$B64)</f>
        <v>0</v>
      </c>
      <c r="CB64" s="21">
        <f t="shared" ref="CB64:CB67" si="45">+BW64+BX64-BY64+BZ64+CA64</f>
        <v>758817.52</v>
      </c>
      <c r="CC64" s="21">
        <f>IF(AS$55="si",SUMIFS(BS01_BS02!$L$72:$L$79,BS01_BS02!$N$72:$N$79,$A64,BS01_BS02!$O$72:$O$79,$B64),SUMIFS(BS01_BS02!$V$72:$V$79,BS01_BS02!$O$72:$O$79,$B64))</f>
        <v>0</v>
      </c>
      <c r="CD64" s="21">
        <f t="shared" si="40"/>
        <v>171855.87</v>
      </c>
      <c r="CE64" s="21">
        <f t="shared" si="21"/>
        <v>586961.65</v>
      </c>
    </row>
    <row r="65" spans="1:87" ht="16.5" customHeight="1" outlineLevel="1" x14ac:dyDescent="0.2">
      <c r="A65" s="14" t="str">
        <f t="shared" si="14"/>
        <v>SPT GyD</v>
      </c>
      <c r="B65" s="1" t="s">
        <v>305</v>
      </c>
      <c r="C65" s="26">
        <v>17524439.199999999</v>
      </c>
      <c r="D65" s="26">
        <v>6103752.1600000001</v>
      </c>
      <c r="E65" s="26">
        <v>11420687.039999999</v>
      </c>
      <c r="F65" s="26"/>
      <c r="G65" s="26">
        <v>0</v>
      </c>
      <c r="H65" s="26">
        <v>0</v>
      </c>
      <c r="I65" s="26">
        <v>0</v>
      </c>
      <c r="J65" s="21">
        <f t="shared" si="15"/>
        <v>17524439.199999999</v>
      </c>
      <c r="K65" s="21">
        <v>1105535</v>
      </c>
      <c r="L65" s="21">
        <f t="shared" si="22"/>
        <v>7209287.1600000001</v>
      </c>
      <c r="M65" s="21">
        <f t="shared" si="23"/>
        <v>10315152.039999999</v>
      </c>
      <c r="N65" s="14"/>
      <c r="O65" s="21">
        <f t="shared" si="24"/>
        <v>17524439.199999999</v>
      </c>
      <c r="P65" s="15"/>
      <c r="Q65" s="15">
        <v>0</v>
      </c>
      <c r="R65" s="15">
        <v>0</v>
      </c>
      <c r="S65" s="15">
        <v>0</v>
      </c>
      <c r="T65" s="21">
        <f t="shared" si="25"/>
        <v>17524439.199999999</v>
      </c>
      <c r="U65" s="21">
        <v>1360045</v>
      </c>
      <c r="V65" s="21">
        <f t="shared" si="41"/>
        <v>8569332.1600000001</v>
      </c>
      <c r="W65" s="21">
        <f t="shared" si="26"/>
        <v>8955107.0399999991</v>
      </c>
      <c r="Y65" s="21">
        <f t="shared" si="27"/>
        <v>17524439.199999999</v>
      </c>
      <c r="Z65" s="26"/>
      <c r="AA65" s="26">
        <v>0</v>
      </c>
      <c r="AB65" s="26">
        <v>0</v>
      </c>
      <c r="AC65" s="26">
        <v>0</v>
      </c>
      <c r="AD65" s="21">
        <f t="shared" si="16"/>
        <v>17524439.199999999</v>
      </c>
      <c r="AE65" s="21">
        <v>2018134</v>
      </c>
      <c r="AF65" s="21">
        <f t="shared" si="28"/>
        <v>10587466.16</v>
      </c>
      <c r="AG65" s="21">
        <f t="shared" si="29"/>
        <v>6936973.0399999991</v>
      </c>
      <c r="AI65" s="21">
        <f t="shared" si="30"/>
        <v>17524439.199999999</v>
      </c>
      <c r="AJ65" s="27"/>
      <c r="AK65" s="27">
        <v>224829</v>
      </c>
      <c r="AL65" s="27"/>
      <c r="AM65" s="27"/>
      <c r="AN65" s="14">
        <f t="shared" si="31"/>
        <v>84085629.200000003</v>
      </c>
      <c r="AO65" s="21">
        <v>1720300</v>
      </c>
      <c r="AP65" s="21">
        <f t="shared" si="32"/>
        <v>18318507.869999997</v>
      </c>
      <c r="AQ65" s="14">
        <f t="shared" si="17"/>
        <v>65767121.330000006</v>
      </c>
      <c r="AS65" s="21">
        <f t="shared" si="33"/>
        <v>84085629.200000003</v>
      </c>
      <c r="AT65" s="21">
        <f>SUMIFS('Base ETESA'!$AJ:$AJ,'Base ETESA'!$BO:$BO,$A65,'Base ETESA'!$BP:$BP,$B65)</f>
        <v>0</v>
      </c>
      <c r="AX65" s="21">
        <f t="shared" si="42"/>
        <v>84085629.200000003</v>
      </c>
      <c r="AY65" s="21">
        <f>IF(AS$55="si",SUMIFS(BS01_BS02!$I$72:$I$79,BS01_BS02!$N$72:$N$79,$A65,BS01_BS02!$O$72:$O$79,$B65),SUMIFS(BS01_BS02!$S$72:$S$79,BS01_BS02!$O$72:$O$79,$B65))</f>
        <v>4970934.879999999</v>
      </c>
      <c r="AZ65" s="21">
        <f t="shared" si="34"/>
        <v>23289442.749999996</v>
      </c>
      <c r="BA65" s="21">
        <f t="shared" si="18"/>
        <v>60796186.450000003</v>
      </c>
      <c r="BC65" s="21">
        <f t="shared" si="35"/>
        <v>84085629.200000003</v>
      </c>
      <c r="BD65" s="21">
        <f>SUMIFS('Base ETESA'!$AQ:$AQ,'Base ETESA'!$BO:$BO,$A65,'Base ETESA'!$BP:$BP,$B65)</f>
        <v>0</v>
      </c>
      <c r="BH65" s="21">
        <f t="shared" si="43"/>
        <v>84085629.200000003</v>
      </c>
      <c r="BI65" s="21">
        <f>IF(AS$55="si",SUMIFS(BS01_BS02!$J$72:$J$79,BS01_BS02!$N$72:$N$79,$A65,BS01_BS02!$O$72:$O$79,$B65),SUMIFS(BS01_BS02!$T$72:$T$79,BS01_BS02!$O$72:$O$79,$B65))</f>
        <v>1854916.120000001</v>
      </c>
      <c r="BJ65" s="21">
        <f t="shared" si="36"/>
        <v>25144358.869999997</v>
      </c>
      <c r="BK65" s="21">
        <f t="shared" si="19"/>
        <v>58941270.330000006</v>
      </c>
      <c r="BM65" s="21">
        <f t="shared" si="37"/>
        <v>84085629.200000003</v>
      </c>
      <c r="BN65" s="21">
        <f>SUMIFS('Base ETESA'!$AX:$AX,'Base ETESA'!$BO:$BO,$A65,'Base ETESA'!$BP:$BP,$B65)</f>
        <v>0</v>
      </c>
      <c r="BR65" s="21">
        <f t="shared" si="44"/>
        <v>84085629.200000003</v>
      </c>
      <c r="BS65" s="21">
        <f>IF(AS$55="si",SUMIFS(BS01_BS02!$K$72:$K$79,BS01_BS02!$N$72:$N$79,$A65,BS01_BS02!$O$72:$O$79,$B65),SUMIFS(BS01_BS02!$U$72:$U$79,BS01_BS02!$O$72:$O$79,$B65))</f>
        <v>8708037.6600000001</v>
      </c>
      <c r="BT65" s="21">
        <f t="shared" si="38"/>
        <v>33852396.530000001</v>
      </c>
      <c r="BU65" s="21">
        <f t="shared" si="20"/>
        <v>50233232.670000002</v>
      </c>
      <c r="BW65" s="21">
        <f t="shared" si="39"/>
        <v>84085629.200000003</v>
      </c>
      <c r="BX65" s="21">
        <f>SUMIFS('Base ETESA'!$BE:$BE,'Base ETESA'!$BO:$BO,$A65,'Base ETESA'!$BP:$BP,$B65)</f>
        <v>0</v>
      </c>
      <c r="CB65" s="21">
        <f t="shared" si="45"/>
        <v>84085629.200000003</v>
      </c>
      <c r="CC65" s="21">
        <f>IF(AS$55="si",SUMIFS(BS01_BS02!$L$72:$L$79,BS01_BS02!$N$72:$N$79,$A65,BS01_BS02!$O$72:$O$79,$B65),SUMIFS(BS01_BS02!$V$72:$V$79,BS01_BS02!$O$72:$O$79,$B65))</f>
        <v>4845745.34</v>
      </c>
      <c r="CD65" s="21">
        <f t="shared" si="40"/>
        <v>38698141.870000005</v>
      </c>
      <c r="CE65" s="21">
        <f t="shared" si="21"/>
        <v>45387487.329999998</v>
      </c>
      <c r="CG65" s="21"/>
    </row>
    <row r="66" spans="1:87" ht="16.5" customHeight="1" outlineLevel="1" x14ac:dyDescent="0.2">
      <c r="A66" s="14" t="str">
        <f t="shared" si="14"/>
        <v>SPT GyD</v>
      </c>
      <c r="B66" s="1" t="s">
        <v>306</v>
      </c>
      <c r="C66" s="26">
        <v>6947635.8700000001</v>
      </c>
      <c r="D66" s="26">
        <v>3525273.9099999997</v>
      </c>
      <c r="E66" s="26">
        <v>3422361.9600000004</v>
      </c>
      <c r="F66" s="26"/>
      <c r="G66" s="26">
        <v>0</v>
      </c>
      <c r="H66" s="26">
        <v>0</v>
      </c>
      <c r="I66" s="26">
        <v>0</v>
      </c>
      <c r="J66" s="21">
        <f t="shared" si="15"/>
        <v>6947635.8700000001</v>
      </c>
      <c r="K66" s="21"/>
      <c r="L66" s="21">
        <f t="shared" si="22"/>
        <v>3525273.9099999997</v>
      </c>
      <c r="M66" s="21">
        <f t="shared" si="23"/>
        <v>3422361.9600000004</v>
      </c>
      <c r="N66" s="14"/>
      <c r="O66" s="21">
        <f t="shared" si="24"/>
        <v>6947635.8700000001</v>
      </c>
      <c r="P66" s="15"/>
      <c r="Q66" s="15">
        <v>0</v>
      </c>
      <c r="R66" s="15">
        <v>0</v>
      </c>
      <c r="S66" s="15">
        <v>0</v>
      </c>
      <c r="T66" s="21">
        <f t="shared" si="25"/>
        <v>6947635.8700000001</v>
      </c>
      <c r="U66" s="21"/>
      <c r="V66" s="21">
        <f t="shared" si="41"/>
        <v>3525273.9099999997</v>
      </c>
      <c r="W66" s="21">
        <f t="shared" si="26"/>
        <v>3422361.9600000004</v>
      </c>
      <c r="Y66" s="21">
        <f t="shared" si="27"/>
        <v>6947635.8700000001</v>
      </c>
      <c r="Z66" s="26">
        <f>+Z28</f>
        <v>150000</v>
      </c>
      <c r="AA66" s="26">
        <v>0</v>
      </c>
      <c r="AB66" s="26">
        <v>0</v>
      </c>
      <c r="AC66" s="26">
        <v>0</v>
      </c>
      <c r="AD66" s="21">
        <f t="shared" si="16"/>
        <v>7097635.8700000001</v>
      </c>
      <c r="AE66" s="21"/>
      <c r="AF66" s="21">
        <f t="shared" si="28"/>
        <v>3525273.9099999997</v>
      </c>
      <c r="AG66" s="21">
        <f t="shared" si="29"/>
        <v>3572361.9600000004</v>
      </c>
      <c r="AI66" s="21">
        <f t="shared" si="30"/>
        <v>7097635.8700000001</v>
      </c>
      <c r="AJ66" s="27"/>
      <c r="AK66" s="27">
        <v>0</v>
      </c>
      <c r="AL66" s="27"/>
      <c r="AM66" s="27"/>
      <c r="AN66" s="14">
        <f t="shared" si="31"/>
        <v>7097635.8700000001</v>
      </c>
      <c r="AO66" s="21"/>
      <c r="AP66" s="21">
        <f t="shared" si="32"/>
        <v>3525273.9099999997</v>
      </c>
      <c r="AQ66" s="14">
        <f t="shared" si="17"/>
        <v>3572361.9600000004</v>
      </c>
      <c r="AS66" s="21">
        <f t="shared" si="33"/>
        <v>7097635.8700000001</v>
      </c>
      <c r="AT66" s="21">
        <f>SUMIFS('Base ETESA'!$AJ:$AJ,'Base ETESA'!$BO:$BO,$A66,'Base ETESA'!$BP:$BP,$B66)</f>
        <v>0</v>
      </c>
      <c r="AX66" s="21">
        <f t="shared" si="42"/>
        <v>7097635.8700000001</v>
      </c>
      <c r="AY66" s="21">
        <f>IF(AS$55="si",SUMIFS(BS01_BS02!$I$72:$I$79,BS01_BS02!$N$72:$N$79,$A66,BS01_BS02!$O$72:$O$79,$B66),SUMIFS(BS01_BS02!$S$72:$S$79,BS01_BS02!$O$72:$O$79,$B66))</f>
        <v>1457766.5399999991</v>
      </c>
      <c r="AZ66" s="21">
        <f t="shared" si="34"/>
        <v>4983040.4499999993</v>
      </c>
      <c r="BA66" s="21">
        <f t="shared" si="18"/>
        <v>2114595.4200000009</v>
      </c>
      <c r="BC66" s="21">
        <f t="shared" si="35"/>
        <v>7097635.8700000001</v>
      </c>
      <c r="BD66" s="21">
        <f>SUMIFS('Base ETESA'!$AQ:$AQ,'Base ETESA'!$BO:$BO,$A66,'Base ETESA'!$BP:$BP,$B66)</f>
        <v>0</v>
      </c>
      <c r="BH66" s="21">
        <f t="shared" si="43"/>
        <v>7097635.8700000001</v>
      </c>
      <c r="BI66" s="21">
        <f>IF(AS$55="si",SUMIFS(BS01_BS02!$J$72:$J$79,BS01_BS02!$N$72:$N$79,$A66,BS01_BS02!$O$72:$O$79,$B66),SUMIFS(BS01_BS02!$T$72:$T$79,BS01_BS02!$O$72:$O$79,$B66))</f>
        <v>905987.46000000089</v>
      </c>
      <c r="BJ66" s="21">
        <f t="shared" si="36"/>
        <v>5889027.9100000001</v>
      </c>
      <c r="BK66" s="21">
        <f t="shared" si="19"/>
        <v>1208607.96</v>
      </c>
      <c r="BM66" s="21">
        <f t="shared" si="37"/>
        <v>7097635.8700000001</v>
      </c>
      <c r="BN66" s="21">
        <f>SUMIFS('Base ETESA'!$AX:$AX,'Base ETESA'!$BO:$BO,$A66,'Base ETESA'!$BP:$BP,$B66)</f>
        <v>0</v>
      </c>
      <c r="BR66" s="21">
        <f t="shared" si="44"/>
        <v>7097635.8700000001</v>
      </c>
      <c r="BS66" s="21">
        <f>IF(AS$55="si",SUMIFS(BS01_BS02!$K$72:$K$79,BS01_BS02!$N$72:$N$79,$A66,BS01_BS02!$O$72:$O$79,$B66),SUMIFS(BS01_BS02!$U$72:$U$79,BS01_BS02!$O$72:$O$79,$B66))</f>
        <v>2908815.0700000003</v>
      </c>
      <c r="BT66" s="21">
        <f t="shared" si="38"/>
        <v>8797842.9800000004</v>
      </c>
      <c r="BU66" s="21">
        <f t="shared" si="20"/>
        <v>-1700207.1100000003</v>
      </c>
      <c r="BW66" s="21">
        <f t="shared" si="39"/>
        <v>7097635.8700000001</v>
      </c>
      <c r="BX66" s="21">
        <f>SUMIFS('Base ETESA'!$BE:$BE,'Base ETESA'!$BO:$BO,$A66,'Base ETESA'!$BP:$BP,$B66)</f>
        <v>0</v>
      </c>
      <c r="CB66" s="21">
        <f t="shared" si="45"/>
        <v>7097635.8700000001</v>
      </c>
      <c r="CC66" s="21">
        <f>IF(AS$55="si",SUMIFS(BS01_BS02!$L$72:$L$79,BS01_BS02!$N$72:$N$79,$A66,BS01_BS02!$O$72:$O$79,$B66),SUMIFS(BS01_BS02!$V$72:$V$79,BS01_BS02!$O$72:$O$79,$B66))</f>
        <v>2169522.9299999997</v>
      </c>
      <c r="CD66" s="21">
        <f t="shared" si="40"/>
        <v>10967365.91</v>
      </c>
      <c r="CE66" s="21">
        <f t="shared" si="21"/>
        <v>-3869730.04</v>
      </c>
      <c r="CG66" s="21"/>
    </row>
    <row r="67" spans="1:87" ht="16.5" customHeight="1" outlineLevel="1" x14ac:dyDescent="0.2">
      <c r="A67" s="14" t="str">
        <f t="shared" si="14"/>
        <v>SPT GyD</v>
      </c>
      <c r="B67" s="1" t="s">
        <v>307</v>
      </c>
      <c r="C67" s="26">
        <v>69052</v>
      </c>
      <c r="D67" s="26">
        <v>63955.009999999995</v>
      </c>
      <c r="E67" s="26">
        <v>5096.9900000000052</v>
      </c>
      <c r="F67" s="26"/>
      <c r="G67" s="26">
        <v>0</v>
      </c>
      <c r="H67" s="26">
        <v>0</v>
      </c>
      <c r="I67" s="26">
        <v>0</v>
      </c>
      <c r="J67" s="21">
        <f t="shared" si="15"/>
        <v>69052</v>
      </c>
      <c r="K67" s="21"/>
      <c r="L67" s="21">
        <f t="shared" si="22"/>
        <v>63955.009999999995</v>
      </c>
      <c r="M67" s="21">
        <f t="shared" si="23"/>
        <v>5096.9900000000052</v>
      </c>
      <c r="N67" s="14"/>
      <c r="O67" s="21">
        <f t="shared" si="24"/>
        <v>69052</v>
      </c>
      <c r="P67" s="15"/>
      <c r="Q67" s="15">
        <v>0</v>
      </c>
      <c r="R67" s="15">
        <v>0</v>
      </c>
      <c r="S67" s="15">
        <v>0</v>
      </c>
      <c r="T67" s="21">
        <f t="shared" si="25"/>
        <v>69052</v>
      </c>
      <c r="U67" s="21"/>
      <c r="V67" s="21">
        <f t="shared" si="41"/>
        <v>63955.009999999995</v>
      </c>
      <c r="W67" s="21">
        <f t="shared" si="26"/>
        <v>5096.9900000000052</v>
      </c>
      <c r="Y67" s="21">
        <f t="shared" si="27"/>
        <v>69052</v>
      </c>
      <c r="Z67" s="26"/>
      <c r="AA67" s="26">
        <v>0</v>
      </c>
      <c r="AB67" s="26">
        <v>0</v>
      </c>
      <c r="AC67" s="26">
        <v>0</v>
      </c>
      <c r="AD67" s="21">
        <f t="shared" si="16"/>
        <v>69052</v>
      </c>
      <c r="AE67" s="21"/>
      <c r="AF67" s="21">
        <f t="shared" si="28"/>
        <v>63955.009999999995</v>
      </c>
      <c r="AG67" s="21">
        <f t="shared" si="29"/>
        <v>5096.9900000000052</v>
      </c>
      <c r="AI67" s="21">
        <f t="shared" si="30"/>
        <v>69052</v>
      </c>
      <c r="AJ67" s="27"/>
      <c r="AK67" s="27">
        <v>0</v>
      </c>
      <c r="AL67" s="27"/>
      <c r="AM67" s="27"/>
      <c r="AN67" s="14">
        <f t="shared" si="31"/>
        <v>69052</v>
      </c>
      <c r="AO67" s="21"/>
      <c r="AP67" s="21">
        <f t="shared" si="32"/>
        <v>63955.009999999995</v>
      </c>
      <c r="AQ67" s="14">
        <f t="shared" si="17"/>
        <v>5096.9900000000052</v>
      </c>
      <c r="AS67" s="21">
        <f t="shared" si="33"/>
        <v>69052</v>
      </c>
      <c r="AT67" s="21">
        <f>SUMIFS('Base ETESA'!$AJ:$AJ,'Base ETESA'!$BO:$BO,$A67,'Base ETESA'!$BP:$BP,$B67)</f>
        <v>0</v>
      </c>
      <c r="AX67" s="21">
        <f t="shared" si="42"/>
        <v>69052</v>
      </c>
      <c r="AY67" s="21">
        <f>IF(AS$55="si",SUMIFS(BS01_BS02!$I$72:$I$79,BS01_BS02!$N$72:$N$79,$A67,BS01_BS02!$O$72:$O$79,$B67),SUMIFS(BS01_BS02!$S$72:$S$79,BS01_BS02!$O$72:$O$79,$B67))</f>
        <v>0</v>
      </c>
      <c r="AZ67" s="21">
        <f t="shared" si="34"/>
        <v>63955.009999999995</v>
      </c>
      <c r="BA67" s="21">
        <f t="shared" si="18"/>
        <v>5096.9900000000052</v>
      </c>
      <c r="BC67" s="21">
        <f t="shared" si="35"/>
        <v>69052</v>
      </c>
      <c r="BD67" s="21">
        <f>SUMIFS('Base ETESA'!$AQ:$AQ,'Base ETESA'!$BO:$BO,$A67,'Base ETESA'!$BP:$BP,$B67)</f>
        <v>0</v>
      </c>
      <c r="BH67" s="21">
        <f t="shared" si="43"/>
        <v>69052</v>
      </c>
      <c r="BI67" s="21">
        <f>IF(AS$55="si",SUMIFS(BS01_BS02!$J$72:$J$79,BS01_BS02!$N$72:$N$79,$A67,BS01_BS02!$O$72:$O$79,$B67),SUMIFS(BS01_BS02!$T$72:$T$79,BS01_BS02!$O$72:$O$79,$B67))</f>
        <v>0</v>
      </c>
      <c r="BJ67" s="21">
        <f t="shared" si="36"/>
        <v>63955.009999999995</v>
      </c>
      <c r="BK67" s="21">
        <f t="shared" si="19"/>
        <v>5096.9900000000052</v>
      </c>
      <c r="BM67" s="21">
        <f t="shared" si="37"/>
        <v>69052</v>
      </c>
      <c r="BN67" s="21">
        <f>SUMIFS('Base ETESA'!$AX:$AX,'Base ETESA'!$BO:$BO,$A67,'Base ETESA'!$BP:$BP,$B67)</f>
        <v>0</v>
      </c>
      <c r="BR67" s="21">
        <f t="shared" si="44"/>
        <v>69052</v>
      </c>
      <c r="BS67" s="21">
        <f>IF(AS$55="si",SUMIFS(BS01_BS02!$K$72:$K$79,BS01_BS02!$N$72:$N$79,$A67,BS01_BS02!$O$72:$O$79,$B67),SUMIFS(BS01_BS02!$U$72:$U$79,BS01_BS02!$O$72:$O$79,$B67))</f>
        <v>0</v>
      </c>
      <c r="BT67" s="21">
        <f t="shared" si="38"/>
        <v>63955.009999999995</v>
      </c>
      <c r="BU67" s="21">
        <f t="shared" si="20"/>
        <v>5096.9900000000052</v>
      </c>
      <c r="BW67" s="21">
        <f t="shared" si="39"/>
        <v>69052</v>
      </c>
      <c r="BX67" s="21">
        <f>SUMIFS('Base ETESA'!$BE:$BE,'Base ETESA'!$BO:$BO,$A67,'Base ETESA'!$BP:$BP,$B67)</f>
        <v>0</v>
      </c>
      <c r="CB67" s="21">
        <f t="shared" si="45"/>
        <v>69052</v>
      </c>
      <c r="CC67" s="21">
        <f>IF(AS$55="si",SUMIFS(BS01_BS02!$L$72:$L$79,BS01_BS02!$N$72:$N$79,$A67,BS01_BS02!$O$72:$O$79,$B67),SUMIFS(BS01_BS02!$V$72:$V$79,BS01_BS02!$O$72:$O$79,$B67))</f>
        <v>0</v>
      </c>
      <c r="CD67" s="21">
        <f t="shared" si="40"/>
        <v>63955.009999999995</v>
      </c>
      <c r="CE67" s="21">
        <f t="shared" si="21"/>
        <v>5096.9900000000052</v>
      </c>
      <c r="CG67" s="21"/>
    </row>
    <row r="68" spans="1:87" ht="16.5" customHeight="1" outlineLevel="1" x14ac:dyDescent="0.2">
      <c r="A68" s="14" t="str">
        <f t="shared" si="14"/>
        <v>SPT GyD</v>
      </c>
      <c r="B68" s="1" t="s">
        <v>308</v>
      </c>
      <c r="C68" s="26">
        <v>77170219.283410519</v>
      </c>
      <c r="D68" s="26">
        <v>30427804.869999997</v>
      </c>
      <c r="E68" s="26">
        <v>46742414.413410522</v>
      </c>
      <c r="F68" s="26">
        <v>2176375.36</v>
      </c>
      <c r="G68" s="26">
        <v>0</v>
      </c>
      <c r="H68" s="26">
        <v>0</v>
      </c>
      <c r="I68" s="26">
        <v>0</v>
      </c>
      <c r="J68" s="21">
        <f t="shared" si="15"/>
        <v>79346594.643410519</v>
      </c>
      <c r="K68" s="21">
        <v>3126082</v>
      </c>
      <c r="L68" s="21">
        <f t="shared" si="22"/>
        <v>33553886.869999997</v>
      </c>
      <c r="M68" s="21">
        <f t="shared" si="23"/>
        <v>45792707.773410521</v>
      </c>
      <c r="N68" s="14"/>
      <c r="O68" s="21">
        <f t="shared" si="24"/>
        <v>79346594.643410519</v>
      </c>
      <c r="P68" s="15">
        <f>+P25+P26+P28</f>
        <v>15020959.279999999</v>
      </c>
      <c r="Q68" s="15">
        <v>0</v>
      </c>
      <c r="R68" s="15">
        <v>0</v>
      </c>
      <c r="S68" s="15">
        <v>0</v>
      </c>
      <c r="T68" s="21">
        <f t="shared" si="25"/>
        <v>94367553.92341052</v>
      </c>
      <c r="U68" s="21">
        <v>3058421</v>
      </c>
      <c r="V68" s="21">
        <f t="shared" si="41"/>
        <v>36612307.869999997</v>
      </c>
      <c r="W68" s="21">
        <f t="shared" si="26"/>
        <v>57755246.053410523</v>
      </c>
      <c r="Y68" s="21">
        <f t="shared" si="27"/>
        <v>94367553.92341052</v>
      </c>
      <c r="Z68" s="26">
        <f>+Z25+Z27</f>
        <v>8636923.5500000007</v>
      </c>
      <c r="AA68" s="26">
        <v>0</v>
      </c>
      <c r="AB68" s="26">
        <v>0</v>
      </c>
      <c r="AC68" s="26">
        <v>0</v>
      </c>
      <c r="AD68" s="21">
        <f t="shared" si="16"/>
        <v>103004477.47341052</v>
      </c>
      <c r="AE68" s="21">
        <v>3267214</v>
      </c>
      <c r="AF68" s="21">
        <f t="shared" si="28"/>
        <v>39879521.869999997</v>
      </c>
      <c r="AG68" s="21">
        <f t="shared" si="29"/>
        <v>63124955.60341052</v>
      </c>
      <c r="AI68" s="21">
        <f t="shared" si="30"/>
        <v>103004477.47341052</v>
      </c>
      <c r="AJ68" s="27"/>
      <c r="AK68" s="27">
        <v>3737083</v>
      </c>
      <c r="AL68" s="27"/>
      <c r="AM68" s="27"/>
      <c r="AN68" s="14">
        <f t="shared" si="31"/>
        <v>138991560.79341051</v>
      </c>
      <c r="AO68" s="21">
        <v>3860779</v>
      </c>
      <c r="AP68" s="21">
        <f t="shared" si="32"/>
        <v>46962511.739999995</v>
      </c>
      <c r="AQ68" s="14">
        <f t="shared" si="17"/>
        <v>92029049.053410515</v>
      </c>
      <c r="AS68" s="21">
        <f t="shared" si="33"/>
        <v>138991560.79341051</v>
      </c>
      <c r="AT68" s="21">
        <f>SUMIFS('Base ETESA'!$AJ:$AJ,'Base ETESA'!$BO:$BO,$A68,'Base ETESA'!$BP:$BP,$B68)</f>
        <v>64875861.899999991</v>
      </c>
      <c r="AX68" s="21">
        <f>+AS68+AT68-AU68+AV68+AW68</f>
        <v>203867422.69341052</v>
      </c>
      <c r="AY68" s="21">
        <f>IF(AS$55="si",SUMIFS(BS01_BS02!$I$72:$I$79,BS01_BS02!$N$72:$N$79,$A68,BS01_BS02!$O$72:$O$79,$B68),SUMIFS(BS01_BS02!$S$72:$S$79,BS01_BS02!$O$72:$O$79,$B68))</f>
        <v>7837288.3200000077</v>
      </c>
      <c r="AZ68" s="21">
        <f t="shared" si="34"/>
        <v>54799800.060000002</v>
      </c>
      <c r="BA68" s="21">
        <f t="shared" si="18"/>
        <v>149067622.63341051</v>
      </c>
      <c r="BC68" s="21">
        <f t="shared" si="35"/>
        <v>203867422.69341052</v>
      </c>
      <c r="BD68" s="21">
        <f>SUMIFS('Base ETESA'!$AQ:$AQ,'Base ETESA'!$BO:$BO,$A68,'Base ETESA'!$BP:$BP,$B68)</f>
        <v>52200521.899999462</v>
      </c>
      <c r="BH68" s="21">
        <f>+BC68+BD68-BE68+BF68+BG68</f>
        <v>256067944.59340999</v>
      </c>
      <c r="BI68" s="21">
        <f>IF(AS$55="si",SUMIFS(BS01_BS02!$J$72:$J$79,BS01_BS02!$N$72:$N$79,$A68,BS01_BS02!$O$72:$O$79,$B68),SUMIFS(BS01_BS02!$T$72:$T$79,BS01_BS02!$O$72:$O$79,$B68))</f>
        <v>4350598.6799999923</v>
      </c>
      <c r="BJ68" s="21">
        <f t="shared" si="36"/>
        <v>59150398.739999995</v>
      </c>
      <c r="BK68" s="21">
        <f t="shared" si="19"/>
        <v>196917545.85341001</v>
      </c>
      <c r="BM68" s="21">
        <f t="shared" si="37"/>
        <v>256067944.59340999</v>
      </c>
      <c r="BN68" s="21">
        <f>SUMIFS('Base ETESA'!$AX:$AX,'Base ETESA'!$BO:$BO,$A68,'Base ETESA'!$BP:$BP,$B68)</f>
        <v>11171516.020000001</v>
      </c>
      <c r="BR68" s="21">
        <f>+BM68+BN68-BO68+BP68+BQ68</f>
        <v>267239460.61341</v>
      </c>
      <c r="BS68" s="21">
        <f>IF(AS$55="si",SUMIFS(BS01_BS02!$K$72:$K$79,BS01_BS02!$N$72:$N$79,$A68,BS01_BS02!$O$72:$O$79,$B68),SUMIFS(BS01_BS02!$U$72:$U$79,BS01_BS02!$O$72:$O$79,$B68))</f>
        <v>17921482.460000016</v>
      </c>
      <c r="BT68" s="21">
        <f t="shared" si="38"/>
        <v>77071881.200000018</v>
      </c>
      <c r="BU68" s="21">
        <f t="shared" si="20"/>
        <v>190167579.41340998</v>
      </c>
      <c r="BW68" s="21">
        <f t="shared" si="39"/>
        <v>267239460.61341</v>
      </c>
      <c r="BX68" s="21">
        <f>SUMIFS('Base ETESA'!$BE:$BE,'Base ETESA'!$BO:$BO,$A68,'Base ETESA'!$BP:$BP,$B68)</f>
        <v>46874251.169999935</v>
      </c>
      <c r="BZ68" s="21"/>
      <c r="CB68" s="21">
        <f>+BW68+BX68-BY68+BZ68+CA68</f>
        <v>314113711.78340995</v>
      </c>
      <c r="CC68" s="21">
        <f>IF(AS$55="si",SUMIFS(BS01_BS02!$L$72:$L$79,BS01_BS02!$N$72:$N$79,$A68,BS01_BS02!$O$72:$O$79,$B68),SUMIFS(BS01_BS02!$V$72:$V$79,BS01_BS02!$O$72:$O$79,$B68))</f>
        <v>12951861.539999986</v>
      </c>
      <c r="CD68" s="21">
        <f>+BT68+CC68</f>
        <v>90023742.74000001</v>
      </c>
      <c r="CE68" s="21">
        <f t="shared" si="21"/>
        <v>224089969.04340994</v>
      </c>
      <c r="CG68" s="21"/>
    </row>
    <row r="69" spans="1:87" ht="16.5" customHeight="1" outlineLevel="1" x14ac:dyDescent="0.2">
      <c r="A69" s="14" t="str">
        <f t="shared" si="14"/>
        <v>SPT GyD</v>
      </c>
      <c r="B69" s="1" t="s">
        <v>309</v>
      </c>
      <c r="C69" s="26">
        <v>92654656.875311688</v>
      </c>
      <c r="D69" s="26">
        <v>44656678.609999999</v>
      </c>
      <c r="E69" s="26">
        <v>47997978.265311688</v>
      </c>
      <c r="F69" s="26"/>
      <c r="G69" s="26">
        <v>0</v>
      </c>
      <c r="H69" s="320">
        <v>1323437</v>
      </c>
      <c r="I69" s="26">
        <v>0</v>
      </c>
      <c r="J69" s="21">
        <f t="shared" si="15"/>
        <v>93978093.875311688</v>
      </c>
      <c r="K69" s="21">
        <v>2613117</v>
      </c>
      <c r="L69" s="21">
        <f t="shared" si="22"/>
        <v>47269795.609999999</v>
      </c>
      <c r="M69" s="21">
        <f t="shared" si="23"/>
        <v>46708298.265311688</v>
      </c>
      <c r="N69" s="14"/>
      <c r="O69" s="21">
        <f t="shared" si="24"/>
        <v>93978093.875311688</v>
      </c>
      <c r="P69" s="15"/>
      <c r="Q69" s="15">
        <v>0</v>
      </c>
      <c r="R69" s="15">
        <v>0</v>
      </c>
      <c r="S69" s="15">
        <v>0</v>
      </c>
      <c r="T69" s="21">
        <f t="shared" si="25"/>
        <v>93978093.875311688</v>
      </c>
      <c r="U69" s="21">
        <v>2695118</v>
      </c>
      <c r="V69" s="21">
        <f>+L69+U69</f>
        <v>49964913.609999999</v>
      </c>
      <c r="W69" s="21">
        <f t="shared" si="26"/>
        <v>44013180.265311688</v>
      </c>
      <c r="Y69" s="21">
        <f t="shared" si="27"/>
        <v>93978093.875311688</v>
      </c>
      <c r="Z69" s="26">
        <f>+Z26/2</f>
        <v>2048193.67</v>
      </c>
      <c r="AA69" s="26">
        <v>0</v>
      </c>
      <c r="AB69" s="26">
        <v>19008735</v>
      </c>
      <c r="AC69" s="26">
        <v>0</v>
      </c>
      <c r="AD69" s="21">
        <f t="shared" si="16"/>
        <v>115035022.54531169</v>
      </c>
      <c r="AE69" s="21">
        <v>4234292</v>
      </c>
      <c r="AF69" s="21">
        <f t="shared" si="28"/>
        <v>54199205.609999999</v>
      </c>
      <c r="AG69" s="21">
        <f t="shared" si="29"/>
        <v>60835816.93531169</v>
      </c>
      <c r="AI69" s="21">
        <f t="shared" si="30"/>
        <v>115035022.54531169</v>
      </c>
      <c r="AJ69" s="27">
        <f>+(AJ25+AJ26)/2</f>
        <v>20218356.645</v>
      </c>
      <c r="AK69" s="27">
        <v>0</v>
      </c>
      <c r="AL69" s="27"/>
      <c r="AM69" s="27"/>
      <c r="AN69" s="14">
        <f t="shared" si="31"/>
        <v>265689511.0653117</v>
      </c>
      <c r="AO69" s="21">
        <v>2938447</v>
      </c>
      <c r="AP69" s="21">
        <f t="shared" si="32"/>
        <v>68031238.532499999</v>
      </c>
      <c r="AQ69" s="14">
        <f t="shared" si="17"/>
        <v>197658272.5328117</v>
      </c>
      <c r="AS69" s="21">
        <f t="shared" si="33"/>
        <v>265689511.0653117</v>
      </c>
      <c r="AT69" s="21">
        <f>SUMIFS('Base ETESA'!$AJ:$AJ,'Base ETESA'!$BO:$BO,$A69,'Base ETESA'!$BP:$BP,$B69)</f>
        <v>0</v>
      </c>
      <c r="AX69" s="21">
        <f t="shared" si="42"/>
        <v>265689511.0653117</v>
      </c>
      <c r="AY69" s="21">
        <f>IF(AS$55="si",SUMIFS(BS01_BS02!$I$72:$I$79,BS01_BS02!$N$72:$N$79,$A69,BS01_BS02!$O$72:$O$79,$B69),SUMIFS(BS01_BS02!$S$72:$S$79,BS01_BS02!$O$72:$O$79,$B69))</f>
        <v>5493486.0899999887</v>
      </c>
      <c r="AZ69" s="21">
        <f t="shared" si="34"/>
        <v>73524724.622499987</v>
      </c>
      <c r="BA69" s="21">
        <f t="shared" si="18"/>
        <v>192164786.44281173</v>
      </c>
      <c r="BC69" s="21">
        <f t="shared" si="35"/>
        <v>265689511.0653117</v>
      </c>
      <c r="BD69" s="21">
        <f>SUMIFS('Base ETESA'!$AQ:$AQ,'Base ETESA'!$BO:$BO,$A69,'Base ETESA'!$BP:$BP,$B69)</f>
        <v>0</v>
      </c>
      <c r="BH69" s="21">
        <f t="shared" ref="BH69:BH76" si="46">+BC69+BD69-BE69+BF69+BG69</f>
        <v>265689511.0653117</v>
      </c>
      <c r="BI69" s="21">
        <f>IF(AS$55="si",SUMIFS(BS01_BS02!$J$72:$J$79,BS01_BS02!$N$72:$N$79,$A69,BS01_BS02!$O$72:$O$79,$B69),SUMIFS(BS01_BS02!$T$72:$T$79,BS01_BS02!$O$72:$O$79,$B69))</f>
        <v>2942670.9100000113</v>
      </c>
      <c r="BJ69" s="21">
        <f t="shared" si="36"/>
        <v>76467395.532499999</v>
      </c>
      <c r="BK69" s="21">
        <f t="shared" si="19"/>
        <v>189222115.5328117</v>
      </c>
      <c r="BM69" s="21">
        <f t="shared" si="37"/>
        <v>265689511.0653117</v>
      </c>
      <c r="BN69" s="21">
        <f>SUMIFS('Base ETESA'!$AX:$AX,'Base ETESA'!$BO:$BO,$A69,'Base ETESA'!$BP:$BP,$B69)</f>
        <v>0</v>
      </c>
      <c r="BR69" s="21">
        <f t="shared" ref="BR69:BR76" si="47">+BM69+BN69-BO69+BP69+BQ69</f>
        <v>265689511.0653117</v>
      </c>
      <c r="BS69" s="21">
        <f>IF(AS$55="si",SUMIFS(BS01_BS02!$K$72:$K$79,BS01_BS02!$N$72:$N$79,$A69,BS01_BS02!$O$72:$O$79,$B69),SUMIFS(BS01_BS02!$U$72:$U$79,BS01_BS02!$O$72:$O$79,$B69))</f>
        <v>8977134.3799999952</v>
      </c>
      <c r="BT69" s="21">
        <f t="shared" si="38"/>
        <v>85444529.912499994</v>
      </c>
      <c r="BU69" s="21">
        <f t="shared" si="20"/>
        <v>180244981.15281171</v>
      </c>
      <c r="BW69" s="21">
        <f t="shared" si="39"/>
        <v>265689511.0653117</v>
      </c>
      <c r="BX69" s="21">
        <f>SUMIFS('Base ETESA'!$BE:$BE,'Base ETESA'!$BO:$BO,$A69,'Base ETESA'!$BP:$BP,$B69)</f>
        <v>0</v>
      </c>
      <c r="CB69" s="21">
        <f t="shared" ref="CB69:CB76" si="48">+BW69+BX69-BY69+BZ69+CA69</f>
        <v>265689511.0653117</v>
      </c>
      <c r="CC69" s="21">
        <f>IF(AS$55="si",SUMIFS(BS01_BS02!$L$72:$L$79,BS01_BS02!$N$72:$N$79,$A69,BS01_BS02!$O$72:$O$79,$B69),SUMIFS(BS01_BS02!$V$72:$V$79,BS01_BS02!$O$72:$O$79,$B69))</f>
        <v>6571248.6200000048</v>
      </c>
      <c r="CD69" s="21">
        <f t="shared" si="40"/>
        <v>92015778.532499999</v>
      </c>
      <c r="CE69" s="21">
        <f t="shared" si="21"/>
        <v>173673732.5328117</v>
      </c>
      <c r="CG69" s="21"/>
    </row>
    <row r="70" spans="1:87" ht="16.5" customHeight="1" outlineLevel="1" x14ac:dyDescent="0.2">
      <c r="A70" s="14" t="str">
        <f t="shared" si="14"/>
        <v>SPT GyD</v>
      </c>
      <c r="B70" s="1" t="s">
        <v>310</v>
      </c>
      <c r="C70" s="26">
        <v>92221757.825311661</v>
      </c>
      <c r="D70" s="26">
        <v>44395997.899999999</v>
      </c>
      <c r="E70" s="26">
        <v>47825759.925311662</v>
      </c>
      <c r="F70" s="26"/>
      <c r="G70" s="26">
        <v>0</v>
      </c>
      <c r="H70" s="26">
        <v>0</v>
      </c>
      <c r="I70" s="26">
        <v>0</v>
      </c>
      <c r="J70" s="21">
        <f t="shared" si="15"/>
        <v>92221757.825311661</v>
      </c>
      <c r="K70" s="21">
        <v>2858377</v>
      </c>
      <c r="L70" s="21">
        <f t="shared" si="22"/>
        <v>47254374.899999999</v>
      </c>
      <c r="M70" s="21">
        <f t="shared" si="23"/>
        <v>44967382.925311662</v>
      </c>
      <c r="N70" s="14"/>
      <c r="O70" s="21">
        <f t="shared" si="24"/>
        <v>92221757.825311661</v>
      </c>
      <c r="P70" s="15"/>
      <c r="Q70" s="15">
        <v>0</v>
      </c>
      <c r="R70" s="15">
        <v>0</v>
      </c>
      <c r="S70" s="15">
        <v>0</v>
      </c>
      <c r="T70" s="21">
        <f t="shared" si="25"/>
        <v>92221757.825311661</v>
      </c>
      <c r="U70" s="21">
        <v>5232333</v>
      </c>
      <c r="V70" s="21">
        <f t="shared" si="41"/>
        <v>52486707.899999999</v>
      </c>
      <c r="W70" s="21">
        <f t="shared" si="26"/>
        <v>39735049.925311662</v>
      </c>
      <c r="Y70" s="21">
        <f t="shared" si="27"/>
        <v>92221757.825311661</v>
      </c>
      <c r="Z70" s="26">
        <f>+Z26/2</f>
        <v>2048193.67</v>
      </c>
      <c r="AA70" s="26">
        <v>0</v>
      </c>
      <c r="AB70" s="26">
        <v>-19008735</v>
      </c>
      <c r="AC70" s="26">
        <v>0</v>
      </c>
      <c r="AD70" s="21">
        <f t="shared" si="16"/>
        <v>75261216.495311663</v>
      </c>
      <c r="AE70" s="21">
        <v>1653384</v>
      </c>
      <c r="AF70" s="21">
        <f t="shared" si="28"/>
        <v>54140091.899999999</v>
      </c>
      <c r="AG70" s="21">
        <f t="shared" si="29"/>
        <v>21121124.595311664</v>
      </c>
      <c r="AI70" s="21">
        <f t="shared" si="30"/>
        <v>75261216.495311663</v>
      </c>
      <c r="AJ70" s="27">
        <f>+(AJ25+AJ26)/2</f>
        <v>20218356.645</v>
      </c>
      <c r="AK70" s="27">
        <v>200000</v>
      </c>
      <c r="AL70" s="27"/>
      <c r="AM70" s="27"/>
      <c r="AN70" s="14">
        <f t="shared" si="31"/>
        <v>240916144.01531166</v>
      </c>
      <c r="AO70" s="21">
        <v>3736082</v>
      </c>
      <c r="AP70" s="21">
        <f t="shared" si="32"/>
        <v>70137799.332499996</v>
      </c>
      <c r="AQ70" s="14">
        <f t="shared" si="17"/>
        <v>170778344.68281168</v>
      </c>
      <c r="AS70" s="21">
        <f t="shared" si="33"/>
        <v>240916144.01531166</v>
      </c>
      <c r="AT70" s="21">
        <f>SUMIFS('Base ETESA'!$AJ:$AJ,'Base ETESA'!$BO:$BO,$A70,'Base ETESA'!$BP:$BP,$B70)</f>
        <v>1834143.7299973303</v>
      </c>
      <c r="AX70" s="21">
        <f t="shared" si="42"/>
        <v>242750287.745309</v>
      </c>
      <c r="AY70" s="21">
        <f>IF(AS$55="si",SUMIFS(BS01_BS02!$I$72:$I$79,BS01_BS02!$N$72:$N$79,$A70,BS01_BS02!$O$72:$O$79,$B70),SUMIFS(BS01_BS02!$S$72:$S$79,BS01_BS02!$O$72:$O$79,$B70))</f>
        <v>7422252.099999994</v>
      </c>
      <c r="AZ70" s="21">
        <f t="shared" si="34"/>
        <v>77560051.43249999</v>
      </c>
      <c r="BA70" s="21">
        <f t="shared" si="18"/>
        <v>165190236.31280899</v>
      </c>
      <c r="BC70" s="21">
        <f t="shared" si="35"/>
        <v>242750287.745309</v>
      </c>
      <c r="BD70" s="21">
        <f>SUMIFS('Base ETESA'!$AQ:$AQ,'Base ETESA'!$BO:$BO,$A70,'Base ETESA'!$BP:$BP,$B70)</f>
        <v>-193602.49999970291</v>
      </c>
      <c r="BH70" s="21">
        <f t="shared" si="46"/>
        <v>242556685.24530929</v>
      </c>
      <c r="BI70" s="21">
        <f>IF(AS$55="si",SUMIFS(BS01_BS02!$J$72:$J$79,BS01_BS02!$N$72:$N$79,$A70,BS01_BS02!$O$72:$O$79,$B70),SUMIFS(BS01_BS02!$T$72:$T$79,BS01_BS02!$O$72:$O$79,$B70))</f>
        <v>4023876.900000006</v>
      </c>
      <c r="BJ70" s="21">
        <f t="shared" si="36"/>
        <v>81583928.332499996</v>
      </c>
      <c r="BK70" s="21">
        <f t="shared" si="19"/>
        <v>160972756.91280931</v>
      </c>
      <c r="BM70" s="21">
        <f t="shared" si="37"/>
        <v>242556685.24530929</v>
      </c>
      <c r="BN70" s="21">
        <f>SUMIFS('Base ETESA'!$AX:$AX,'Base ETESA'!$BO:$BO,$A70,'Base ETESA'!$BP:$BP,$B70)</f>
        <v>3689674.2200000137</v>
      </c>
      <c r="BR70" s="21">
        <f t="shared" si="47"/>
        <v>246246359.46530932</v>
      </c>
      <c r="BS70" s="21">
        <f>IF(AS$55="si",SUMIFS(BS01_BS02!$K$72:$K$79,BS01_BS02!$N$72:$N$79,$A70,BS01_BS02!$O$72:$O$79,$B70),SUMIFS(BS01_BS02!$U$72:$U$79,BS01_BS02!$O$72:$O$79,$B70))</f>
        <v>14061568.219999999</v>
      </c>
      <c r="BT70" s="21">
        <f t="shared" si="38"/>
        <v>95645496.552499995</v>
      </c>
      <c r="BU70" s="21">
        <f t="shared" si="20"/>
        <v>150600862.91280931</v>
      </c>
      <c r="BW70" s="21">
        <f t="shared" si="39"/>
        <v>246246359.46530932</v>
      </c>
      <c r="BX70" s="21">
        <f>SUMIFS('Base ETESA'!$BE:$BE,'Base ETESA'!$BO:$BO,$A70,'Base ETESA'!$BP:$BP,$B70)</f>
        <v>70779018.810000017</v>
      </c>
      <c r="CB70" s="21">
        <f t="shared" si="48"/>
        <v>317025378.27530932</v>
      </c>
      <c r="CC70" s="21">
        <f>IF(AS$55="si",SUMIFS(BS01_BS02!$L$72:$L$79,BS01_BS02!$N$72:$N$79,$A70,BS01_BS02!$O$72:$O$79,$B70),SUMIFS(BS01_BS02!$V$72:$V$79,BS01_BS02!$O$72:$O$79,$B70))</f>
        <v>8769023.7800000012</v>
      </c>
      <c r="CD70" s="21">
        <f t="shared" si="40"/>
        <v>104414520.3325</v>
      </c>
      <c r="CE70" s="21">
        <f t="shared" si="21"/>
        <v>212610857.94280934</v>
      </c>
      <c r="CG70" s="21"/>
    </row>
    <row r="71" spans="1:87" ht="16.5" customHeight="1" outlineLevel="1" x14ac:dyDescent="0.2">
      <c r="A71" s="14" t="str">
        <f t="shared" si="14"/>
        <v>SPT GyD</v>
      </c>
      <c r="B71" s="1" t="s">
        <v>311</v>
      </c>
      <c r="C71" s="26">
        <v>31826</v>
      </c>
      <c r="D71" s="26">
        <v>25077.41</v>
      </c>
      <c r="E71" s="26">
        <v>6748.59</v>
      </c>
      <c r="F71" s="26"/>
      <c r="G71" s="26">
        <v>0</v>
      </c>
      <c r="H71" s="26">
        <v>0</v>
      </c>
      <c r="I71" s="26">
        <v>0</v>
      </c>
      <c r="J71" s="21">
        <f t="shared" si="15"/>
        <v>31826</v>
      </c>
      <c r="K71" s="21"/>
      <c r="L71" s="21">
        <f t="shared" si="22"/>
        <v>25077.41</v>
      </c>
      <c r="M71" s="21">
        <f t="shared" si="23"/>
        <v>6748.59</v>
      </c>
      <c r="N71" s="14"/>
      <c r="O71" s="21">
        <f t="shared" si="24"/>
        <v>31826</v>
      </c>
      <c r="P71" s="15"/>
      <c r="Q71" s="15">
        <v>0</v>
      </c>
      <c r="R71" s="15">
        <v>0</v>
      </c>
      <c r="S71" s="15">
        <v>0</v>
      </c>
      <c r="T71" s="21">
        <f t="shared" si="25"/>
        <v>31826</v>
      </c>
      <c r="U71" s="21"/>
      <c r="V71" s="21">
        <f t="shared" si="41"/>
        <v>25077.41</v>
      </c>
      <c r="W71" s="21">
        <f t="shared" si="26"/>
        <v>6748.59</v>
      </c>
      <c r="Y71" s="21">
        <f t="shared" si="27"/>
        <v>31826</v>
      </c>
      <c r="Z71" s="26"/>
      <c r="AA71" s="26">
        <v>0</v>
      </c>
      <c r="AB71" s="26">
        <v>0</v>
      </c>
      <c r="AC71" s="26">
        <v>0</v>
      </c>
      <c r="AD71" s="21">
        <f t="shared" si="16"/>
        <v>31826</v>
      </c>
      <c r="AE71" s="21"/>
      <c r="AF71" s="21">
        <f t="shared" si="28"/>
        <v>25077.41</v>
      </c>
      <c r="AG71" s="21">
        <f t="shared" si="29"/>
        <v>6748.59</v>
      </c>
      <c r="AI71" s="21">
        <f t="shared" si="30"/>
        <v>31826</v>
      </c>
      <c r="AJ71" s="27"/>
      <c r="AK71" s="27"/>
      <c r="AL71" s="27"/>
      <c r="AM71" s="27"/>
      <c r="AN71" s="14">
        <f t="shared" si="31"/>
        <v>31826</v>
      </c>
      <c r="AO71" s="21"/>
      <c r="AP71" s="21">
        <f t="shared" si="32"/>
        <v>25077.41</v>
      </c>
      <c r="AQ71" s="14">
        <f t="shared" si="17"/>
        <v>6748.59</v>
      </c>
      <c r="AS71" s="21">
        <f t="shared" si="33"/>
        <v>31826</v>
      </c>
      <c r="AT71" s="21">
        <f>SUMIFS('Base ETESA'!$AJ:$AJ,'Base ETESA'!$BO:$BO,$A71,'Base ETESA'!$BP:$BP,$B71)</f>
        <v>0</v>
      </c>
      <c r="AX71" s="21">
        <f t="shared" si="42"/>
        <v>31826</v>
      </c>
      <c r="AY71" s="21">
        <f>IF(AS$55="si",SUMIFS(BS01_BS02!$I$72:$I$79,BS01_BS02!$N$72:$N$79,$A71,BS01_BS02!$O$72:$O$79,$B71),SUMIFS(BS01_BS02!$S$72:$S$79,BS01_BS02!$O$72:$O$79,$B71))</f>
        <v>0</v>
      </c>
      <c r="AZ71" s="21">
        <f t="shared" si="34"/>
        <v>25077.41</v>
      </c>
      <c r="BA71" s="21">
        <f t="shared" si="18"/>
        <v>6748.59</v>
      </c>
      <c r="BC71" s="21">
        <f t="shared" si="35"/>
        <v>31826</v>
      </c>
      <c r="BD71" s="21">
        <f>SUMIFS('Base ETESA'!$AQ:$AQ,'Base ETESA'!$BO:$BO,$A71,'Base ETESA'!$BP:$BP,$B71)</f>
        <v>0</v>
      </c>
      <c r="BH71" s="21">
        <f t="shared" si="46"/>
        <v>31826</v>
      </c>
      <c r="BI71" s="21">
        <f>IF(AS$55="si",SUMIFS(BS01_BS02!$J$72:$J$79,BS01_BS02!$N$72:$N$79,$A71,BS01_BS02!$O$72:$O$79,$B71),SUMIFS(BS01_BS02!$T$72:$T$79,BS01_BS02!$O$72:$O$79,$B71))</f>
        <v>0</v>
      </c>
      <c r="BJ71" s="21">
        <f t="shared" si="36"/>
        <v>25077.41</v>
      </c>
      <c r="BK71" s="21">
        <f t="shared" si="19"/>
        <v>6748.59</v>
      </c>
      <c r="BM71" s="21">
        <f t="shared" si="37"/>
        <v>31826</v>
      </c>
      <c r="BN71" s="21">
        <f>SUMIFS('Base ETESA'!$AX:$AX,'Base ETESA'!$BO:$BO,$A71,'Base ETESA'!$BP:$BP,$B71)</f>
        <v>0</v>
      </c>
      <c r="BR71" s="21">
        <f t="shared" si="47"/>
        <v>31826</v>
      </c>
      <c r="BS71" s="21">
        <f>IF(AS$55="si",SUMIFS(BS01_BS02!$K$72:$K$79,BS01_BS02!$N$72:$N$79,$A71,BS01_BS02!$O$72:$O$79,$B71),SUMIFS(BS01_BS02!$U$72:$U$79,BS01_BS02!$O$72:$O$79,$B71))</f>
        <v>0</v>
      </c>
      <c r="BT71" s="21">
        <f t="shared" si="38"/>
        <v>25077.41</v>
      </c>
      <c r="BU71" s="21">
        <f t="shared" si="20"/>
        <v>6748.59</v>
      </c>
      <c r="BW71" s="21">
        <f t="shared" si="39"/>
        <v>31826</v>
      </c>
      <c r="BX71" s="21">
        <f>SUMIFS('Base ETESA'!$BE:$BE,'Base ETESA'!$BO:$BO,$A71,'Base ETESA'!$BP:$BP,$B71)</f>
        <v>0</v>
      </c>
      <c r="CB71" s="21">
        <f t="shared" si="48"/>
        <v>31826</v>
      </c>
      <c r="CC71" s="21">
        <f>IF(AS$55="si",SUMIFS(BS01_BS02!$L$72:$L$79,BS01_BS02!$N$72:$N$79,$A71,BS01_BS02!$O$72:$O$79,$B71),SUMIFS(BS01_BS02!$V$72:$V$79,BS01_BS02!$O$72:$O$79,$B71))</f>
        <v>0</v>
      </c>
      <c r="CD71" s="21">
        <f t="shared" si="40"/>
        <v>25077.41</v>
      </c>
      <c r="CE71" s="21">
        <f t="shared" si="21"/>
        <v>6748.59</v>
      </c>
      <c r="CG71" s="21"/>
    </row>
    <row r="72" spans="1:87" ht="16.5" customHeight="1" outlineLevel="1" x14ac:dyDescent="0.2">
      <c r="A72" s="14" t="str">
        <f t="shared" si="14"/>
        <v>SPT GyD</v>
      </c>
      <c r="B72" s="1" t="s">
        <v>312</v>
      </c>
      <c r="C72" s="26">
        <v>3267407.6799999997</v>
      </c>
      <c r="D72" s="26">
        <v>841513.79999999993</v>
      </c>
      <c r="E72" s="26">
        <v>2425893.88</v>
      </c>
      <c r="F72" s="26"/>
      <c r="G72" s="26">
        <v>0</v>
      </c>
      <c r="H72" s="26">
        <v>0</v>
      </c>
      <c r="I72" s="26">
        <v>0</v>
      </c>
      <c r="J72" s="21">
        <f t="shared" si="15"/>
        <v>3267407.6799999997</v>
      </c>
      <c r="K72" s="21"/>
      <c r="L72" s="21">
        <f t="shared" si="22"/>
        <v>841513.79999999993</v>
      </c>
      <c r="M72" s="21">
        <f t="shared" si="23"/>
        <v>2425893.88</v>
      </c>
      <c r="N72" s="14"/>
      <c r="O72" s="21">
        <f t="shared" si="24"/>
        <v>3267407.6799999997</v>
      </c>
      <c r="P72" s="15"/>
      <c r="Q72" s="15">
        <v>0</v>
      </c>
      <c r="R72" s="15">
        <v>0</v>
      </c>
      <c r="S72" s="15">
        <v>0</v>
      </c>
      <c r="T72" s="21">
        <f t="shared" si="25"/>
        <v>3267407.6799999997</v>
      </c>
      <c r="U72" s="21"/>
      <c r="V72" s="21">
        <f t="shared" si="41"/>
        <v>841513.79999999993</v>
      </c>
      <c r="W72" s="21">
        <f t="shared" si="26"/>
        <v>2425893.88</v>
      </c>
      <c r="Y72" s="21">
        <f t="shared" si="27"/>
        <v>3267407.6799999997</v>
      </c>
      <c r="Z72" s="26"/>
      <c r="AA72" s="26">
        <v>0</v>
      </c>
      <c r="AB72" s="26">
        <v>0</v>
      </c>
      <c r="AC72" s="26">
        <v>0</v>
      </c>
      <c r="AD72" s="21">
        <f t="shared" si="16"/>
        <v>3267407.6799999997</v>
      </c>
      <c r="AE72" s="21"/>
      <c r="AF72" s="21">
        <f t="shared" si="28"/>
        <v>841513.79999999993</v>
      </c>
      <c r="AG72" s="21">
        <f t="shared" si="29"/>
        <v>2425893.88</v>
      </c>
      <c r="AI72" s="21">
        <f t="shared" si="30"/>
        <v>3267407.6799999997</v>
      </c>
      <c r="AJ72" s="27"/>
      <c r="AK72" s="27"/>
      <c r="AL72" s="27"/>
      <c r="AM72" s="27"/>
      <c r="AN72" s="14">
        <f t="shared" si="31"/>
        <v>3267407.6799999997</v>
      </c>
      <c r="AO72" s="21"/>
      <c r="AP72" s="21">
        <f t="shared" si="32"/>
        <v>841513.79999999993</v>
      </c>
      <c r="AQ72" s="14">
        <f t="shared" si="17"/>
        <v>2425893.88</v>
      </c>
      <c r="AS72" s="21">
        <f t="shared" si="33"/>
        <v>3267407.6799999997</v>
      </c>
      <c r="AT72" s="21">
        <f>SUMIFS('Base ETESA'!$AJ:$AJ,'Base ETESA'!$BO:$BO,$A72,'Base ETESA'!$BP:$BP,$B72)</f>
        <v>0</v>
      </c>
      <c r="AX72" s="21">
        <f t="shared" si="42"/>
        <v>3267407.6799999997</v>
      </c>
      <c r="AY72" s="21">
        <f>IF(AS$55="si",SUMIFS(BS01_BS02!$I$72:$I$79,BS01_BS02!$N$72:$N$79,$A72,BS01_BS02!$O$72:$O$79,$B72),SUMIFS(BS01_BS02!$S$72:$S$79,BS01_BS02!$O$72:$O$79,$B72))</f>
        <v>0</v>
      </c>
      <c r="AZ72" s="21">
        <f t="shared" si="34"/>
        <v>841513.79999999993</v>
      </c>
      <c r="BA72" s="21">
        <f t="shared" si="18"/>
        <v>2425893.88</v>
      </c>
      <c r="BC72" s="21">
        <f t="shared" si="35"/>
        <v>3267407.6799999997</v>
      </c>
      <c r="BD72" s="21">
        <f>SUMIFS('Base ETESA'!$AQ:$AQ,'Base ETESA'!$BO:$BO,$A72,'Base ETESA'!$BP:$BP,$B72)</f>
        <v>0</v>
      </c>
      <c r="BH72" s="21">
        <f t="shared" si="46"/>
        <v>3267407.6799999997</v>
      </c>
      <c r="BI72" s="21">
        <f>IF(AS$55="si",SUMIFS(BS01_BS02!$J$72:$J$79,BS01_BS02!$N$72:$N$79,$A72,BS01_BS02!$O$72:$O$79,$B72),SUMIFS(BS01_BS02!$T$72:$T$79,BS01_BS02!$O$72:$O$79,$B72))</f>
        <v>0</v>
      </c>
      <c r="BJ72" s="21">
        <f t="shared" si="36"/>
        <v>841513.79999999993</v>
      </c>
      <c r="BK72" s="21">
        <f t="shared" si="19"/>
        <v>2425893.88</v>
      </c>
      <c r="BM72" s="21">
        <f t="shared" si="37"/>
        <v>3267407.6799999997</v>
      </c>
      <c r="BN72" s="21">
        <f>SUMIFS('Base ETESA'!$AX:$AX,'Base ETESA'!$BO:$BO,$A72,'Base ETESA'!$BP:$BP,$B72)</f>
        <v>0</v>
      </c>
      <c r="BR72" s="21">
        <f t="shared" si="47"/>
        <v>3267407.6799999997</v>
      </c>
      <c r="BS72" s="21">
        <f>IF(AS$55="si",SUMIFS(BS01_BS02!$K$72:$K$79,BS01_BS02!$N$72:$N$79,$A72,BS01_BS02!$O$72:$O$79,$B72),SUMIFS(BS01_BS02!$U$72:$U$79,BS01_BS02!$O$72:$O$79,$B72))</f>
        <v>0</v>
      </c>
      <c r="BT72" s="21">
        <f t="shared" si="38"/>
        <v>841513.79999999993</v>
      </c>
      <c r="BU72" s="21">
        <f t="shared" si="20"/>
        <v>2425893.88</v>
      </c>
      <c r="BW72" s="21">
        <f t="shared" si="39"/>
        <v>3267407.6799999997</v>
      </c>
      <c r="BX72" s="21">
        <f>SUMIFS('Base ETESA'!$BE:$BE,'Base ETESA'!$BO:$BO,$A72,'Base ETESA'!$BP:$BP,$B72)</f>
        <v>0</v>
      </c>
      <c r="CB72" s="21">
        <f t="shared" si="48"/>
        <v>3267407.6799999997</v>
      </c>
      <c r="CC72" s="21">
        <f>IF(AS$55="si",SUMIFS(BS01_BS02!$L$72:$L$79,BS01_BS02!$N$72:$N$79,$A72,BS01_BS02!$O$72:$O$79,$B72),SUMIFS(BS01_BS02!$V$72:$V$79,BS01_BS02!$O$72:$O$79,$B72))</f>
        <v>0</v>
      </c>
      <c r="CD72" s="21">
        <f t="shared" si="40"/>
        <v>841513.79999999993</v>
      </c>
      <c r="CE72" s="21">
        <f t="shared" si="21"/>
        <v>2425893.88</v>
      </c>
      <c r="CG72" s="21"/>
    </row>
    <row r="73" spans="1:87" ht="16.5" customHeight="1" outlineLevel="1" x14ac:dyDescent="0.2">
      <c r="A73" s="14" t="str">
        <f t="shared" si="14"/>
        <v>SPT GyD</v>
      </c>
      <c r="B73" s="1" t="s">
        <v>313</v>
      </c>
      <c r="C73" s="26">
        <v>39052601.940000013</v>
      </c>
      <c r="D73" s="26">
        <v>19013360.91</v>
      </c>
      <c r="E73" s="26">
        <v>20039241.030000012</v>
      </c>
      <c r="F73" s="26"/>
      <c r="G73" s="26">
        <v>0</v>
      </c>
      <c r="H73" s="26">
        <v>0</v>
      </c>
      <c r="I73" s="26">
        <v>0</v>
      </c>
      <c r="J73" s="21">
        <f t="shared" si="15"/>
        <v>39052601.940000013</v>
      </c>
      <c r="K73" s="21">
        <v>1730389</v>
      </c>
      <c r="L73" s="21">
        <f t="shared" si="22"/>
        <v>20743749.91</v>
      </c>
      <c r="M73" s="21">
        <f t="shared" si="23"/>
        <v>18308852.030000012</v>
      </c>
      <c r="N73" s="14"/>
      <c r="O73" s="21">
        <f t="shared" si="24"/>
        <v>39052601.940000013</v>
      </c>
      <c r="P73" s="15"/>
      <c r="Q73" s="15">
        <v>0</v>
      </c>
      <c r="R73" s="15">
        <v>0</v>
      </c>
      <c r="S73" s="15">
        <v>0</v>
      </c>
      <c r="T73" s="21">
        <f t="shared" si="25"/>
        <v>39052601.940000013</v>
      </c>
      <c r="U73" s="21">
        <v>865202</v>
      </c>
      <c r="V73" s="21">
        <f t="shared" si="41"/>
        <v>21608951.91</v>
      </c>
      <c r="W73" s="21">
        <f t="shared" si="26"/>
        <v>17443650.030000012</v>
      </c>
      <c r="Y73" s="21">
        <f t="shared" si="27"/>
        <v>39052601.940000013</v>
      </c>
      <c r="Z73" s="320"/>
      <c r="AA73" s="26">
        <v>0</v>
      </c>
      <c r="AB73" s="26">
        <v>0</v>
      </c>
      <c r="AC73" s="26">
        <v>0</v>
      </c>
      <c r="AD73" s="21">
        <f t="shared" si="16"/>
        <v>39052601.940000013</v>
      </c>
      <c r="AE73" s="21">
        <v>857223</v>
      </c>
      <c r="AF73" s="21">
        <f t="shared" si="28"/>
        <v>22466174.91</v>
      </c>
      <c r="AG73" s="21">
        <f t="shared" si="29"/>
        <v>16586427.030000012</v>
      </c>
      <c r="AI73" s="21">
        <f t="shared" si="30"/>
        <v>39052601.940000013</v>
      </c>
      <c r="AJ73" s="27"/>
      <c r="AK73" s="321">
        <v>2604000</v>
      </c>
      <c r="AL73" s="321">
        <v>-412619</v>
      </c>
      <c r="AM73" s="27"/>
      <c r="AN73" s="14">
        <f t="shared" si="31"/>
        <v>36035982.940000013</v>
      </c>
      <c r="AO73" s="21">
        <v>775925</v>
      </c>
      <c r="AP73" s="21">
        <f t="shared" si="32"/>
        <v>23242099.91</v>
      </c>
      <c r="AQ73" s="14">
        <f t="shared" si="17"/>
        <v>12793883.030000012</v>
      </c>
      <c r="AS73" s="21">
        <f t="shared" si="33"/>
        <v>36035982.940000013</v>
      </c>
      <c r="AT73" s="21">
        <f>SUMIFS('Base ETESA'!$AJ:$AJ,'Base ETESA'!$BO:$BO,$A73,'Base ETESA'!$BP:$BP,$B73)</f>
        <v>0</v>
      </c>
      <c r="AX73" s="21">
        <f t="shared" si="42"/>
        <v>36035982.940000013</v>
      </c>
      <c r="AY73" s="21">
        <f>IF(AS$55="si",SUMIFS(BS01_BS02!$I$72:$I$79,BS01_BS02!$N$72:$N$79,$A73,BS01_BS02!$O$72:$O$79,$B73),SUMIFS(BS01_BS02!$S$72:$S$79,BS01_BS02!$O$72:$O$79,$B73))</f>
        <v>0</v>
      </c>
      <c r="AZ73" s="21">
        <f t="shared" si="34"/>
        <v>23242099.91</v>
      </c>
      <c r="BA73" s="21">
        <f t="shared" si="18"/>
        <v>12793883.030000012</v>
      </c>
      <c r="BC73" s="21">
        <f t="shared" si="35"/>
        <v>36035982.940000013</v>
      </c>
      <c r="BD73" s="21">
        <f>SUMIFS('Base ETESA'!$AQ:$AQ,'Base ETESA'!$BO:$BO,$A73,'Base ETESA'!$BP:$BP,$B73)</f>
        <v>0</v>
      </c>
      <c r="BH73" s="21">
        <f t="shared" si="46"/>
        <v>36035982.940000013</v>
      </c>
      <c r="BI73" s="21">
        <f>IF(AS$55="si",SUMIFS(BS01_BS02!$J$72:$J$79,BS01_BS02!$N$72:$N$79,$A73,BS01_BS02!$O$72:$O$79,$B73),SUMIFS(BS01_BS02!$T$72:$T$79,BS01_BS02!$O$72:$O$79,$B73))</f>
        <v>0</v>
      </c>
      <c r="BJ73" s="21">
        <f t="shared" si="36"/>
        <v>23242099.91</v>
      </c>
      <c r="BK73" s="21">
        <f t="shared" si="19"/>
        <v>12793883.030000012</v>
      </c>
      <c r="BM73" s="21">
        <f t="shared" si="37"/>
        <v>36035982.940000013</v>
      </c>
      <c r="BN73" s="21">
        <f>SUMIFS('Base ETESA'!$AX:$AX,'Base ETESA'!$BO:$BO,$A73,'Base ETESA'!$BP:$BP,$B73)</f>
        <v>0</v>
      </c>
      <c r="BR73" s="21">
        <f t="shared" si="47"/>
        <v>36035982.940000013</v>
      </c>
      <c r="BS73" s="21">
        <f>IF(AS$55="si",SUMIFS(BS01_BS02!$K$72:$K$79,BS01_BS02!$N$72:$N$79,$A73,BS01_BS02!$O$72:$O$79,$B73),SUMIFS(BS01_BS02!$U$72:$U$79,BS01_BS02!$O$72:$O$79,$B73))</f>
        <v>0</v>
      </c>
      <c r="BT73" s="21">
        <f t="shared" si="38"/>
        <v>23242099.91</v>
      </c>
      <c r="BU73" s="21">
        <f t="shared" si="20"/>
        <v>12793883.030000012</v>
      </c>
      <c r="BW73" s="21">
        <f t="shared" si="39"/>
        <v>36035982.940000013</v>
      </c>
      <c r="BX73" s="21">
        <f>SUMIFS('Base ETESA'!$BE:$BE,'Base ETESA'!$BO:$BO,$A73,'Base ETESA'!$BP:$BP,$B73)</f>
        <v>0</v>
      </c>
      <c r="CB73" s="21">
        <f t="shared" si="48"/>
        <v>36035982.940000013</v>
      </c>
      <c r="CC73" s="21">
        <f>IF(AS$55="si",SUMIFS(BS01_BS02!$L$72:$L$79,BS01_BS02!$N$72:$N$79,$A73,BS01_BS02!$O$72:$O$79,$B73),SUMIFS(BS01_BS02!$V$72:$V$79,BS01_BS02!$O$72:$O$79,$B73))</f>
        <v>0</v>
      </c>
      <c r="CD73" s="21">
        <f t="shared" si="40"/>
        <v>23242099.91</v>
      </c>
      <c r="CE73" s="21">
        <f t="shared" si="21"/>
        <v>12793883.030000012</v>
      </c>
    </row>
    <row r="74" spans="1:87" ht="16.5" customHeight="1" outlineLevel="1" x14ac:dyDescent="0.2">
      <c r="A74" s="14" t="str">
        <f t="shared" si="14"/>
        <v>SPT GyD</v>
      </c>
      <c r="B74" s="1" t="s">
        <v>314</v>
      </c>
      <c r="C74" s="26">
        <v>17475334.369999997</v>
      </c>
      <c r="D74" s="26">
        <v>14350427.35</v>
      </c>
      <c r="E74" s="26">
        <v>3124907.0199999977</v>
      </c>
      <c r="F74" s="320"/>
      <c r="G74" s="26">
        <v>0</v>
      </c>
      <c r="H74" s="26">
        <v>0</v>
      </c>
      <c r="I74" s="26">
        <v>0</v>
      </c>
      <c r="J74" s="21">
        <f t="shared" si="15"/>
        <v>17475334.369999997</v>
      </c>
      <c r="K74" s="21">
        <v>612824</v>
      </c>
      <c r="L74" s="21">
        <f t="shared" si="22"/>
        <v>14963251.35</v>
      </c>
      <c r="M74" s="21">
        <f t="shared" si="23"/>
        <v>2512083.0199999977</v>
      </c>
      <c r="N74" s="14"/>
      <c r="O74" s="21">
        <f t="shared" si="24"/>
        <v>17475334.369999997</v>
      </c>
      <c r="P74" s="724">
        <f>+P27</f>
        <v>229486.68</v>
      </c>
      <c r="Q74" s="15">
        <v>0</v>
      </c>
      <c r="R74" s="15">
        <v>0</v>
      </c>
      <c r="S74" s="15">
        <v>0</v>
      </c>
      <c r="T74" s="21">
        <f t="shared" si="25"/>
        <v>17704821.049999997</v>
      </c>
      <c r="U74" s="21">
        <v>613226</v>
      </c>
      <c r="V74" s="21">
        <f t="shared" si="41"/>
        <v>15576477.35</v>
      </c>
      <c r="W74" s="21">
        <f t="shared" si="26"/>
        <v>2128343.6999999974</v>
      </c>
      <c r="Y74" s="21">
        <f t="shared" si="27"/>
        <v>17704821.049999997</v>
      </c>
      <c r="Z74" s="320"/>
      <c r="AA74" s="26">
        <v>0</v>
      </c>
      <c r="AB74" s="26">
        <v>0</v>
      </c>
      <c r="AC74" s="26">
        <v>0</v>
      </c>
      <c r="AD74" s="21">
        <f t="shared" si="16"/>
        <v>17704821.049999997</v>
      </c>
      <c r="AE74" s="21">
        <v>755291</v>
      </c>
      <c r="AF74" s="21">
        <f t="shared" si="28"/>
        <v>16331768.35</v>
      </c>
      <c r="AG74" s="21">
        <f t="shared" si="29"/>
        <v>1373052.6999999974</v>
      </c>
      <c r="AI74" s="21">
        <f t="shared" si="30"/>
        <v>17704821.049999997</v>
      </c>
      <c r="AJ74" s="321"/>
      <c r="AK74" s="321"/>
      <c r="AL74" s="321"/>
      <c r="AM74" s="27">
        <v>0</v>
      </c>
      <c r="AN74" s="14">
        <f t="shared" si="31"/>
        <v>21037103.049999997</v>
      </c>
      <c r="AO74" s="21">
        <v>717696</v>
      </c>
      <c r="AP74" s="21">
        <f t="shared" si="32"/>
        <v>17349369.73</v>
      </c>
      <c r="AQ74" s="14">
        <f t="shared" si="17"/>
        <v>3687733.3199999966</v>
      </c>
      <c r="AS74" s="21">
        <f t="shared" si="33"/>
        <v>21037103.049999997</v>
      </c>
      <c r="AT74" s="21">
        <f>SUMIFS('Base ETESA'!$AJ:$AJ,'Base ETESA'!$BO:$BO,$A74,'Base ETESA'!$BP:$BP,$B74)</f>
        <v>0</v>
      </c>
      <c r="AX74" s="21">
        <f t="shared" si="42"/>
        <v>21037103.049999997</v>
      </c>
      <c r="AY74" s="21">
        <f>IF(AS$55="si",SUMIFS(BS01_BS02!$I$72:$I$79,BS01_BS02!$N$72:$N$79,$A74,BS01_BS02!$O$72:$O$79,$B74),SUMIFS(BS01_BS02!$S$72:$S$79,BS01_BS02!$O$72:$O$79,$B74))</f>
        <v>0</v>
      </c>
      <c r="AZ74" s="21">
        <f t="shared" si="34"/>
        <v>17349369.73</v>
      </c>
      <c r="BA74" s="21">
        <f t="shared" si="18"/>
        <v>3687733.3199999966</v>
      </c>
      <c r="BC74" s="21">
        <f t="shared" si="35"/>
        <v>21037103.049999997</v>
      </c>
      <c r="BD74" s="21">
        <f>SUMIFS('Base ETESA'!$AQ:$AQ,'Base ETESA'!$BO:$BO,$A74,'Base ETESA'!$BP:$BP,$B74)</f>
        <v>0</v>
      </c>
      <c r="BH74" s="21">
        <f t="shared" si="46"/>
        <v>21037103.049999997</v>
      </c>
      <c r="BI74" s="21">
        <f>IF(AS$55="si",SUMIFS(BS01_BS02!$J$72:$J$79,BS01_BS02!$N$72:$N$79,$A74,BS01_BS02!$O$72:$O$79,$B74),SUMIFS(BS01_BS02!$T$72:$T$79,BS01_BS02!$O$72:$O$79,$B74))</f>
        <v>0</v>
      </c>
      <c r="BJ74" s="21">
        <f t="shared" si="36"/>
        <v>17349369.73</v>
      </c>
      <c r="BK74" s="21">
        <f t="shared" si="19"/>
        <v>3687733.3199999966</v>
      </c>
      <c r="BM74" s="21">
        <f t="shared" si="37"/>
        <v>21037103.049999997</v>
      </c>
      <c r="BN74" s="21">
        <f>SUMIFS('Base ETESA'!$AX:$AX,'Base ETESA'!$BO:$BO,$A74,'Base ETESA'!$BP:$BP,$B74)</f>
        <v>0</v>
      </c>
      <c r="BR74" s="21">
        <f t="shared" si="47"/>
        <v>21037103.049999997</v>
      </c>
      <c r="BS74" s="21">
        <f>IF(AS$55="si",SUMIFS(BS01_BS02!$K$72:$K$79,BS01_BS02!$N$72:$N$79,$A74,BS01_BS02!$O$72:$O$79,$B74),SUMIFS(BS01_BS02!$U$72:$U$79,BS01_BS02!$O$72:$O$79,$B74))</f>
        <v>0</v>
      </c>
      <c r="BT74" s="21">
        <f t="shared" si="38"/>
        <v>17349369.73</v>
      </c>
      <c r="BU74" s="21">
        <f t="shared" si="20"/>
        <v>3687733.3199999966</v>
      </c>
      <c r="BW74" s="21">
        <f t="shared" si="39"/>
        <v>21037103.049999997</v>
      </c>
      <c r="BX74" s="21">
        <f>SUMIFS('Base ETESA'!$BE:$BE,'Base ETESA'!$BO:$BO,$A74,'Base ETESA'!$BP:$BP,$B74)</f>
        <v>0</v>
      </c>
      <c r="CB74" s="21">
        <f t="shared" si="48"/>
        <v>21037103.049999997</v>
      </c>
      <c r="CC74" s="21">
        <f>IF(AS$55="si",SUMIFS(BS01_BS02!$L$72:$L$79,BS01_BS02!$N$72:$N$79,$A74,BS01_BS02!$O$72:$O$79,$B74),SUMIFS(BS01_BS02!$V$72:$V$79,BS01_BS02!$O$72:$O$79,$B74))</f>
        <v>0</v>
      </c>
      <c r="CD74" s="21">
        <f t="shared" si="40"/>
        <v>17349369.73</v>
      </c>
      <c r="CE74" s="21">
        <f t="shared" si="21"/>
        <v>3687733.3199999966</v>
      </c>
    </row>
    <row r="75" spans="1:87" ht="16.5" customHeight="1" outlineLevel="1" x14ac:dyDescent="0.2">
      <c r="A75" s="14" t="str">
        <f t="shared" si="14"/>
        <v>SPT GyD</v>
      </c>
      <c r="B75" s="1" t="s">
        <v>315</v>
      </c>
      <c r="C75" s="26">
        <v>89012.98</v>
      </c>
      <c r="D75" s="26">
        <v>85254.27</v>
      </c>
      <c r="E75" s="26">
        <v>3758.7099999999919</v>
      </c>
      <c r="F75" s="26"/>
      <c r="G75" s="26">
        <v>0</v>
      </c>
      <c r="H75" s="26">
        <v>0</v>
      </c>
      <c r="I75" s="26">
        <v>0</v>
      </c>
      <c r="J75" s="21">
        <f t="shared" si="15"/>
        <v>89012.98</v>
      </c>
      <c r="K75" s="21"/>
      <c r="L75" s="21">
        <f t="shared" si="22"/>
        <v>85254.27</v>
      </c>
      <c r="M75" s="21">
        <f t="shared" si="23"/>
        <v>3758.7099999999919</v>
      </c>
      <c r="N75" s="14"/>
      <c r="O75" s="21">
        <f t="shared" si="24"/>
        <v>89012.98</v>
      </c>
      <c r="P75" s="15"/>
      <c r="Q75" s="15">
        <v>0</v>
      </c>
      <c r="R75" s="15">
        <v>0</v>
      </c>
      <c r="S75" s="15">
        <v>0</v>
      </c>
      <c r="T75" s="21">
        <f t="shared" si="25"/>
        <v>89012.98</v>
      </c>
      <c r="U75" s="21"/>
      <c r="V75" s="21">
        <f t="shared" si="41"/>
        <v>85254.27</v>
      </c>
      <c r="W75" s="21">
        <f t="shared" si="26"/>
        <v>3758.7099999999919</v>
      </c>
      <c r="Y75" s="21">
        <f t="shared" si="27"/>
        <v>89012.98</v>
      </c>
      <c r="Z75" s="26"/>
      <c r="AA75" s="26">
        <v>0</v>
      </c>
      <c r="AB75" s="26">
        <v>0</v>
      </c>
      <c r="AC75" s="26">
        <v>0</v>
      </c>
      <c r="AD75" s="21">
        <f t="shared" si="16"/>
        <v>89012.98</v>
      </c>
      <c r="AE75" s="21"/>
      <c r="AF75" s="21">
        <f t="shared" si="28"/>
        <v>85254.27</v>
      </c>
      <c r="AG75" s="21">
        <f t="shared" si="29"/>
        <v>3758.7099999999919</v>
      </c>
      <c r="AI75" s="21">
        <f t="shared" si="30"/>
        <v>89012.98</v>
      </c>
      <c r="AJ75" s="27"/>
      <c r="AK75" s="27">
        <v>0</v>
      </c>
      <c r="AL75" s="27">
        <v>0</v>
      </c>
      <c r="AM75" s="27">
        <v>0</v>
      </c>
      <c r="AN75" s="14">
        <f t="shared" si="31"/>
        <v>89012.98</v>
      </c>
      <c r="AO75" s="21"/>
      <c r="AP75" s="21">
        <f t="shared" si="32"/>
        <v>85254.27</v>
      </c>
      <c r="AQ75" s="14">
        <f t="shared" si="17"/>
        <v>3758.7099999999919</v>
      </c>
      <c r="AS75" s="21">
        <f t="shared" si="33"/>
        <v>89012.98</v>
      </c>
      <c r="AT75" s="21">
        <f>SUMIFS('Base ETESA'!$AJ:$AJ,'Base ETESA'!$BO:$BO,$A75,'Base ETESA'!$BP:$BP,$B75)</f>
        <v>0</v>
      </c>
      <c r="AX75" s="21">
        <f t="shared" si="42"/>
        <v>89012.98</v>
      </c>
      <c r="AY75" s="21">
        <f>IF(AS$55="si",SUMIFS(BS01_BS02!$I$72:$I$79,BS01_BS02!$N$72:$N$79,$A75,BS01_BS02!$O$72:$O$79,$B75),SUMIFS(BS01_BS02!$S$72:$S$79,BS01_BS02!$O$72:$O$79,$B75))</f>
        <v>0</v>
      </c>
      <c r="AZ75" s="21">
        <f t="shared" si="34"/>
        <v>85254.27</v>
      </c>
      <c r="BA75" s="21">
        <f t="shared" si="18"/>
        <v>3758.7099999999919</v>
      </c>
      <c r="BC75" s="21">
        <f t="shared" si="35"/>
        <v>89012.98</v>
      </c>
      <c r="BD75" s="21">
        <f>SUMIFS('Base ETESA'!$AQ:$AQ,'Base ETESA'!$BO:$BO,$A75,'Base ETESA'!$BP:$BP,$B75)</f>
        <v>0</v>
      </c>
      <c r="BH75" s="21">
        <f t="shared" si="46"/>
        <v>89012.98</v>
      </c>
      <c r="BI75" s="21">
        <f>IF(AS$55="si",SUMIFS(BS01_BS02!$J$72:$J$79,BS01_BS02!$N$72:$N$79,$A75,BS01_BS02!$O$72:$O$79,$B75),SUMIFS(BS01_BS02!$T$72:$T$79,BS01_BS02!$O$72:$O$79,$B75))</f>
        <v>0</v>
      </c>
      <c r="BJ75" s="21">
        <f t="shared" si="36"/>
        <v>85254.27</v>
      </c>
      <c r="BK75" s="21">
        <f t="shared" si="19"/>
        <v>3758.7099999999919</v>
      </c>
      <c r="BM75" s="21">
        <f t="shared" si="37"/>
        <v>89012.98</v>
      </c>
      <c r="BN75" s="21">
        <f>SUMIFS('Base ETESA'!$AX:$AX,'Base ETESA'!$BO:$BO,$A75,'Base ETESA'!$BP:$BP,$B75)</f>
        <v>0</v>
      </c>
      <c r="BR75" s="21">
        <f t="shared" si="47"/>
        <v>89012.98</v>
      </c>
      <c r="BS75" s="21">
        <f>IF(AS$55="si",SUMIFS(BS01_BS02!$K$72:$K$79,BS01_BS02!$N$72:$N$79,$A75,BS01_BS02!$O$72:$O$79,$B75),SUMIFS(BS01_BS02!$U$72:$U$79,BS01_BS02!$O$72:$O$79,$B75))</f>
        <v>0</v>
      </c>
      <c r="BT75" s="21">
        <f t="shared" si="38"/>
        <v>85254.27</v>
      </c>
      <c r="BU75" s="21">
        <f t="shared" si="20"/>
        <v>3758.7099999999919</v>
      </c>
      <c r="BW75" s="21">
        <f t="shared" si="39"/>
        <v>89012.98</v>
      </c>
      <c r="BX75" s="21">
        <f>SUMIFS('Base ETESA'!$BE:$BE,'Base ETESA'!$BO:$BO,$A75,'Base ETESA'!$BP:$BP,$B75)</f>
        <v>0</v>
      </c>
      <c r="CB75" s="21">
        <f t="shared" si="48"/>
        <v>89012.98</v>
      </c>
      <c r="CC75" s="21">
        <f>IF(AS$55="si",SUMIFS(BS01_BS02!$L$72:$L$79,BS01_BS02!$N$72:$N$79,$A75,BS01_BS02!$O$72:$O$79,$B75),SUMIFS(BS01_BS02!$V$72:$V$79,BS01_BS02!$O$72:$O$79,$B75))</f>
        <v>0</v>
      </c>
      <c r="CD75" s="21">
        <f t="shared" si="40"/>
        <v>85254.27</v>
      </c>
      <c r="CE75" s="21">
        <f t="shared" si="21"/>
        <v>3758.7099999999919</v>
      </c>
    </row>
    <row r="76" spans="1:87" ht="16.5" customHeight="1" outlineLevel="1" x14ac:dyDescent="0.2">
      <c r="A76" s="14" t="str">
        <f t="shared" si="14"/>
        <v>SPT GyD</v>
      </c>
      <c r="B76" s="1" t="s">
        <v>316</v>
      </c>
      <c r="C76" s="26">
        <v>3.0000000027939677E-2</v>
      </c>
      <c r="D76" s="26">
        <v>0</v>
      </c>
      <c r="E76" s="26">
        <v>3.0000000027939677E-2</v>
      </c>
      <c r="F76" s="26">
        <v>0</v>
      </c>
      <c r="G76" s="26">
        <v>0</v>
      </c>
      <c r="H76" s="26">
        <v>0</v>
      </c>
      <c r="I76" s="26">
        <v>0</v>
      </c>
      <c r="J76" s="21">
        <f t="shared" si="15"/>
        <v>3.0000000027939677E-2</v>
      </c>
      <c r="K76" s="21"/>
      <c r="L76" s="21">
        <f t="shared" si="22"/>
        <v>0</v>
      </c>
      <c r="M76" s="21">
        <f t="shared" si="23"/>
        <v>3.0000000027939677E-2</v>
      </c>
      <c r="O76" s="21">
        <f t="shared" si="24"/>
        <v>3.0000000027939677E-2</v>
      </c>
      <c r="P76" s="15"/>
      <c r="Q76" s="15">
        <v>0</v>
      </c>
      <c r="R76" s="15">
        <v>0</v>
      </c>
      <c r="S76" s="15">
        <v>0</v>
      </c>
      <c r="T76" s="21">
        <f t="shared" si="25"/>
        <v>3.0000000027939677E-2</v>
      </c>
      <c r="U76" s="21"/>
      <c r="V76" s="21">
        <f t="shared" si="41"/>
        <v>0</v>
      </c>
      <c r="W76" s="21">
        <f t="shared" si="26"/>
        <v>3.0000000027939677E-2</v>
      </c>
      <c r="Y76" s="21">
        <f t="shared" si="27"/>
        <v>3.0000000027939677E-2</v>
      </c>
      <c r="Z76" s="26"/>
      <c r="AA76" s="26">
        <v>0</v>
      </c>
      <c r="AB76" s="26">
        <v>0</v>
      </c>
      <c r="AC76" s="26">
        <v>0</v>
      </c>
      <c r="AD76" s="21">
        <f t="shared" si="16"/>
        <v>3.0000000027939677E-2</v>
      </c>
      <c r="AE76" s="21"/>
      <c r="AF76" s="21">
        <f t="shared" si="28"/>
        <v>0</v>
      </c>
      <c r="AG76" s="21">
        <f t="shared" si="29"/>
        <v>3.0000000027939677E-2</v>
      </c>
      <c r="AI76" s="21">
        <f t="shared" si="30"/>
        <v>3.0000000027939677E-2</v>
      </c>
      <c r="AJ76" s="27"/>
      <c r="AK76" s="27">
        <v>0</v>
      </c>
      <c r="AL76" s="27">
        <v>0</v>
      </c>
      <c r="AM76" s="27">
        <v>0</v>
      </c>
      <c r="AN76" s="14">
        <f t="shared" si="31"/>
        <v>3.0000000027939677E-2</v>
      </c>
      <c r="AO76" s="21"/>
      <c r="AP76" s="21">
        <f t="shared" si="32"/>
        <v>0</v>
      </c>
      <c r="AQ76" s="14">
        <f>+AN76-AP76</f>
        <v>3.0000000027939677E-2</v>
      </c>
      <c r="AS76" s="21">
        <f t="shared" si="33"/>
        <v>3.0000000027939677E-2</v>
      </c>
      <c r="AT76" s="21">
        <f>SUMIFS('Base ETESA'!$AJ:$AJ,'Base ETESA'!$BO:$BO,$A76,'Base ETESA'!$BP:$BP,$B76)</f>
        <v>0</v>
      </c>
      <c r="AX76" s="21">
        <f t="shared" si="42"/>
        <v>3.0000000027939677E-2</v>
      </c>
      <c r="AY76" s="21">
        <f>IF(AS$55="si",SUMIFS(BS01_BS02!$I$72:$I$79,BS01_BS02!$N$72:$N$79,$A76,BS01_BS02!$O$72:$O$79,$B76),SUMIFS(BS01_BS02!$S$72:$S$79,BS01_BS02!$O$72:$O$79,$B76))</f>
        <v>0</v>
      </c>
      <c r="AZ76" s="21">
        <f t="shared" si="34"/>
        <v>0</v>
      </c>
      <c r="BA76" s="21">
        <f>+AX76-AZ76</f>
        <v>3.0000000027939677E-2</v>
      </c>
      <c r="BC76" s="21">
        <f t="shared" si="35"/>
        <v>3.0000000027939677E-2</v>
      </c>
      <c r="BD76" s="21">
        <f>SUMIFS('Base ETESA'!$AQ:$AQ,'Base ETESA'!$BO:$BO,$A76,'Base ETESA'!$BP:$BP,$B76)</f>
        <v>0</v>
      </c>
      <c r="BH76" s="21">
        <f t="shared" si="46"/>
        <v>3.0000000027939677E-2</v>
      </c>
      <c r="BI76" s="21">
        <f>IF(AS$55="si",SUMIFS(BS01_BS02!$J$72:$J$79,BS01_BS02!$N$72:$N$79,$A76,BS01_BS02!$O$72:$O$79,$B76),SUMIFS(BS01_BS02!$T$72:$T$79,BS01_BS02!$O$72:$O$79,$B76))</f>
        <v>0</v>
      </c>
      <c r="BJ76" s="21">
        <f t="shared" si="36"/>
        <v>0</v>
      </c>
      <c r="BK76" s="21">
        <f>+BH76-BJ76</f>
        <v>3.0000000027939677E-2</v>
      </c>
      <c r="BM76" s="21">
        <f t="shared" si="37"/>
        <v>3.0000000027939677E-2</v>
      </c>
      <c r="BN76" s="21">
        <f>SUMIFS('Base ETESA'!$AX:$AX,'Base ETESA'!$BO:$BO,$A76,'Base ETESA'!$BP:$BP,$B76)</f>
        <v>0</v>
      </c>
      <c r="BR76" s="21">
        <f t="shared" si="47"/>
        <v>3.0000000027939677E-2</v>
      </c>
      <c r="BS76" s="21">
        <f>IF(AS$55="si",SUMIFS(BS01_BS02!$K$72:$K$79,BS01_BS02!$N$72:$N$79,$A76,BS01_BS02!$O$72:$O$79,$B76),SUMIFS(BS01_BS02!$U$72:$U$79,BS01_BS02!$O$72:$O$79,$B76))</f>
        <v>0</v>
      </c>
      <c r="BT76" s="21">
        <f t="shared" si="38"/>
        <v>0</v>
      </c>
      <c r="BU76" s="21">
        <f>+BR76-BT76</f>
        <v>3.0000000027939677E-2</v>
      </c>
      <c r="BW76" s="21">
        <f t="shared" si="39"/>
        <v>3.0000000027939677E-2</v>
      </c>
      <c r="BX76" s="21">
        <f>SUMIFS('Base ETESA'!$BE:$BE,'Base ETESA'!$BO:$BO,$A76,'Base ETESA'!$BP:$BP,$B76)</f>
        <v>0</v>
      </c>
      <c r="CB76" s="21">
        <f t="shared" si="48"/>
        <v>3.0000000027939677E-2</v>
      </c>
      <c r="CC76" s="21">
        <f>IF(AS$55="si",SUMIFS(BS01_BS02!$L$72:$L$79,BS01_BS02!$N$72:$N$79,$A76,BS01_BS02!$O$72:$O$79,$B76),SUMIFS(BS01_BS02!$V$72:$V$79,BS01_BS02!$O$72:$O$79,$B76))</f>
        <v>0</v>
      </c>
      <c r="CD76" s="21">
        <f t="shared" si="40"/>
        <v>0</v>
      </c>
      <c r="CE76" s="21">
        <f>+CB76-CD76</f>
        <v>3.0000000027939677E-2</v>
      </c>
    </row>
    <row r="77" spans="1:87" ht="16.5" customHeight="1" thickBot="1" x14ac:dyDescent="0.25">
      <c r="A77" s="14" t="str">
        <f t="shared" si="14"/>
        <v>SPT GyD</v>
      </c>
      <c r="B77" s="16" t="s">
        <v>317</v>
      </c>
      <c r="C77" s="22">
        <f>+SUM(C62:C76)</f>
        <v>367674767.96403384</v>
      </c>
      <c r="D77" s="22">
        <f>+SUM(D62:D76)</f>
        <v>172470143.84</v>
      </c>
      <c r="E77" s="22">
        <f>+SUM(E62:E76)</f>
        <v>195204624.1240339</v>
      </c>
      <c r="F77" s="22">
        <f>SUM(F62:F76)</f>
        <v>2176375.36</v>
      </c>
      <c r="G77" s="22">
        <f t="shared" ref="G77:M77" si="49">SUM(G62:G76)</f>
        <v>0</v>
      </c>
      <c r="H77" s="22">
        <f t="shared" si="49"/>
        <v>1323437</v>
      </c>
      <c r="I77" s="22">
        <f t="shared" si="49"/>
        <v>0</v>
      </c>
      <c r="J77" s="22">
        <f t="shared" si="49"/>
        <v>371174580.32403386</v>
      </c>
      <c r="K77" s="22">
        <f t="shared" si="49"/>
        <v>15448790.777728345</v>
      </c>
      <c r="L77" s="22">
        <f>SUM(L62:L76)</f>
        <v>187918934.61772835</v>
      </c>
      <c r="M77" s="22">
        <f t="shared" si="49"/>
        <v>183255645.70630553</v>
      </c>
      <c r="O77" s="22">
        <f>SUM(O62:O76)</f>
        <v>371174580.32403386</v>
      </c>
      <c r="P77" s="22">
        <f>SUM(P62:P76)</f>
        <v>15250445.959999999</v>
      </c>
      <c r="Q77" s="22">
        <f t="shared" ref="Q77:U77" si="50">SUM(Q62:Q76)</f>
        <v>0</v>
      </c>
      <c r="R77" s="22">
        <f t="shared" si="50"/>
        <v>0</v>
      </c>
      <c r="S77" s="22">
        <f t="shared" si="50"/>
        <v>0</v>
      </c>
      <c r="T77" s="22">
        <f t="shared" si="50"/>
        <v>386425026.28403389</v>
      </c>
      <c r="U77" s="22">
        <f t="shared" si="50"/>
        <v>12592657</v>
      </c>
      <c r="V77" s="22">
        <f>SUM(V62:V76)</f>
        <v>200511591.61772835</v>
      </c>
      <c r="W77" s="22">
        <f>SUM(W62:W76)</f>
        <v>185913434.66630551</v>
      </c>
      <c r="Y77" s="22">
        <f>SUM(Y62:Y76)</f>
        <v>386425026.28403389</v>
      </c>
      <c r="Z77" s="22">
        <f>SUM(Z62:Z76)</f>
        <v>12883310.890000001</v>
      </c>
      <c r="AA77" s="22">
        <f t="shared" ref="AA77:AE77" si="51">SUM(AA62:AA76)</f>
        <v>0</v>
      </c>
      <c r="AB77" s="22">
        <f t="shared" si="51"/>
        <v>0</v>
      </c>
      <c r="AC77" s="22">
        <f t="shared" si="51"/>
        <v>0</v>
      </c>
      <c r="AD77" s="22">
        <f t="shared" si="51"/>
        <v>399308337.17403388</v>
      </c>
      <c r="AE77" s="22">
        <f t="shared" si="51"/>
        <v>11668599</v>
      </c>
      <c r="AF77" s="22">
        <f>SUM(AF62:AF76)</f>
        <v>212180190.61772835</v>
      </c>
      <c r="AG77" s="22">
        <f>SUM(AG62:AG76)</f>
        <v>187128146.55630553</v>
      </c>
      <c r="AI77" s="5">
        <f>SUM(AI62:AI76)</f>
        <v>399308337.17403388</v>
      </c>
      <c r="AJ77" s="5">
        <f>SUM(AJ62:AJ76)</f>
        <v>40436713.289999999</v>
      </c>
      <c r="AK77" s="5">
        <f t="shared" ref="AK77:AO77" si="52">SUM(AK62:AK76)</f>
        <v>6765912</v>
      </c>
      <c r="AL77" s="5">
        <f t="shared" si="52"/>
        <v>-412619</v>
      </c>
      <c r="AM77" s="5">
        <f t="shared" si="52"/>
        <v>0</v>
      </c>
      <c r="AN77" s="5">
        <f t="shared" si="52"/>
        <v>818481689.53403389</v>
      </c>
      <c r="AO77" s="5">
        <f t="shared" si="52"/>
        <v>10961336</v>
      </c>
      <c r="AP77" s="5">
        <f>SUM(AP62:AP76)</f>
        <v>255829595.93272835</v>
      </c>
      <c r="AQ77" s="5">
        <f>SUM(AQ62:AQ76)</f>
        <v>562652093.6013056</v>
      </c>
      <c r="AS77" s="5">
        <f>SUM(AS62:AS76)</f>
        <v>818481689.53403389</v>
      </c>
      <c r="AT77" s="5">
        <f>SUM(AT62:AT76)</f>
        <v>66710005.62999732</v>
      </c>
      <c r="AX77" s="5">
        <f t="shared" ref="AX77:AY77" si="53">SUM(AX62:AX76)</f>
        <v>885191695.16403115</v>
      </c>
      <c r="AY77" s="5">
        <f t="shared" si="53"/>
        <v>27181727.929999989</v>
      </c>
      <c r="AZ77" s="5">
        <f>SUM(AZ62:AZ76)</f>
        <v>283011323.86272836</v>
      </c>
      <c r="BA77" s="5">
        <f>SUM(BA62:BA76)</f>
        <v>602180371.30130303</v>
      </c>
      <c r="BC77" s="5">
        <f>SUM(BC62:BC76)</f>
        <v>885191695.16403115</v>
      </c>
      <c r="BD77" s="5">
        <f>SUM(BD62:BD76)</f>
        <v>52006919.39999976</v>
      </c>
      <c r="BH77" s="5">
        <f t="shared" ref="BH77:BI77" si="54">SUM(BH62:BH76)</f>
        <v>937198614.564031</v>
      </c>
      <c r="BI77" s="5">
        <f t="shared" si="54"/>
        <v>14078050.070000011</v>
      </c>
      <c r="BJ77" s="5">
        <f>SUM(BJ62:BJ76)</f>
        <v>297089373.93272835</v>
      </c>
      <c r="BK77" s="5">
        <f>SUM(BK62:BK76)</f>
        <v>640109240.63130271</v>
      </c>
      <c r="BM77" s="5">
        <f>SUM(BM62:BM76)</f>
        <v>937198614.564031</v>
      </c>
      <c r="BN77" s="5">
        <f>SUM(BN62:BN76)</f>
        <v>14861190.240000015</v>
      </c>
      <c r="BR77" s="5">
        <f t="shared" ref="BR77:BS77" si="55">SUM(BR62:BR76)</f>
        <v>952059804.80403101</v>
      </c>
      <c r="BS77" s="5">
        <f t="shared" si="55"/>
        <v>52577037.790000007</v>
      </c>
      <c r="BT77" s="5">
        <f>SUM(BT62:BT76)</f>
        <v>349666411.72272843</v>
      </c>
      <c r="BU77" s="5">
        <f>SUM(BU62:BU76)</f>
        <v>602393393.08130276</v>
      </c>
      <c r="BW77" s="5">
        <f>SUM(BW62:BW76)</f>
        <v>952059804.80403101</v>
      </c>
      <c r="BX77" s="5">
        <f>SUM(BX62:BX76)</f>
        <v>117653269.97999996</v>
      </c>
      <c r="CB77" s="5">
        <f t="shared" ref="CB77:CC77" si="56">SUM(CB62:CB76)</f>
        <v>1069713074.7840309</v>
      </c>
      <c r="CC77" s="5">
        <f t="shared" si="56"/>
        <v>35307402.209999993</v>
      </c>
      <c r="CD77" s="5">
        <f>SUM(CD62:CD76)</f>
        <v>384973813.93272841</v>
      </c>
      <c r="CE77" s="5">
        <f>SUM(CE62:CE76)</f>
        <v>684739260.85130274</v>
      </c>
      <c r="CG77" s="21"/>
    </row>
    <row r="78" spans="1:87" ht="16.5" customHeight="1" thickTop="1" x14ac:dyDescent="0.2">
      <c r="A78" s="14"/>
      <c r="B78" s="16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O78" s="31"/>
      <c r="P78" s="31"/>
      <c r="Q78" s="31"/>
      <c r="R78" s="31"/>
      <c r="S78" s="31"/>
      <c r="T78" s="31"/>
      <c r="U78" s="31"/>
      <c r="V78" s="31"/>
      <c r="W78" s="31"/>
      <c r="Y78" s="31"/>
      <c r="Z78" s="31"/>
      <c r="AA78" s="31"/>
      <c r="AB78" s="31"/>
      <c r="AC78" s="31"/>
      <c r="AD78" s="31"/>
      <c r="AE78" s="31"/>
      <c r="AF78" s="31"/>
      <c r="AG78" s="31"/>
      <c r="AI78" s="6"/>
      <c r="AJ78" s="6"/>
      <c r="AK78" s="6"/>
      <c r="AL78" s="6"/>
      <c r="AM78" s="6"/>
      <c r="AN78" s="6"/>
      <c r="AO78" s="6"/>
      <c r="AP78" s="6"/>
      <c r="AQ78" s="6"/>
      <c r="AR78" s="21"/>
      <c r="AS78" s="6"/>
      <c r="AX78" s="6"/>
      <c r="AZ78" s="6"/>
      <c r="BA78" s="6"/>
      <c r="BC78" s="6"/>
      <c r="BH78" s="6"/>
      <c r="BJ78" s="6"/>
      <c r="BK78" s="6"/>
      <c r="BM78" s="6"/>
      <c r="BR78" s="6"/>
      <c r="BT78" s="6"/>
      <c r="BU78" s="6"/>
      <c r="BW78" s="6"/>
      <c r="CB78" s="6"/>
      <c r="CD78" s="6"/>
      <c r="CE78" s="6"/>
    </row>
    <row r="79" spans="1:87" ht="16.5" customHeight="1" x14ac:dyDescent="0.2">
      <c r="A79" s="13"/>
      <c r="B79" s="19" t="s">
        <v>318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O79" s="31"/>
      <c r="P79" s="31"/>
      <c r="Q79" s="31"/>
      <c r="R79" s="31"/>
      <c r="S79" s="31"/>
      <c r="T79" s="31"/>
      <c r="U79" s="31"/>
      <c r="V79" s="31"/>
      <c r="W79" s="31"/>
      <c r="Y79" s="31"/>
      <c r="Z79" s="31"/>
      <c r="AA79" s="31"/>
      <c r="AB79" s="31"/>
      <c r="AC79" s="31"/>
      <c r="AD79" s="31"/>
      <c r="AE79" s="31"/>
      <c r="AF79" s="31"/>
      <c r="AG79" s="31"/>
      <c r="AI79" s="6"/>
      <c r="AJ79" s="6"/>
      <c r="AK79" s="6"/>
      <c r="AL79" s="6"/>
      <c r="AM79" s="6"/>
      <c r="AN79" s="6"/>
      <c r="AO79" s="1133"/>
      <c r="AP79" s="6"/>
      <c r="AQ79" s="6"/>
      <c r="AS79" s="6"/>
      <c r="AX79" s="6"/>
      <c r="AZ79" s="6"/>
      <c r="BA79" s="6"/>
      <c r="BC79" s="6"/>
      <c r="BH79" s="6"/>
      <c r="BJ79" s="6"/>
      <c r="BK79" s="6"/>
      <c r="BM79" s="6"/>
      <c r="BR79" s="6"/>
      <c r="BT79" s="6"/>
      <c r="BU79" s="6"/>
      <c r="BW79" s="6"/>
      <c r="CB79" s="6"/>
      <c r="CD79" s="6"/>
      <c r="CE79" s="6"/>
    </row>
    <row r="80" spans="1:87" ht="16.5" customHeight="1" x14ac:dyDescent="0.2">
      <c r="A80" s="14" t="str">
        <f>+$B$79</f>
        <v>SPT D</v>
      </c>
      <c r="B80" s="1" t="s">
        <v>302</v>
      </c>
      <c r="C80" s="26">
        <v>0</v>
      </c>
      <c r="D80" s="26">
        <v>0</v>
      </c>
      <c r="E80" s="26">
        <v>0</v>
      </c>
      <c r="F80" s="31"/>
      <c r="G80" s="31"/>
      <c r="H80" s="31"/>
      <c r="I80" s="31"/>
      <c r="J80" s="21">
        <f t="shared" ref="J80" si="57">+C80+F80-G80+H80+I80</f>
        <v>0</v>
      </c>
      <c r="K80" s="21"/>
      <c r="L80" s="21">
        <f>+D80</f>
        <v>0</v>
      </c>
      <c r="M80" s="21">
        <f>+J80-L80</f>
        <v>0</v>
      </c>
      <c r="O80" s="31">
        <f>+J80</f>
        <v>0</v>
      </c>
      <c r="P80" s="31"/>
      <c r="Q80" s="31"/>
      <c r="R80" s="31"/>
      <c r="S80" s="31"/>
      <c r="T80" s="21">
        <f>+O80+P80-Q80+R80+S80</f>
        <v>0</v>
      </c>
      <c r="U80" s="31">
        <f>+J80*$E$21</f>
        <v>0</v>
      </c>
      <c r="V80" s="21">
        <f t="shared" ref="V80:V94" si="58">+L80+U80</f>
        <v>0</v>
      </c>
      <c r="W80" s="21">
        <f t="shared" ref="W80:W94" si="59">+T80-V80</f>
        <v>0</v>
      </c>
      <c r="Y80" s="21">
        <f t="shared" ref="Y80:Y94" si="60">+T80</f>
        <v>0</v>
      </c>
      <c r="Z80" s="31"/>
      <c r="AA80" s="31"/>
      <c r="AB80" s="31"/>
      <c r="AC80" s="31"/>
      <c r="AD80" s="21">
        <f>+Y80+Z80-AA80+AB80+AC80</f>
        <v>0</v>
      </c>
      <c r="AE80" s="31">
        <f>+T80*$E$21</f>
        <v>0</v>
      </c>
      <c r="AF80" s="21">
        <f t="shared" ref="AF80:AF94" si="61">+V80+AE80</f>
        <v>0</v>
      </c>
      <c r="AG80" s="21">
        <f t="shared" ref="AG80:AG94" si="62">+AD80-AF80</f>
        <v>0</v>
      </c>
      <c r="AI80" s="6">
        <f>+AD80</f>
        <v>0</v>
      </c>
      <c r="AJ80" s="6"/>
      <c r="AK80" s="6"/>
      <c r="AL80" s="6"/>
      <c r="AM80" s="6"/>
      <c r="AN80" s="21">
        <f>IF($AS$55="no",AI80+AJ80-AK80+AL80+AM80,)</f>
        <v>0</v>
      </c>
      <c r="AO80" s="31">
        <f>+AD80*$E$21</f>
        <v>0</v>
      </c>
      <c r="AP80" s="21">
        <f>IF($AS$55="no",AF80+AO80,)</f>
        <v>0</v>
      </c>
      <c r="AQ80" s="21">
        <f t="shared" ref="AQ80:AQ94" si="63">+AN80-AP80</f>
        <v>0</v>
      </c>
      <c r="AS80" s="21">
        <f>AN80</f>
        <v>0</v>
      </c>
      <c r="AT80" s="21">
        <f>SUMIFS('Base ETESA'!$AJ:$AJ,'Base ETESA'!$BO:$BO,$A80,'Base ETESA'!$BP:$BP,$B80)</f>
        <v>0</v>
      </c>
      <c r="AX80" s="21">
        <f>+AS80+AT80-AU80+AV80+AW80</f>
        <v>0</v>
      </c>
      <c r="AY80" s="21">
        <f>IF(AS$55="si",SUMIFS(BS01_BS02!$I$72:$I$79,BS01_BS02!$N$72:$N$79,$A80,BS01_BS02!$O$72:$O$79,$B80),SUMIFS(BS01_BS02!$W$72:$W$79,BS01_BS02!$O$72:$O$79,$B80))</f>
        <v>0</v>
      </c>
      <c r="AZ80" s="21">
        <f t="shared" ref="AZ80:AZ94" si="64">+AP80+AY80</f>
        <v>0</v>
      </c>
      <c r="BA80" s="21">
        <f t="shared" ref="BA80:BA94" si="65">+AX80-AZ80</f>
        <v>0</v>
      </c>
      <c r="BC80" s="6">
        <f>+AX80</f>
        <v>0</v>
      </c>
      <c r="BD80" s="21">
        <f>SUMIFS('Base ETESA'!$AQ:$AQ,'Base ETESA'!$BO:$BO,$A80,'Base ETESA'!$BP:$BP,$B80)</f>
        <v>0</v>
      </c>
      <c r="BH80" s="21">
        <f>+BC80+BD80-BE80+BF80+BG80</f>
        <v>0</v>
      </c>
      <c r="BI80" s="21">
        <f>IF(AS$55="si",SUMIFS(BS01_BS02!$J$72:$J$79,BS01_BS02!$N$72:$N$79,$A80,BS01_BS02!$O$72:$O$79,$B80),SUMIFS(BS01_BS02!$X$72:$X$79,BS01_BS02!$O$72:$O$79,$B80))</f>
        <v>0</v>
      </c>
      <c r="BJ80" s="21">
        <f t="shared" ref="BJ80:BJ94" si="66">+AZ80+BI80</f>
        <v>0</v>
      </c>
      <c r="BK80" s="21">
        <f t="shared" ref="BK80:BK94" si="67">+BH80-BJ80</f>
        <v>0</v>
      </c>
      <c r="BM80" s="6">
        <f>+BH80</f>
        <v>0</v>
      </c>
      <c r="BN80" s="21">
        <f>SUMIFS('Base ETESA'!$AX:$AX,'Base ETESA'!$BO:$BO,$A80,'Base ETESA'!$BP:$BP,$B80)</f>
        <v>0</v>
      </c>
      <c r="BR80" s="21">
        <f>+BM80+BN80-BO80+BP80+BQ80</f>
        <v>0</v>
      </c>
      <c r="BS80" s="21">
        <f>IF(AS$55="si",SUMIFS(BS01_BS02!$K$72:$K$79,BS01_BS02!$N$72:$N$79,$A80,BS01_BS02!$O$72:$O$79,$B80),SUMIFS(BS01_BS02!$Y$72:$Y$79,BS01_BS02!$O$72:$O$79,$B80))</f>
        <v>0</v>
      </c>
      <c r="BT80" s="21">
        <f t="shared" ref="BT80:BT94" si="68">+BJ80+BS80</f>
        <v>0</v>
      </c>
      <c r="BU80" s="21">
        <f t="shared" ref="BU80:BU94" si="69">+BR80-BT80</f>
        <v>0</v>
      </c>
      <c r="BW80" s="6">
        <f>+BR80</f>
        <v>0</v>
      </c>
      <c r="BX80" s="21">
        <f>SUMIFS('Base ETESA'!$BE:$BE,'Base ETESA'!$BO:$BO,$A80,'Base ETESA'!$BP:$BP,$B80)</f>
        <v>0</v>
      </c>
      <c r="CB80" s="21">
        <f>+BW80+BX80-BY80+BZ80+CA80</f>
        <v>0</v>
      </c>
      <c r="CC80" s="21">
        <f>IF(AS$55="si",SUMIFS(BS01_BS02!$L$72:$L$79,BS01_BS02!$N$72:$N$79,$A80,BS01_BS02!$O$72:$O$79,$B80),SUMIFS(BS01_BS02!$Z$72:$Z$79,BS01_BS02!$O$72:$O$79,$B80))</f>
        <v>0</v>
      </c>
      <c r="CD80" s="21">
        <f t="shared" ref="CD80:CD94" si="70">+BT80+CC80</f>
        <v>0</v>
      </c>
      <c r="CE80" s="21">
        <f t="shared" ref="CE80:CE94" si="71">+CB80-CD80</f>
        <v>0</v>
      </c>
      <c r="CI80" s="21"/>
    </row>
    <row r="81" spans="1:83" ht="16.5" customHeight="1" x14ac:dyDescent="0.2">
      <c r="A81" s="14" t="str">
        <f t="shared" ref="A81:A95" si="72">+$B$79</f>
        <v>SPT D</v>
      </c>
      <c r="B81" s="1" t="s">
        <v>303</v>
      </c>
      <c r="C81" s="26">
        <v>0</v>
      </c>
      <c r="D81" s="26">
        <v>0</v>
      </c>
      <c r="E81" s="26">
        <v>0</v>
      </c>
      <c r="F81" s="31"/>
      <c r="G81" s="31"/>
      <c r="H81" s="31"/>
      <c r="I81" s="31"/>
      <c r="J81" s="21">
        <f t="shared" ref="J81:J94" si="73">+C81+F81-G81+H81+I81</f>
        <v>0</v>
      </c>
      <c r="K81" s="21"/>
      <c r="L81" s="21">
        <f t="shared" ref="L81:L94" si="74">+D81</f>
        <v>0</v>
      </c>
      <c r="M81" s="21">
        <f t="shared" ref="M81:M94" si="75">+J81-L81</f>
        <v>0</v>
      </c>
      <c r="O81" s="31">
        <f t="shared" ref="O81:O94" si="76">+J81</f>
        <v>0</v>
      </c>
      <c r="P81" s="31"/>
      <c r="Q81" s="31"/>
      <c r="R81" s="31"/>
      <c r="S81" s="31"/>
      <c r="T81" s="21">
        <f t="shared" ref="T81:T94" si="77">+O81+P81-Q81+R81+S81</f>
        <v>0</v>
      </c>
      <c r="U81" s="31">
        <f t="shared" ref="U81:U94" si="78">+J81*$E$21</f>
        <v>0</v>
      </c>
      <c r="V81" s="21">
        <f t="shared" si="58"/>
        <v>0</v>
      </c>
      <c r="W81" s="21">
        <f t="shared" si="59"/>
        <v>0</v>
      </c>
      <c r="Y81" s="21">
        <f t="shared" si="60"/>
        <v>0</v>
      </c>
      <c r="Z81" s="31"/>
      <c r="AA81" s="31"/>
      <c r="AB81" s="31"/>
      <c r="AC81" s="31"/>
      <c r="AD81" s="21">
        <f t="shared" ref="AD81:AD94" si="79">+Y81+Z81-AA81+AB81+AC81</f>
        <v>0</v>
      </c>
      <c r="AE81" s="31">
        <f t="shared" ref="AE81:AE94" si="80">+T81*$E$21</f>
        <v>0</v>
      </c>
      <c r="AF81" s="21">
        <f t="shared" si="61"/>
        <v>0</v>
      </c>
      <c r="AG81" s="21">
        <f t="shared" si="62"/>
        <v>0</v>
      </c>
      <c r="AI81" s="6">
        <f t="shared" ref="AI81:AI94" si="81">+AD81</f>
        <v>0</v>
      </c>
      <c r="AJ81" s="6"/>
      <c r="AK81" s="6"/>
      <c r="AL81" s="6"/>
      <c r="AM81" s="6"/>
      <c r="AN81" s="21">
        <f t="shared" ref="AN81:AN94" si="82">IF($AS$55="no",AI81+AJ81-AK81+AL81+AM81,)</f>
        <v>0</v>
      </c>
      <c r="AO81" s="31">
        <f t="shared" ref="AO81:AO91" si="83">+AD81*$E$21</f>
        <v>0</v>
      </c>
      <c r="AP81" s="21">
        <f t="shared" ref="AP81:AP94" si="84">IF($AS$55="no",AF81+AO81,)</f>
        <v>0</v>
      </c>
      <c r="AQ81" s="21">
        <f t="shared" si="63"/>
        <v>0</v>
      </c>
      <c r="AS81" s="21">
        <f t="shared" ref="AS81:AS94" si="85">AN81</f>
        <v>0</v>
      </c>
      <c r="AT81" s="21">
        <f>SUMIFS('Base ETESA'!$AJ:$AJ,'Base ETESA'!$BO:$BO,$A81,'Base ETESA'!$BP:$BP,$B81)</f>
        <v>0</v>
      </c>
      <c r="AX81" s="21">
        <f t="shared" ref="AX81:AX94" si="86">+AS81+AT81-AU81+AV81+AW81</f>
        <v>0</v>
      </c>
      <c r="AY81" s="21">
        <f>IF(AS$55="si",SUMIFS(BS01_BS02!$I$72:$I$79,BS01_BS02!$N$72:$N$79,$A81,BS01_BS02!$O$72:$O$79,$B81),SUMIFS(BS01_BS02!$W$72:$W$79,BS01_BS02!$O$72:$O$79,$B81))</f>
        <v>0</v>
      </c>
      <c r="AZ81" s="21">
        <f t="shared" si="64"/>
        <v>0</v>
      </c>
      <c r="BA81" s="21">
        <f t="shared" si="65"/>
        <v>0</v>
      </c>
      <c r="BC81" s="6">
        <f t="shared" ref="BC81:BC94" si="87">+AX81</f>
        <v>0</v>
      </c>
      <c r="BD81" s="21">
        <f>SUMIFS('Base ETESA'!$AQ:$AQ,'Base ETESA'!$BO:$BO,$A81,'Base ETESA'!$BP:$BP,$B81)</f>
        <v>0</v>
      </c>
      <c r="BH81" s="21">
        <f t="shared" ref="BH81:BH85" si="88">+BC81+BD81-BE81+BF81+BG81</f>
        <v>0</v>
      </c>
      <c r="BI81" s="21">
        <f>IF(AS$55="si",SUMIFS(BS01_BS02!$J$72:$J$79,BS01_BS02!$N$72:$N$79,$A81,BS01_BS02!$O$72:$O$79,$B81),SUMIFS(BS01_BS02!$X$72:$X$79,BS01_BS02!$O$72:$O$79,$B81))</f>
        <v>0</v>
      </c>
      <c r="BJ81" s="21">
        <f t="shared" si="66"/>
        <v>0</v>
      </c>
      <c r="BK81" s="21">
        <f t="shared" si="67"/>
        <v>0</v>
      </c>
      <c r="BM81" s="6">
        <f t="shared" ref="BM81:BM94" si="89">+BH81</f>
        <v>0</v>
      </c>
      <c r="BN81" s="21">
        <f>SUMIFS('Base ETESA'!$AX:$AX,'Base ETESA'!$BO:$BO,$A81,'Base ETESA'!$BP:$BP,$B81)</f>
        <v>0</v>
      </c>
      <c r="BR81" s="21">
        <f t="shared" ref="BR81:BR85" si="90">+BM81+BN81-BO81+BP81+BQ81</f>
        <v>0</v>
      </c>
      <c r="BS81" s="21">
        <f>IF(AS$55="si",SUMIFS(BS01_BS02!$K$72:$K$79,BS01_BS02!$N$72:$N$79,$A81,BS01_BS02!$O$72:$O$79,$B81),SUMIFS(BS01_BS02!$Y$72:$Y$79,BS01_BS02!$O$72:$O$79,$B81))</f>
        <v>0</v>
      </c>
      <c r="BT81" s="21">
        <f t="shared" si="68"/>
        <v>0</v>
      </c>
      <c r="BU81" s="21">
        <f t="shared" si="69"/>
        <v>0</v>
      </c>
      <c r="BW81" s="6">
        <f t="shared" ref="BW81:BW94" si="91">+BR81</f>
        <v>0</v>
      </c>
      <c r="BX81" s="21">
        <f>SUMIFS('Base ETESA'!$BE:$BE,'Base ETESA'!$BO:$BO,$A81,'Base ETESA'!$BP:$BP,$B81)</f>
        <v>0</v>
      </c>
      <c r="CB81" s="21">
        <f t="shared" ref="CB81:CB85" si="92">+BW81+BX81-BY81+BZ81+CA81</f>
        <v>0</v>
      </c>
      <c r="CC81" s="21">
        <f>IF(AS$55="si",SUMIFS(BS01_BS02!$L$72:$L$79,BS01_BS02!$N$72:$N$79,$A81,BS01_BS02!$O$72:$O$79,$B81),SUMIFS(BS01_BS02!$Z$72:$Z$79,BS01_BS02!$O$72:$O$79,$B81))</f>
        <v>0</v>
      </c>
      <c r="CD81" s="21">
        <f t="shared" si="70"/>
        <v>0</v>
      </c>
      <c r="CE81" s="21">
        <f t="shared" si="71"/>
        <v>0</v>
      </c>
    </row>
    <row r="82" spans="1:83" ht="16.5" customHeight="1" x14ac:dyDescent="0.2">
      <c r="A82" s="14" t="str">
        <f t="shared" si="72"/>
        <v>SPT D</v>
      </c>
      <c r="B82" s="1" t="s">
        <v>304</v>
      </c>
      <c r="C82" s="26">
        <v>0</v>
      </c>
      <c r="D82" s="26">
        <v>0</v>
      </c>
      <c r="E82" s="26">
        <v>0</v>
      </c>
      <c r="F82" s="31"/>
      <c r="G82" s="31"/>
      <c r="H82" s="31"/>
      <c r="I82" s="31"/>
      <c r="J82" s="21">
        <f t="shared" si="73"/>
        <v>0</v>
      </c>
      <c r="K82" s="21"/>
      <c r="L82" s="21">
        <f t="shared" si="74"/>
        <v>0</v>
      </c>
      <c r="M82" s="21">
        <f t="shared" si="75"/>
        <v>0</v>
      </c>
      <c r="O82" s="31">
        <f t="shared" si="76"/>
        <v>0</v>
      </c>
      <c r="P82" s="31"/>
      <c r="Q82" s="31"/>
      <c r="R82" s="31"/>
      <c r="S82" s="31"/>
      <c r="T82" s="21">
        <f t="shared" si="77"/>
        <v>0</v>
      </c>
      <c r="U82" s="31">
        <f t="shared" si="78"/>
        <v>0</v>
      </c>
      <c r="V82" s="21">
        <f t="shared" si="58"/>
        <v>0</v>
      </c>
      <c r="W82" s="21">
        <f t="shared" si="59"/>
        <v>0</v>
      </c>
      <c r="Y82" s="21">
        <f t="shared" si="60"/>
        <v>0</v>
      </c>
      <c r="Z82" s="31"/>
      <c r="AA82" s="31"/>
      <c r="AB82" s="31"/>
      <c r="AC82" s="31"/>
      <c r="AD82" s="21">
        <f t="shared" si="79"/>
        <v>0</v>
      </c>
      <c r="AE82" s="31">
        <f t="shared" si="80"/>
        <v>0</v>
      </c>
      <c r="AF82" s="21">
        <f t="shared" si="61"/>
        <v>0</v>
      </c>
      <c r="AG82" s="21">
        <f t="shared" si="62"/>
        <v>0</v>
      </c>
      <c r="AI82" s="6">
        <f t="shared" si="81"/>
        <v>0</v>
      </c>
      <c r="AJ82" s="6"/>
      <c r="AK82" s="6"/>
      <c r="AL82" s="6"/>
      <c r="AM82" s="6"/>
      <c r="AN82" s="21">
        <f t="shared" si="82"/>
        <v>0</v>
      </c>
      <c r="AO82" s="31">
        <f t="shared" si="83"/>
        <v>0</v>
      </c>
      <c r="AP82" s="21">
        <f t="shared" si="84"/>
        <v>0</v>
      </c>
      <c r="AQ82" s="21">
        <f t="shared" si="63"/>
        <v>0</v>
      </c>
      <c r="AS82" s="21">
        <f t="shared" si="85"/>
        <v>0</v>
      </c>
      <c r="AT82" s="21">
        <f>SUMIFS('Base ETESA'!$AJ:$AJ,'Base ETESA'!$BO:$BO,$A82,'Base ETESA'!$BP:$BP,$B82)</f>
        <v>0</v>
      </c>
      <c r="AX82" s="21">
        <f t="shared" si="86"/>
        <v>0</v>
      </c>
      <c r="AY82" s="21">
        <f>IF(AS$55="si",SUMIFS(BS01_BS02!$I$72:$I$79,BS01_BS02!$N$72:$N$79,$A82,BS01_BS02!$O$72:$O$79,$B82),SUMIFS(BS01_BS02!$W$72:$W$79,BS01_BS02!$O$72:$O$79,$B82))</f>
        <v>0</v>
      </c>
      <c r="AZ82" s="21">
        <f t="shared" si="64"/>
        <v>0</v>
      </c>
      <c r="BA82" s="21">
        <f t="shared" si="65"/>
        <v>0</v>
      </c>
      <c r="BC82" s="6">
        <f t="shared" si="87"/>
        <v>0</v>
      </c>
      <c r="BD82" s="21">
        <f>SUMIFS('Base ETESA'!$AQ:$AQ,'Base ETESA'!$BO:$BO,$A82,'Base ETESA'!$BP:$BP,$B82)</f>
        <v>0</v>
      </c>
      <c r="BH82" s="21">
        <f t="shared" si="88"/>
        <v>0</v>
      </c>
      <c r="BI82" s="21">
        <f>IF(AS$55="si",SUMIFS(BS01_BS02!$J$72:$J$79,BS01_BS02!$N$72:$N$79,$A82,BS01_BS02!$O$72:$O$79,$B82),SUMIFS(BS01_BS02!$X$72:$X$79,BS01_BS02!$O$72:$O$79,$B82))</f>
        <v>0</v>
      </c>
      <c r="BJ82" s="21">
        <f t="shared" si="66"/>
        <v>0</v>
      </c>
      <c r="BK82" s="21">
        <f t="shared" si="67"/>
        <v>0</v>
      </c>
      <c r="BM82" s="6">
        <f t="shared" si="89"/>
        <v>0</v>
      </c>
      <c r="BN82" s="21">
        <f>SUMIFS('Base ETESA'!$AX:$AX,'Base ETESA'!$BO:$BO,$A82,'Base ETESA'!$BP:$BP,$B82)</f>
        <v>0</v>
      </c>
      <c r="BR82" s="21">
        <f t="shared" si="90"/>
        <v>0</v>
      </c>
      <c r="BS82" s="21">
        <f>IF(AS$55="si",SUMIFS(BS01_BS02!$K$72:$K$79,BS01_BS02!$N$72:$N$79,$A82,BS01_BS02!$O$72:$O$79,$B82),SUMIFS(BS01_BS02!$Y$72:$Y$79,BS01_BS02!$O$72:$O$79,$B82))</f>
        <v>0</v>
      </c>
      <c r="BT82" s="21">
        <f t="shared" si="68"/>
        <v>0</v>
      </c>
      <c r="BU82" s="21">
        <f t="shared" si="69"/>
        <v>0</v>
      </c>
      <c r="BW82" s="6">
        <f t="shared" si="91"/>
        <v>0</v>
      </c>
      <c r="BX82" s="21">
        <f>SUMIFS('Base ETESA'!$BE:$BE,'Base ETESA'!$BO:$BO,$A82,'Base ETESA'!$BP:$BP,$B82)</f>
        <v>0</v>
      </c>
      <c r="CB82" s="21">
        <f t="shared" si="92"/>
        <v>0</v>
      </c>
      <c r="CC82" s="21">
        <f>IF(AS$55="si",SUMIFS(BS01_BS02!$L$72:$L$79,BS01_BS02!$N$72:$N$79,$A82,BS01_BS02!$O$72:$O$79,$B82),SUMIFS(BS01_BS02!$Z$72:$Z$79,BS01_BS02!$O$72:$O$79,$B82))</f>
        <v>0</v>
      </c>
      <c r="CD82" s="21">
        <f t="shared" si="70"/>
        <v>0</v>
      </c>
      <c r="CE82" s="21">
        <f t="shared" si="71"/>
        <v>0</v>
      </c>
    </row>
    <row r="83" spans="1:83" ht="16.5" customHeight="1" x14ac:dyDescent="0.2">
      <c r="A83" s="14" t="str">
        <f t="shared" si="72"/>
        <v>SPT D</v>
      </c>
      <c r="B83" s="1" t="s">
        <v>305</v>
      </c>
      <c r="C83" s="26">
        <v>0</v>
      </c>
      <c r="D83" s="26">
        <v>0</v>
      </c>
      <c r="E83" s="26">
        <v>0</v>
      </c>
      <c r="F83" s="26">
        <v>66786019</v>
      </c>
      <c r="G83" s="31"/>
      <c r="H83" s="31"/>
      <c r="I83" s="31"/>
      <c r="J83" s="21">
        <f t="shared" si="73"/>
        <v>66786019</v>
      </c>
      <c r="K83" s="21"/>
      <c r="L83" s="21">
        <f t="shared" si="74"/>
        <v>0</v>
      </c>
      <c r="M83" s="21">
        <f t="shared" si="75"/>
        <v>66786019</v>
      </c>
      <c r="O83" s="31">
        <f t="shared" si="76"/>
        <v>66786019</v>
      </c>
      <c r="P83" s="31"/>
      <c r="Q83" s="31"/>
      <c r="R83" s="31"/>
      <c r="S83" s="31"/>
      <c r="T83" s="21">
        <f t="shared" si="77"/>
        <v>66786019</v>
      </c>
      <c r="U83" s="31">
        <f t="shared" si="78"/>
        <v>2003580.5699999998</v>
      </c>
      <c r="V83" s="21">
        <f t="shared" si="58"/>
        <v>2003580.5699999998</v>
      </c>
      <c r="W83" s="21">
        <f t="shared" si="59"/>
        <v>64782438.43</v>
      </c>
      <c r="Y83" s="21">
        <f t="shared" si="60"/>
        <v>66786019</v>
      </c>
      <c r="Z83" s="31"/>
      <c r="AA83" s="31"/>
      <c r="AB83" s="31"/>
      <c r="AC83" s="31"/>
      <c r="AD83" s="21">
        <f t="shared" si="79"/>
        <v>66786019</v>
      </c>
      <c r="AE83" s="31">
        <f t="shared" si="80"/>
        <v>2003580.5699999998</v>
      </c>
      <c r="AF83" s="21">
        <f t="shared" si="61"/>
        <v>4007161.1399999997</v>
      </c>
      <c r="AG83" s="21">
        <f t="shared" si="62"/>
        <v>62778857.859999999</v>
      </c>
      <c r="AI83" s="6">
        <f t="shared" si="81"/>
        <v>66786019</v>
      </c>
      <c r="AJ83" s="6"/>
      <c r="AK83" s="6"/>
      <c r="AL83" s="6"/>
      <c r="AM83" s="6"/>
      <c r="AN83" s="21">
        <f t="shared" si="82"/>
        <v>0</v>
      </c>
      <c r="AO83" s="31">
        <f t="shared" si="83"/>
        <v>2003580.5699999998</v>
      </c>
      <c r="AP83" s="21">
        <f t="shared" si="84"/>
        <v>0</v>
      </c>
      <c r="AQ83" s="21">
        <f t="shared" si="63"/>
        <v>0</v>
      </c>
      <c r="AS83" s="21">
        <f t="shared" si="85"/>
        <v>0</v>
      </c>
      <c r="AT83" s="21">
        <f>SUMIFS('Base ETESA'!$AJ:$AJ,'Base ETESA'!$BO:$BO,$A83,'Base ETESA'!$BP:$BP,$B83)</f>
        <v>0</v>
      </c>
      <c r="AX83" s="21">
        <f t="shared" si="86"/>
        <v>0</v>
      </c>
      <c r="AY83" s="21">
        <f>IF(AS$55="si",SUMIFS(BS01_BS02!$I$72:$I$79,BS01_BS02!$N$72:$N$79,$A83,BS01_BS02!$O$72:$O$79,$B83),SUMIFS(BS01_BS02!$W$72:$W$79,BS01_BS02!$O$72:$O$79,$B83))</f>
        <v>0</v>
      </c>
      <c r="AZ83" s="21">
        <f t="shared" si="64"/>
        <v>0</v>
      </c>
      <c r="BA83" s="21">
        <f t="shared" si="65"/>
        <v>0</v>
      </c>
      <c r="BC83" s="6">
        <f t="shared" si="87"/>
        <v>0</v>
      </c>
      <c r="BD83" s="21">
        <f>SUMIFS('Base ETESA'!$AQ:$AQ,'Base ETESA'!$BO:$BO,$A83,'Base ETESA'!$BP:$BP,$B83)</f>
        <v>0</v>
      </c>
      <c r="BH83" s="21">
        <f t="shared" si="88"/>
        <v>0</v>
      </c>
      <c r="BI83" s="21">
        <f>IF(AS$55="si",SUMIFS(BS01_BS02!$J$72:$J$79,BS01_BS02!$N$72:$N$79,$A83,BS01_BS02!$O$72:$O$79,$B83),SUMIFS(BS01_BS02!$X$72:$X$79,BS01_BS02!$O$72:$O$79,$B83))</f>
        <v>0</v>
      </c>
      <c r="BJ83" s="21">
        <f t="shared" si="66"/>
        <v>0</v>
      </c>
      <c r="BK83" s="21">
        <f t="shared" si="67"/>
        <v>0</v>
      </c>
      <c r="BM83" s="6">
        <f t="shared" si="89"/>
        <v>0</v>
      </c>
      <c r="BN83" s="21">
        <f>SUMIFS('Base ETESA'!$AX:$AX,'Base ETESA'!$BO:$BO,$A83,'Base ETESA'!$BP:$BP,$B83)</f>
        <v>0</v>
      </c>
      <c r="BR83" s="21">
        <f t="shared" si="90"/>
        <v>0</v>
      </c>
      <c r="BS83" s="21">
        <f>IF(AS$55="si",SUMIFS(BS01_BS02!$K$72:$K$79,BS01_BS02!$N$72:$N$79,$A83,BS01_BS02!$O$72:$O$79,$B83),SUMIFS(BS01_BS02!$Y$72:$Y$79,BS01_BS02!$O$72:$O$79,$B83))</f>
        <v>0</v>
      </c>
      <c r="BT83" s="21">
        <f t="shared" si="68"/>
        <v>0</v>
      </c>
      <c r="BU83" s="21">
        <f t="shared" si="69"/>
        <v>0</v>
      </c>
      <c r="BW83" s="6">
        <f t="shared" si="91"/>
        <v>0</v>
      </c>
      <c r="BX83" s="21">
        <f>SUMIFS('Base ETESA'!$BE:$BE,'Base ETESA'!$BO:$BO,$A83,'Base ETESA'!$BP:$BP,$B83)</f>
        <v>0</v>
      </c>
      <c r="CB83" s="21">
        <f t="shared" si="92"/>
        <v>0</v>
      </c>
      <c r="CC83" s="21">
        <f>IF(AS$55="si",SUMIFS(BS01_BS02!$L$72:$L$79,BS01_BS02!$N$72:$N$79,$A83,BS01_BS02!$O$72:$O$79,$B83),SUMIFS(BS01_BS02!$Z$72:$Z$79,BS01_BS02!$O$72:$O$79,$B83))</f>
        <v>0</v>
      </c>
      <c r="CD83" s="21">
        <f t="shared" si="70"/>
        <v>0</v>
      </c>
      <c r="CE83" s="21">
        <f t="shared" si="71"/>
        <v>0</v>
      </c>
    </row>
    <row r="84" spans="1:83" ht="16.5" customHeight="1" x14ac:dyDescent="0.2">
      <c r="A84" s="14" t="str">
        <f t="shared" si="72"/>
        <v>SPT D</v>
      </c>
      <c r="B84" s="1" t="s">
        <v>306</v>
      </c>
      <c r="C84" s="26">
        <v>0</v>
      </c>
      <c r="D84" s="26">
        <v>0</v>
      </c>
      <c r="E84" s="26">
        <v>0</v>
      </c>
      <c r="F84" s="26">
        <v>0</v>
      </c>
      <c r="G84" s="31"/>
      <c r="H84" s="31"/>
      <c r="I84" s="31"/>
      <c r="J84" s="21">
        <f t="shared" si="73"/>
        <v>0</v>
      </c>
      <c r="K84" s="21"/>
      <c r="L84" s="21">
        <f t="shared" si="74"/>
        <v>0</v>
      </c>
      <c r="M84" s="21">
        <f t="shared" si="75"/>
        <v>0</v>
      </c>
      <c r="O84" s="31">
        <f t="shared" si="76"/>
        <v>0</v>
      </c>
      <c r="P84" s="31"/>
      <c r="Q84" s="31"/>
      <c r="R84" s="31"/>
      <c r="S84" s="31"/>
      <c r="T84" s="21">
        <f t="shared" si="77"/>
        <v>0</v>
      </c>
      <c r="U84" s="31">
        <f t="shared" si="78"/>
        <v>0</v>
      </c>
      <c r="V84" s="21">
        <f t="shared" si="58"/>
        <v>0</v>
      </c>
      <c r="W84" s="21">
        <f t="shared" si="59"/>
        <v>0</v>
      </c>
      <c r="Y84" s="21">
        <f t="shared" si="60"/>
        <v>0</v>
      </c>
      <c r="Z84" s="31"/>
      <c r="AA84" s="31"/>
      <c r="AB84" s="31"/>
      <c r="AC84" s="31"/>
      <c r="AD84" s="21">
        <f t="shared" si="79"/>
        <v>0</v>
      </c>
      <c r="AE84" s="31">
        <f t="shared" si="80"/>
        <v>0</v>
      </c>
      <c r="AF84" s="21">
        <f t="shared" si="61"/>
        <v>0</v>
      </c>
      <c r="AG84" s="21">
        <f t="shared" si="62"/>
        <v>0</v>
      </c>
      <c r="AI84" s="6">
        <f t="shared" si="81"/>
        <v>0</v>
      </c>
      <c r="AJ84" s="6"/>
      <c r="AK84" s="6"/>
      <c r="AL84" s="6"/>
      <c r="AM84" s="6"/>
      <c r="AN84" s="21">
        <f t="shared" si="82"/>
        <v>0</v>
      </c>
      <c r="AO84" s="31">
        <f t="shared" si="83"/>
        <v>0</v>
      </c>
      <c r="AP84" s="21">
        <f t="shared" si="84"/>
        <v>0</v>
      </c>
      <c r="AQ84" s="21">
        <f t="shared" si="63"/>
        <v>0</v>
      </c>
      <c r="AS84" s="21">
        <f t="shared" si="85"/>
        <v>0</v>
      </c>
      <c r="AT84" s="21">
        <f>SUMIFS('Base ETESA'!$AJ:$AJ,'Base ETESA'!$BO:$BO,$A84,'Base ETESA'!$BP:$BP,$B84)</f>
        <v>0</v>
      </c>
      <c r="AX84" s="21">
        <f t="shared" si="86"/>
        <v>0</v>
      </c>
      <c r="AY84" s="21">
        <f>IF(AS$55="si",SUMIFS(BS01_BS02!$I$72:$I$79,BS01_BS02!$N$72:$N$79,$A84,BS01_BS02!$O$72:$O$79,$B84),SUMIFS(BS01_BS02!$W$72:$W$79,BS01_BS02!$O$72:$O$79,$B84))</f>
        <v>0</v>
      </c>
      <c r="AZ84" s="21">
        <f t="shared" si="64"/>
        <v>0</v>
      </c>
      <c r="BA84" s="21">
        <f t="shared" si="65"/>
        <v>0</v>
      </c>
      <c r="BC84" s="6">
        <f t="shared" si="87"/>
        <v>0</v>
      </c>
      <c r="BD84" s="21">
        <f>SUMIFS('Base ETESA'!$AQ:$AQ,'Base ETESA'!$BO:$BO,$A84,'Base ETESA'!$BP:$BP,$B84)</f>
        <v>0</v>
      </c>
      <c r="BH84" s="21">
        <f t="shared" si="88"/>
        <v>0</v>
      </c>
      <c r="BI84" s="21">
        <f>IF(AS$55="si",SUMIFS(BS01_BS02!$J$72:$J$79,BS01_BS02!$N$72:$N$79,$A84,BS01_BS02!$O$72:$O$79,$B84),SUMIFS(BS01_BS02!$X$72:$X$79,BS01_BS02!$O$72:$O$79,$B84))</f>
        <v>0</v>
      </c>
      <c r="BJ84" s="21">
        <f t="shared" si="66"/>
        <v>0</v>
      </c>
      <c r="BK84" s="21">
        <f t="shared" si="67"/>
        <v>0</v>
      </c>
      <c r="BM84" s="6">
        <f t="shared" si="89"/>
        <v>0</v>
      </c>
      <c r="BN84" s="21">
        <f>SUMIFS('Base ETESA'!$AX:$AX,'Base ETESA'!$BO:$BO,$A84,'Base ETESA'!$BP:$BP,$B84)</f>
        <v>0</v>
      </c>
      <c r="BR84" s="21">
        <f t="shared" si="90"/>
        <v>0</v>
      </c>
      <c r="BS84" s="21">
        <f>IF(AS$55="si",SUMIFS(BS01_BS02!$K$72:$K$79,BS01_BS02!$N$72:$N$79,$A84,BS01_BS02!$O$72:$O$79,$B84),SUMIFS(BS01_BS02!$Y$72:$Y$79,BS01_BS02!$O$72:$O$79,$B84))</f>
        <v>0</v>
      </c>
      <c r="BT84" s="21">
        <f t="shared" si="68"/>
        <v>0</v>
      </c>
      <c r="BU84" s="21">
        <f t="shared" si="69"/>
        <v>0</v>
      </c>
      <c r="BW84" s="6">
        <f t="shared" si="91"/>
        <v>0</v>
      </c>
      <c r="BX84" s="21">
        <f>SUMIFS('Base ETESA'!$BE:$BE,'Base ETESA'!$BO:$BO,$A84,'Base ETESA'!$BP:$BP,$B84)</f>
        <v>0</v>
      </c>
      <c r="CB84" s="21">
        <f t="shared" si="92"/>
        <v>0</v>
      </c>
      <c r="CC84" s="21">
        <f>IF(AS$55="si",SUMIFS(BS01_BS02!$L$72:$L$79,BS01_BS02!$N$72:$N$79,$A84,BS01_BS02!$O$72:$O$79,$B84),SUMIFS(BS01_BS02!$Z$72:$Z$79,BS01_BS02!$O$72:$O$79,$B84))</f>
        <v>0</v>
      </c>
      <c r="CD84" s="21">
        <f t="shared" si="70"/>
        <v>0</v>
      </c>
      <c r="CE84" s="21">
        <f t="shared" si="71"/>
        <v>0</v>
      </c>
    </row>
    <row r="85" spans="1:83" ht="16.5" customHeight="1" x14ac:dyDescent="0.2">
      <c r="A85" s="14" t="str">
        <f t="shared" si="72"/>
        <v>SPT D</v>
      </c>
      <c r="B85" s="1" t="s">
        <v>307</v>
      </c>
      <c r="C85" s="26">
        <v>0</v>
      </c>
      <c r="D85" s="26">
        <v>0</v>
      </c>
      <c r="E85" s="26">
        <v>0</v>
      </c>
      <c r="F85" s="26">
        <v>0</v>
      </c>
      <c r="G85" s="31"/>
      <c r="H85" s="31"/>
      <c r="I85" s="31"/>
      <c r="J85" s="21">
        <f t="shared" si="73"/>
        <v>0</v>
      </c>
      <c r="K85" s="21"/>
      <c r="L85" s="21">
        <f t="shared" si="74"/>
        <v>0</v>
      </c>
      <c r="M85" s="21">
        <f t="shared" si="75"/>
        <v>0</v>
      </c>
      <c r="O85" s="31">
        <f t="shared" si="76"/>
        <v>0</v>
      </c>
      <c r="P85" s="31"/>
      <c r="Q85" s="31"/>
      <c r="R85" s="31"/>
      <c r="S85" s="31"/>
      <c r="T85" s="21">
        <f t="shared" si="77"/>
        <v>0</v>
      </c>
      <c r="U85" s="31">
        <f t="shared" si="78"/>
        <v>0</v>
      </c>
      <c r="V85" s="21">
        <f t="shared" si="58"/>
        <v>0</v>
      </c>
      <c r="W85" s="21">
        <f t="shared" si="59"/>
        <v>0</v>
      </c>
      <c r="Y85" s="21">
        <f t="shared" si="60"/>
        <v>0</v>
      </c>
      <c r="Z85" s="31"/>
      <c r="AA85" s="31"/>
      <c r="AB85" s="31"/>
      <c r="AC85" s="31"/>
      <c r="AD85" s="21">
        <f t="shared" si="79"/>
        <v>0</v>
      </c>
      <c r="AE85" s="31">
        <f t="shared" si="80"/>
        <v>0</v>
      </c>
      <c r="AF85" s="21">
        <f t="shared" si="61"/>
        <v>0</v>
      </c>
      <c r="AG85" s="21">
        <f t="shared" si="62"/>
        <v>0</v>
      </c>
      <c r="AI85" s="6">
        <f t="shared" si="81"/>
        <v>0</v>
      </c>
      <c r="AJ85" s="6"/>
      <c r="AK85" s="6"/>
      <c r="AL85" s="6"/>
      <c r="AM85" s="6"/>
      <c r="AN85" s="21">
        <f t="shared" si="82"/>
        <v>0</v>
      </c>
      <c r="AO85" s="31">
        <f t="shared" si="83"/>
        <v>0</v>
      </c>
      <c r="AP85" s="21">
        <f t="shared" si="84"/>
        <v>0</v>
      </c>
      <c r="AQ85" s="21">
        <f t="shared" si="63"/>
        <v>0</v>
      </c>
      <c r="AS85" s="21">
        <f t="shared" si="85"/>
        <v>0</v>
      </c>
      <c r="AT85" s="21">
        <f>SUMIFS('Base ETESA'!$AJ:$AJ,'Base ETESA'!$BO:$BO,$A85,'Base ETESA'!$BP:$BP,$B85)</f>
        <v>0</v>
      </c>
      <c r="AX85" s="21">
        <f t="shared" si="86"/>
        <v>0</v>
      </c>
      <c r="AY85" s="21">
        <f>IF(AS$55="si",SUMIFS(BS01_BS02!$I$72:$I$79,BS01_BS02!$N$72:$N$79,$A85,BS01_BS02!$O$72:$O$79,$B85),SUMIFS(BS01_BS02!$W$72:$W$79,BS01_BS02!$O$72:$O$79,$B85))</f>
        <v>0</v>
      </c>
      <c r="AZ85" s="21">
        <f t="shared" si="64"/>
        <v>0</v>
      </c>
      <c r="BA85" s="21">
        <f t="shared" si="65"/>
        <v>0</v>
      </c>
      <c r="BC85" s="6">
        <f t="shared" si="87"/>
        <v>0</v>
      </c>
      <c r="BD85" s="21">
        <f>SUMIFS('Base ETESA'!$AQ:$AQ,'Base ETESA'!$BO:$BO,$A85,'Base ETESA'!$BP:$BP,$B85)</f>
        <v>0</v>
      </c>
      <c r="BH85" s="21">
        <f t="shared" si="88"/>
        <v>0</v>
      </c>
      <c r="BI85" s="21">
        <f>IF(AS$55="si",SUMIFS(BS01_BS02!$J$72:$J$79,BS01_BS02!$N$72:$N$79,$A85,BS01_BS02!$O$72:$O$79,$B85),SUMIFS(BS01_BS02!$X$72:$X$79,BS01_BS02!$O$72:$O$79,$B85))</f>
        <v>0</v>
      </c>
      <c r="BJ85" s="21">
        <f t="shared" si="66"/>
        <v>0</v>
      </c>
      <c r="BK85" s="21">
        <f t="shared" si="67"/>
        <v>0</v>
      </c>
      <c r="BM85" s="6">
        <f t="shared" si="89"/>
        <v>0</v>
      </c>
      <c r="BN85" s="21">
        <f>SUMIFS('Base ETESA'!$AX:$AX,'Base ETESA'!$BO:$BO,$A85,'Base ETESA'!$BP:$BP,$B85)</f>
        <v>0</v>
      </c>
      <c r="BR85" s="21">
        <f t="shared" si="90"/>
        <v>0</v>
      </c>
      <c r="BS85" s="21">
        <f>IF(AS$55="si",SUMIFS(BS01_BS02!$K$72:$K$79,BS01_BS02!$N$72:$N$79,$A85,BS01_BS02!$O$72:$O$79,$B85),SUMIFS(BS01_BS02!$Y$72:$Y$79,BS01_BS02!$O$72:$O$79,$B85))</f>
        <v>0</v>
      </c>
      <c r="BT85" s="21">
        <f t="shared" si="68"/>
        <v>0</v>
      </c>
      <c r="BU85" s="21">
        <f t="shared" si="69"/>
        <v>0</v>
      </c>
      <c r="BW85" s="6">
        <f t="shared" si="91"/>
        <v>0</v>
      </c>
      <c r="BX85" s="21">
        <f>SUMIFS('Base ETESA'!$BE:$BE,'Base ETESA'!$BO:$BO,$A85,'Base ETESA'!$BP:$BP,$B85)</f>
        <v>0</v>
      </c>
      <c r="CB85" s="21">
        <f t="shared" si="92"/>
        <v>0</v>
      </c>
      <c r="CC85" s="21">
        <f>IF(AS$55="si",SUMIFS(BS01_BS02!$L$72:$L$79,BS01_BS02!$N$72:$N$79,$A85,BS01_BS02!$O$72:$O$79,$B85),SUMIFS(BS01_BS02!$Z$72:$Z$79,BS01_BS02!$O$72:$O$79,$B85))</f>
        <v>0</v>
      </c>
      <c r="CD85" s="21">
        <f t="shared" si="70"/>
        <v>0</v>
      </c>
      <c r="CE85" s="21">
        <f t="shared" si="71"/>
        <v>0</v>
      </c>
    </row>
    <row r="86" spans="1:83" ht="16.5" customHeight="1" x14ac:dyDescent="0.2">
      <c r="A86" s="14" t="str">
        <f t="shared" si="72"/>
        <v>SPT D</v>
      </c>
      <c r="B86" s="1" t="s">
        <v>308</v>
      </c>
      <c r="C86" s="26">
        <v>0</v>
      </c>
      <c r="D86" s="26">
        <v>0</v>
      </c>
      <c r="E86" s="26">
        <v>0</v>
      </c>
      <c r="F86" s="26">
        <v>35802343</v>
      </c>
      <c r="G86" s="31"/>
      <c r="H86" s="31"/>
      <c r="I86" s="31"/>
      <c r="J86" s="21">
        <f t="shared" si="73"/>
        <v>35802343</v>
      </c>
      <c r="K86" s="21"/>
      <c r="L86" s="21">
        <f t="shared" si="74"/>
        <v>0</v>
      </c>
      <c r="M86" s="21">
        <f t="shared" si="75"/>
        <v>35802343</v>
      </c>
      <c r="O86" s="31">
        <f t="shared" si="76"/>
        <v>35802343</v>
      </c>
      <c r="P86" s="723"/>
      <c r="Q86" s="31"/>
      <c r="R86" s="31"/>
      <c r="S86" s="31"/>
      <c r="T86" s="21">
        <f t="shared" si="77"/>
        <v>35802343</v>
      </c>
      <c r="U86" s="31">
        <f t="shared" si="78"/>
        <v>1074070.29</v>
      </c>
      <c r="V86" s="21">
        <f t="shared" si="58"/>
        <v>1074070.29</v>
      </c>
      <c r="W86" s="21">
        <f t="shared" si="59"/>
        <v>34728272.710000001</v>
      </c>
      <c r="Y86" s="21">
        <f t="shared" si="60"/>
        <v>35802343</v>
      </c>
      <c r="Z86" s="31"/>
      <c r="AA86" s="31"/>
      <c r="AB86" s="31"/>
      <c r="AC86" s="31"/>
      <c r="AD86" s="21">
        <f t="shared" si="79"/>
        <v>35802343</v>
      </c>
      <c r="AE86" s="31">
        <f t="shared" si="80"/>
        <v>1074070.29</v>
      </c>
      <c r="AF86" s="21">
        <f t="shared" si="61"/>
        <v>2148140.58</v>
      </c>
      <c r="AG86" s="21">
        <f t="shared" si="62"/>
        <v>33654202.420000002</v>
      </c>
      <c r="AI86" s="6">
        <f t="shared" si="81"/>
        <v>35802343</v>
      </c>
      <c r="AJ86" s="6">
        <f>+AJ35</f>
        <v>3921823.32</v>
      </c>
      <c r="AK86" s="6"/>
      <c r="AL86" s="6"/>
      <c r="AM86" s="6"/>
      <c r="AN86" s="21">
        <f t="shared" si="82"/>
        <v>0</v>
      </c>
      <c r="AO86" s="31">
        <f t="shared" si="83"/>
        <v>1074070.29</v>
      </c>
      <c r="AP86" s="21">
        <f t="shared" si="84"/>
        <v>0</v>
      </c>
      <c r="AQ86" s="21">
        <f t="shared" si="63"/>
        <v>0</v>
      </c>
      <c r="AS86" s="21">
        <f t="shared" si="85"/>
        <v>0</v>
      </c>
      <c r="AT86" s="21">
        <f>SUMIFS('Base ETESA'!$AJ:$AJ,'Base ETESA'!$BO:$BO,$A86,'Base ETESA'!$BP:$BP,$B86)</f>
        <v>0</v>
      </c>
      <c r="AX86" s="21">
        <f>+AS86+AT86-AU86+AV86+AW86</f>
        <v>0</v>
      </c>
      <c r="AY86" s="21">
        <f>IF(AS$55="si",SUMIFS(BS01_BS02!$I$72:$I$79,BS01_BS02!$N$72:$N$79,$A86,BS01_BS02!$O$72:$O$79,$B86),SUMIFS(BS01_BS02!$W$72:$W$79,BS01_BS02!$O$72:$O$79,$B86))</f>
        <v>0</v>
      </c>
      <c r="AZ86" s="21">
        <f t="shared" si="64"/>
        <v>0</v>
      </c>
      <c r="BA86" s="21">
        <f t="shared" si="65"/>
        <v>0</v>
      </c>
      <c r="BC86" s="6">
        <f t="shared" si="87"/>
        <v>0</v>
      </c>
      <c r="BD86" s="21">
        <f>SUMIFS('Base ETESA'!$AQ:$AQ,'Base ETESA'!$BO:$BO,$A86,'Base ETESA'!$BP:$BP,$B86)</f>
        <v>0</v>
      </c>
      <c r="BH86" s="21">
        <f>+BC86+BD86-BE86+BF86+BG86</f>
        <v>0</v>
      </c>
      <c r="BI86" s="21">
        <f>IF(AS$55="si",SUMIFS(BS01_BS02!$J$72:$J$79,BS01_BS02!$N$72:$N$79,$A86,BS01_BS02!$O$72:$O$79,$B86),SUMIFS(BS01_BS02!$X$72:$X$79,BS01_BS02!$O$72:$O$79,$B86))</f>
        <v>0</v>
      </c>
      <c r="BJ86" s="21">
        <f t="shared" si="66"/>
        <v>0</v>
      </c>
      <c r="BK86" s="21">
        <f t="shared" si="67"/>
        <v>0</v>
      </c>
      <c r="BM86" s="6">
        <f t="shared" si="89"/>
        <v>0</v>
      </c>
      <c r="BN86" s="21">
        <f>SUMIFS('Base ETESA'!$AX:$AX,'Base ETESA'!$BO:$BO,$A86,'Base ETESA'!$BP:$BP,$B86)</f>
        <v>0</v>
      </c>
      <c r="BR86" s="21">
        <f>+BM86+BN86-BO86+BP86+BQ86</f>
        <v>0</v>
      </c>
      <c r="BS86" s="21">
        <f>IF(AS$55="si",SUMIFS(BS01_BS02!$K$72:$K$79,BS01_BS02!$N$72:$N$79,$A86,BS01_BS02!$O$72:$O$79,$B86),SUMIFS(BS01_BS02!$Y$72:$Y$79,BS01_BS02!$O$72:$O$79,$B86))</f>
        <v>0</v>
      </c>
      <c r="BT86" s="21">
        <f t="shared" si="68"/>
        <v>0</v>
      </c>
      <c r="BU86" s="21">
        <f t="shared" si="69"/>
        <v>0</v>
      </c>
      <c r="BW86" s="6">
        <f t="shared" si="91"/>
        <v>0</v>
      </c>
      <c r="BX86" s="21">
        <f>SUMIFS('Base ETESA'!$BE:$BE,'Base ETESA'!$BO:$BO,$A86,'Base ETESA'!$BP:$BP,$B86)</f>
        <v>0</v>
      </c>
      <c r="CB86" s="21">
        <f>+BW86+BX86-BY86+BZ86+CA86</f>
        <v>0</v>
      </c>
      <c r="CC86" s="21">
        <f>IF(AS$55="si",SUMIFS(BS01_BS02!$L$72:$L$79,BS01_BS02!$N$72:$N$79,$A86,BS01_BS02!$O$72:$O$79,$B86),SUMIFS(BS01_BS02!$Z$72:$Z$79,BS01_BS02!$O$72:$O$79,$B86))</f>
        <v>0</v>
      </c>
      <c r="CD86" s="21">
        <f t="shared" si="70"/>
        <v>0</v>
      </c>
      <c r="CE86" s="21">
        <f t="shared" si="71"/>
        <v>0</v>
      </c>
    </row>
    <row r="87" spans="1:83" ht="16.5" customHeight="1" x14ac:dyDescent="0.2">
      <c r="A87" s="14" t="str">
        <f t="shared" si="72"/>
        <v>SPT D</v>
      </c>
      <c r="B87" s="1" t="s">
        <v>309</v>
      </c>
      <c r="C87" s="26">
        <v>0</v>
      </c>
      <c r="D87" s="26">
        <v>0</v>
      </c>
      <c r="E87" s="26">
        <v>0</v>
      </c>
      <c r="F87" s="26">
        <v>110116289</v>
      </c>
      <c r="G87" s="31"/>
      <c r="H87" s="31"/>
      <c r="I87" s="31"/>
      <c r="J87" s="21">
        <f t="shared" si="73"/>
        <v>110116289</v>
      </c>
      <c r="K87" s="21"/>
      <c r="L87" s="21">
        <f t="shared" si="74"/>
        <v>0</v>
      </c>
      <c r="M87" s="21">
        <f t="shared" si="75"/>
        <v>110116289</v>
      </c>
      <c r="O87" s="31">
        <f t="shared" si="76"/>
        <v>110116289</v>
      </c>
      <c r="P87" s="723">
        <f>+P34/2</f>
        <v>16385331.875</v>
      </c>
      <c r="Q87" s="31"/>
      <c r="R87" s="31"/>
      <c r="S87" s="31"/>
      <c r="T87" s="21">
        <f t="shared" si="77"/>
        <v>126501620.875</v>
      </c>
      <c r="U87" s="31">
        <f t="shared" si="78"/>
        <v>3303488.67</v>
      </c>
      <c r="V87" s="21">
        <f t="shared" si="58"/>
        <v>3303488.67</v>
      </c>
      <c r="W87" s="21">
        <f t="shared" si="59"/>
        <v>123198132.205</v>
      </c>
      <c r="Y87" s="21">
        <f t="shared" si="60"/>
        <v>126501620.875</v>
      </c>
      <c r="Z87" s="31"/>
      <c r="AA87" s="31"/>
      <c r="AB87" s="31"/>
      <c r="AC87" s="31"/>
      <c r="AD87" s="21">
        <f t="shared" si="79"/>
        <v>126501620.875</v>
      </c>
      <c r="AE87" s="31">
        <f t="shared" si="80"/>
        <v>3795048.6262499997</v>
      </c>
      <c r="AF87" s="21">
        <f t="shared" si="61"/>
        <v>7098537.2962499997</v>
      </c>
      <c r="AG87" s="21">
        <f t="shared" si="62"/>
        <v>119403083.57875</v>
      </c>
      <c r="AI87" s="6">
        <f t="shared" si="81"/>
        <v>126501620.875</v>
      </c>
      <c r="AJ87" s="6">
        <f>+AJ34/2</f>
        <v>3934511</v>
      </c>
      <c r="AK87" s="6"/>
      <c r="AL87" s="6"/>
      <c r="AM87" s="6"/>
      <c r="AN87" s="21">
        <f t="shared" si="82"/>
        <v>0</v>
      </c>
      <c r="AO87" s="31">
        <f t="shared" si="83"/>
        <v>3795048.6262499997</v>
      </c>
      <c r="AP87" s="21">
        <f t="shared" si="84"/>
        <v>0</v>
      </c>
      <c r="AQ87" s="21">
        <f t="shared" si="63"/>
        <v>0</v>
      </c>
      <c r="AS87" s="21">
        <f t="shared" si="85"/>
        <v>0</v>
      </c>
      <c r="AT87" s="21">
        <f>SUMIFS('Base ETESA'!$AJ:$AJ,'Base ETESA'!$BO:$BO,$A87,'Base ETESA'!$BP:$BP,$B87)</f>
        <v>0</v>
      </c>
      <c r="AX87" s="21">
        <f t="shared" si="86"/>
        <v>0</v>
      </c>
      <c r="AY87" s="21">
        <f>IF(AS$55="si",SUMIFS(BS01_BS02!$I$72:$I$79,BS01_BS02!$N$72:$N$79,$A87,BS01_BS02!$O$72:$O$79,$B87),SUMIFS(BS01_BS02!$W$72:$W$79,BS01_BS02!$O$72:$O$79,$B87))</f>
        <v>0</v>
      </c>
      <c r="AZ87" s="21">
        <f t="shared" si="64"/>
        <v>0</v>
      </c>
      <c r="BA87" s="21">
        <f t="shared" si="65"/>
        <v>0</v>
      </c>
      <c r="BC87" s="6">
        <f t="shared" si="87"/>
        <v>0</v>
      </c>
      <c r="BD87" s="21">
        <f>SUMIFS('Base ETESA'!$AQ:$AQ,'Base ETESA'!$BO:$BO,$A87,'Base ETESA'!$BP:$BP,$B87)</f>
        <v>0</v>
      </c>
      <c r="BH87" s="21">
        <f t="shared" ref="BH87:BH94" si="93">+BC87+BD87-BE87+BF87+BG87</f>
        <v>0</v>
      </c>
      <c r="BI87" s="21">
        <f>IF(AS$55="si",SUMIFS(BS01_BS02!$J$72:$J$79,BS01_BS02!$N$72:$N$79,$A87,BS01_BS02!$O$72:$O$79,$B87),SUMIFS(BS01_BS02!$X$72:$X$79,BS01_BS02!$O$72:$O$79,$B87))</f>
        <v>0</v>
      </c>
      <c r="BJ87" s="21">
        <f t="shared" si="66"/>
        <v>0</v>
      </c>
      <c r="BK87" s="21">
        <f t="shared" si="67"/>
        <v>0</v>
      </c>
      <c r="BM87" s="6">
        <f t="shared" si="89"/>
        <v>0</v>
      </c>
      <c r="BN87" s="21">
        <f>SUMIFS('Base ETESA'!$AX:$AX,'Base ETESA'!$BO:$BO,$A87,'Base ETESA'!$BP:$BP,$B87)</f>
        <v>0</v>
      </c>
      <c r="BR87" s="21">
        <f t="shared" ref="BR87:BR94" si="94">+BM87+BN87-BO87+BP87+BQ87</f>
        <v>0</v>
      </c>
      <c r="BS87" s="21">
        <f>IF(AS$55="si",SUMIFS(BS01_BS02!$K$72:$K$79,BS01_BS02!$N$72:$N$79,$A87,BS01_BS02!$O$72:$O$79,$B87),SUMIFS(BS01_BS02!$Y$72:$Y$79,BS01_BS02!$O$72:$O$79,$B87))</f>
        <v>0</v>
      </c>
      <c r="BT87" s="21">
        <f t="shared" si="68"/>
        <v>0</v>
      </c>
      <c r="BU87" s="21">
        <f t="shared" si="69"/>
        <v>0</v>
      </c>
      <c r="BW87" s="6">
        <f t="shared" si="91"/>
        <v>0</v>
      </c>
      <c r="BX87" s="21">
        <f>SUMIFS('Base ETESA'!$BE:$BE,'Base ETESA'!$BO:$BO,$A87,'Base ETESA'!$BP:$BP,$B87)</f>
        <v>0</v>
      </c>
      <c r="CB87" s="21">
        <f t="shared" ref="CB87:CB94" si="95">+BW87+BX87-BY87+BZ87+CA87</f>
        <v>0</v>
      </c>
      <c r="CC87" s="21">
        <f>IF(AS$55="si",SUMIFS(BS01_BS02!$L$72:$L$79,BS01_BS02!$N$72:$N$79,$A87,BS01_BS02!$O$72:$O$79,$B87),SUMIFS(BS01_BS02!$Z$72:$Z$79,BS01_BS02!$O$72:$O$79,$B87))</f>
        <v>0</v>
      </c>
      <c r="CD87" s="21">
        <f t="shared" si="70"/>
        <v>0</v>
      </c>
      <c r="CE87" s="21">
        <f t="shared" si="71"/>
        <v>0</v>
      </c>
    </row>
    <row r="88" spans="1:83" ht="16.5" customHeight="1" x14ac:dyDescent="0.2">
      <c r="A88" s="14" t="str">
        <f t="shared" si="72"/>
        <v>SPT D</v>
      </c>
      <c r="B88" s="1" t="s">
        <v>310</v>
      </c>
      <c r="C88" s="26">
        <v>0</v>
      </c>
      <c r="D88" s="26">
        <v>0</v>
      </c>
      <c r="E88" s="26">
        <v>0</v>
      </c>
      <c r="F88" s="26">
        <v>125316728</v>
      </c>
      <c r="G88" s="31"/>
      <c r="H88" s="31"/>
      <c r="I88" s="31"/>
      <c r="J88" s="21">
        <f t="shared" si="73"/>
        <v>125316728</v>
      </c>
      <c r="K88" s="21"/>
      <c r="L88" s="21">
        <f t="shared" si="74"/>
        <v>0</v>
      </c>
      <c r="M88" s="21">
        <f t="shared" si="75"/>
        <v>125316728</v>
      </c>
      <c r="O88" s="31">
        <f t="shared" si="76"/>
        <v>125316728</v>
      </c>
      <c r="P88" s="723">
        <f>+P34/2</f>
        <v>16385331.875</v>
      </c>
      <c r="Q88" s="31"/>
      <c r="R88" s="31"/>
      <c r="S88" s="31"/>
      <c r="T88" s="21">
        <f t="shared" si="77"/>
        <v>141702059.875</v>
      </c>
      <c r="U88" s="31">
        <f t="shared" si="78"/>
        <v>3759501.84</v>
      </c>
      <c r="V88" s="21">
        <f t="shared" si="58"/>
        <v>3759501.84</v>
      </c>
      <c r="W88" s="21">
        <f t="shared" si="59"/>
        <v>137942558.035</v>
      </c>
      <c r="Y88" s="21">
        <f t="shared" si="60"/>
        <v>141702059.875</v>
      </c>
      <c r="Z88" s="31"/>
      <c r="AA88" s="31"/>
      <c r="AB88" s="31"/>
      <c r="AC88" s="31"/>
      <c r="AD88" s="21">
        <f t="shared" si="79"/>
        <v>141702059.875</v>
      </c>
      <c r="AE88" s="31">
        <f t="shared" si="80"/>
        <v>4251061.7962499997</v>
      </c>
      <c r="AF88" s="21">
        <f t="shared" si="61"/>
        <v>8010563.6362499995</v>
      </c>
      <c r="AG88" s="21">
        <f t="shared" si="62"/>
        <v>133691496.23875</v>
      </c>
      <c r="AI88" s="6">
        <f t="shared" si="81"/>
        <v>141702059.875</v>
      </c>
      <c r="AJ88" s="6">
        <f>+AJ34/2</f>
        <v>3934511</v>
      </c>
      <c r="AK88" s="6"/>
      <c r="AL88" s="6"/>
      <c r="AM88" s="6"/>
      <c r="AN88" s="21">
        <f t="shared" si="82"/>
        <v>0</v>
      </c>
      <c r="AO88" s="31">
        <f t="shared" si="83"/>
        <v>4251061.7962499997</v>
      </c>
      <c r="AP88" s="21">
        <f t="shared" si="84"/>
        <v>0</v>
      </c>
      <c r="AQ88" s="21">
        <f t="shared" si="63"/>
        <v>0</v>
      </c>
      <c r="AS88" s="21">
        <f t="shared" si="85"/>
        <v>0</v>
      </c>
      <c r="AT88" s="21">
        <f>SUMIFS('Base ETESA'!$AJ:$AJ,'Base ETESA'!$BO:$BO,$A88,'Base ETESA'!$BP:$BP,$B88)</f>
        <v>0</v>
      </c>
      <c r="AX88" s="21">
        <f t="shared" si="86"/>
        <v>0</v>
      </c>
      <c r="AY88" s="21">
        <f>IF(AS$55="si",SUMIFS(BS01_BS02!$I$72:$I$79,BS01_BS02!$N$72:$N$79,$A88,BS01_BS02!$O$72:$O$79,$B88),SUMIFS(BS01_BS02!$W$72:$W$79,BS01_BS02!$O$72:$O$79,$B88))</f>
        <v>0</v>
      </c>
      <c r="AZ88" s="21">
        <f t="shared" si="64"/>
        <v>0</v>
      </c>
      <c r="BA88" s="21">
        <f t="shared" si="65"/>
        <v>0</v>
      </c>
      <c r="BC88" s="6">
        <f t="shared" si="87"/>
        <v>0</v>
      </c>
      <c r="BD88" s="21">
        <f>SUMIFS('Base ETESA'!$AQ:$AQ,'Base ETESA'!$BO:$BO,$A88,'Base ETESA'!$BP:$BP,$B88)</f>
        <v>0</v>
      </c>
      <c r="BH88" s="21">
        <f t="shared" si="93"/>
        <v>0</v>
      </c>
      <c r="BI88" s="21">
        <f>IF(AS$55="si",SUMIFS(BS01_BS02!$J$72:$J$79,BS01_BS02!$N$72:$N$79,$A88,BS01_BS02!$O$72:$O$79,$B88),SUMIFS(BS01_BS02!$X$72:$X$79,BS01_BS02!$O$72:$O$79,$B88))</f>
        <v>0</v>
      </c>
      <c r="BJ88" s="21">
        <f t="shared" si="66"/>
        <v>0</v>
      </c>
      <c r="BK88" s="21">
        <f t="shared" si="67"/>
        <v>0</v>
      </c>
      <c r="BM88" s="6">
        <f t="shared" si="89"/>
        <v>0</v>
      </c>
      <c r="BN88" s="21">
        <f>SUMIFS('Base ETESA'!$AX:$AX,'Base ETESA'!$BO:$BO,$A88,'Base ETESA'!$BP:$BP,$B88)</f>
        <v>0</v>
      </c>
      <c r="BR88" s="21">
        <f t="shared" si="94"/>
        <v>0</v>
      </c>
      <c r="BS88" s="21">
        <f>IF(AS$55="si",SUMIFS(BS01_BS02!$K$72:$K$79,BS01_BS02!$N$72:$N$79,$A88,BS01_BS02!$O$72:$O$79,$B88),SUMIFS(BS01_BS02!$Y$72:$Y$79,BS01_BS02!$O$72:$O$79,$B88))</f>
        <v>0</v>
      </c>
      <c r="BT88" s="21">
        <f t="shared" si="68"/>
        <v>0</v>
      </c>
      <c r="BU88" s="21">
        <f t="shared" si="69"/>
        <v>0</v>
      </c>
      <c r="BW88" s="6">
        <f t="shared" si="91"/>
        <v>0</v>
      </c>
      <c r="BX88" s="21">
        <f>SUMIFS('Base ETESA'!$BE:$BE,'Base ETESA'!$BO:$BO,$A88,'Base ETESA'!$BP:$BP,$B88)</f>
        <v>0</v>
      </c>
      <c r="CB88" s="21">
        <f t="shared" si="95"/>
        <v>0</v>
      </c>
      <c r="CC88" s="21">
        <f>IF(AS$55="si",SUMIFS(BS01_BS02!$L$72:$L$79,BS01_BS02!$N$72:$N$79,$A88,BS01_BS02!$O$72:$O$79,$B88),SUMIFS(BS01_BS02!$Z$72:$Z$79,BS01_BS02!$O$72:$O$79,$B88))</f>
        <v>0</v>
      </c>
      <c r="CD88" s="21">
        <f t="shared" si="70"/>
        <v>0</v>
      </c>
      <c r="CE88" s="21">
        <f t="shared" si="71"/>
        <v>0</v>
      </c>
    </row>
    <row r="89" spans="1:83" ht="16.5" customHeight="1" x14ac:dyDescent="0.2">
      <c r="A89" s="14" t="str">
        <f t="shared" si="72"/>
        <v>SPT D</v>
      </c>
      <c r="B89" s="1" t="s">
        <v>311</v>
      </c>
      <c r="C89" s="26">
        <v>0</v>
      </c>
      <c r="D89" s="26">
        <v>0</v>
      </c>
      <c r="E89" s="26">
        <v>0</v>
      </c>
      <c r="F89" s="31"/>
      <c r="G89" s="31"/>
      <c r="H89" s="31"/>
      <c r="I89" s="31"/>
      <c r="J89" s="21">
        <f t="shared" si="73"/>
        <v>0</v>
      </c>
      <c r="K89" s="21"/>
      <c r="L89" s="21">
        <f t="shared" si="74"/>
        <v>0</v>
      </c>
      <c r="M89" s="21">
        <f t="shared" si="75"/>
        <v>0</v>
      </c>
      <c r="O89" s="31">
        <f t="shared" si="76"/>
        <v>0</v>
      </c>
      <c r="P89" s="723"/>
      <c r="Q89" s="31"/>
      <c r="R89" s="31"/>
      <c r="S89" s="31"/>
      <c r="T89" s="21">
        <f t="shared" si="77"/>
        <v>0</v>
      </c>
      <c r="U89" s="31">
        <f t="shared" si="78"/>
        <v>0</v>
      </c>
      <c r="V89" s="21">
        <f t="shared" si="58"/>
        <v>0</v>
      </c>
      <c r="W89" s="21">
        <f t="shared" si="59"/>
        <v>0</v>
      </c>
      <c r="Y89" s="21">
        <f t="shared" si="60"/>
        <v>0</v>
      </c>
      <c r="Z89" s="31"/>
      <c r="AA89" s="31"/>
      <c r="AB89" s="31"/>
      <c r="AC89" s="31"/>
      <c r="AD89" s="21">
        <f t="shared" si="79"/>
        <v>0</v>
      </c>
      <c r="AE89" s="31">
        <f t="shared" si="80"/>
        <v>0</v>
      </c>
      <c r="AF89" s="21">
        <f t="shared" si="61"/>
        <v>0</v>
      </c>
      <c r="AG89" s="21">
        <f t="shared" si="62"/>
        <v>0</v>
      </c>
      <c r="AI89" s="6">
        <f t="shared" si="81"/>
        <v>0</v>
      </c>
      <c r="AJ89" s="6"/>
      <c r="AK89" s="6"/>
      <c r="AL89" s="6"/>
      <c r="AM89" s="6"/>
      <c r="AN89" s="21">
        <f t="shared" si="82"/>
        <v>0</v>
      </c>
      <c r="AO89" s="31">
        <f t="shared" si="83"/>
        <v>0</v>
      </c>
      <c r="AP89" s="21">
        <f t="shared" si="84"/>
        <v>0</v>
      </c>
      <c r="AQ89" s="21">
        <f t="shared" si="63"/>
        <v>0</v>
      </c>
      <c r="AS89" s="21">
        <f t="shared" si="85"/>
        <v>0</v>
      </c>
      <c r="AT89" s="21">
        <f>SUMIFS('Base ETESA'!$AJ:$AJ,'Base ETESA'!$BO:$BO,$A89,'Base ETESA'!$BP:$BP,$B89)</f>
        <v>0</v>
      </c>
      <c r="AX89" s="21">
        <f t="shared" si="86"/>
        <v>0</v>
      </c>
      <c r="AY89" s="21">
        <f>IF(AS$55="si",SUMIFS(BS01_BS02!$I$72:$I$79,BS01_BS02!$N$72:$N$79,$A89,BS01_BS02!$O$72:$O$79,$B89),SUMIFS(BS01_BS02!$W$72:$W$79,BS01_BS02!$O$72:$O$79,$B89))</f>
        <v>0</v>
      </c>
      <c r="AZ89" s="21">
        <f t="shared" si="64"/>
        <v>0</v>
      </c>
      <c r="BA89" s="21">
        <f t="shared" si="65"/>
        <v>0</v>
      </c>
      <c r="BC89" s="6">
        <f t="shared" si="87"/>
        <v>0</v>
      </c>
      <c r="BD89" s="21">
        <f>SUMIFS('Base ETESA'!$AQ:$AQ,'Base ETESA'!$BO:$BO,$A89,'Base ETESA'!$BP:$BP,$B89)</f>
        <v>0</v>
      </c>
      <c r="BH89" s="21">
        <f t="shared" si="93"/>
        <v>0</v>
      </c>
      <c r="BI89" s="21">
        <f>IF(AS$55="si",SUMIFS(BS01_BS02!$J$72:$J$79,BS01_BS02!$N$72:$N$79,$A89,BS01_BS02!$O$72:$O$79,$B89),SUMIFS(BS01_BS02!$X$72:$X$79,BS01_BS02!$O$72:$O$79,$B89))</f>
        <v>0</v>
      </c>
      <c r="BJ89" s="21">
        <f t="shared" si="66"/>
        <v>0</v>
      </c>
      <c r="BK89" s="21">
        <f t="shared" si="67"/>
        <v>0</v>
      </c>
      <c r="BM89" s="6">
        <f t="shared" si="89"/>
        <v>0</v>
      </c>
      <c r="BN89" s="21">
        <f>SUMIFS('Base ETESA'!$AX:$AX,'Base ETESA'!$BO:$BO,$A89,'Base ETESA'!$BP:$BP,$B89)</f>
        <v>0</v>
      </c>
      <c r="BR89" s="21">
        <f t="shared" si="94"/>
        <v>0</v>
      </c>
      <c r="BS89" s="21">
        <f>IF(AS$55="si",SUMIFS(BS01_BS02!$K$72:$K$79,BS01_BS02!$N$72:$N$79,$A89,BS01_BS02!$O$72:$O$79,$B89),SUMIFS(BS01_BS02!$Y$72:$Y$79,BS01_BS02!$O$72:$O$79,$B89))</f>
        <v>0</v>
      </c>
      <c r="BT89" s="21">
        <f t="shared" si="68"/>
        <v>0</v>
      </c>
      <c r="BU89" s="21">
        <f t="shared" si="69"/>
        <v>0</v>
      </c>
      <c r="BW89" s="6">
        <f t="shared" si="91"/>
        <v>0</v>
      </c>
      <c r="BX89" s="21">
        <f>SUMIFS('Base ETESA'!$BE:$BE,'Base ETESA'!$BO:$BO,$A89,'Base ETESA'!$BP:$BP,$B89)</f>
        <v>0</v>
      </c>
      <c r="CB89" s="21">
        <f t="shared" si="95"/>
        <v>0</v>
      </c>
      <c r="CC89" s="21">
        <f>IF(AS$55="si",SUMIFS(BS01_BS02!$L$72:$L$79,BS01_BS02!$N$72:$N$79,$A89,BS01_BS02!$O$72:$O$79,$B89),SUMIFS(BS01_BS02!$Z$72:$Z$79,BS01_BS02!$O$72:$O$79,$B89))</f>
        <v>0</v>
      </c>
      <c r="CD89" s="21">
        <f t="shared" si="70"/>
        <v>0</v>
      </c>
      <c r="CE89" s="21">
        <f t="shared" si="71"/>
        <v>0</v>
      </c>
    </row>
    <row r="90" spans="1:83" ht="16.5" customHeight="1" x14ac:dyDescent="0.2">
      <c r="A90" s="14" t="str">
        <f t="shared" si="72"/>
        <v>SPT D</v>
      </c>
      <c r="B90" s="1" t="s">
        <v>312</v>
      </c>
      <c r="C90" s="26">
        <v>0</v>
      </c>
      <c r="D90" s="26">
        <v>0</v>
      </c>
      <c r="E90" s="26">
        <v>0</v>
      </c>
      <c r="F90" s="31"/>
      <c r="G90" s="31"/>
      <c r="H90" s="31"/>
      <c r="I90" s="31"/>
      <c r="J90" s="21">
        <f t="shared" si="73"/>
        <v>0</v>
      </c>
      <c r="K90" s="21"/>
      <c r="L90" s="21">
        <f t="shared" si="74"/>
        <v>0</v>
      </c>
      <c r="M90" s="21">
        <f t="shared" si="75"/>
        <v>0</v>
      </c>
      <c r="O90" s="31">
        <f t="shared" si="76"/>
        <v>0</v>
      </c>
      <c r="P90" s="723"/>
      <c r="Q90" s="31"/>
      <c r="R90" s="31"/>
      <c r="S90" s="31"/>
      <c r="T90" s="21">
        <f t="shared" si="77"/>
        <v>0</v>
      </c>
      <c r="U90" s="31">
        <f t="shared" si="78"/>
        <v>0</v>
      </c>
      <c r="V90" s="21">
        <f t="shared" si="58"/>
        <v>0</v>
      </c>
      <c r="W90" s="21">
        <f t="shared" si="59"/>
        <v>0</v>
      </c>
      <c r="Y90" s="21">
        <f t="shared" si="60"/>
        <v>0</v>
      </c>
      <c r="Z90" s="31"/>
      <c r="AA90" s="31"/>
      <c r="AB90" s="31"/>
      <c r="AC90" s="31"/>
      <c r="AD90" s="21">
        <f t="shared" si="79"/>
        <v>0</v>
      </c>
      <c r="AE90" s="31">
        <f t="shared" si="80"/>
        <v>0</v>
      </c>
      <c r="AF90" s="21">
        <f t="shared" si="61"/>
        <v>0</v>
      </c>
      <c r="AG90" s="21">
        <f t="shared" si="62"/>
        <v>0</v>
      </c>
      <c r="AI90" s="6">
        <f t="shared" si="81"/>
        <v>0</v>
      </c>
      <c r="AJ90" s="6"/>
      <c r="AK90" s="6"/>
      <c r="AL90" s="6"/>
      <c r="AM90" s="6"/>
      <c r="AN90" s="21">
        <f t="shared" si="82"/>
        <v>0</v>
      </c>
      <c r="AO90" s="31">
        <f t="shared" si="83"/>
        <v>0</v>
      </c>
      <c r="AP90" s="21">
        <f t="shared" si="84"/>
        <v>0</v>
      </c>
      <c r="AQ90" s="21">
        <f t="shared" si="63"/>
        <v>0</v>
      </c>
      <c r="AS90" s="21">
        <f t="shared" si="85"/>
        <v>0</v>
      </c>
      <c r="AT90" s="21">
        <f>SUMIFS('Base ETESA'!$AJ:$AJ,'Base ETESA'!$BO:$BO,$A90,'Base ETESA'!$BP:$BP,$B90)</f>
        <v>0</v>
      </c>
      <c r="AX90" s="21">
        <f t="shared" si="86"/>
        <v>0</v>
      </c>
      <c r="AY90" s="21">
        <f>IF(AS$55="si",SUMIFS(BS01_BS02!$I$72:$I$79,BS01_BS02!$N$72:$N$79,$A90,BS01_BS02!$O$72:$O$79,$B90),SUMIFS(BS01_BS02!$W$72:$W$79,BS01_BS02!$O$72:$O$79,$B90))</f>
        <v>0</v>
      </c>
      <c r="AZ90" s="21">
        <f t="shared" si="64"/>
        <v>0</v>
      </c>
      <c r="BA90" s="21">
        <f t="shared" si="65"/>
        <v>0</v>
      </c>
      <c r="BC90" s="6">
        <f t="shared" si="87"/>
        <v>0</v>
      </c>
      <c r="BD90" s="21">
        <f>SUMIFS('Base ETESA'!$AQ:$AQ,'Base ETESA'!$BO:$BO,$A90,'Base ETESA'!$BP:$BP,$B90)</f>
        <v>0</v>
      </c>
      <c r="BH90" s="21">
        <f t="shared" si="93"/>
        <v>0</v>
      </c>
      <c r="BI90" s="21">
        <f>IF(AS$55="si",SUMIFS(BS01_BS02!$J$72:$J$79,BS01_BS02!$N$72:$N$79,$A90,BS01_BS02!$O$72:$O$79,$B90),SUMIFS(BS01_BS02!$X$72:$X$79,BS01_BS02!$O$72:$O$79,$B90))</f>
        <v>0</v>
      </c>
      <c r="BJ90" s="21">
        <f t="shared" si="66"/>
        <v>0</v>
      </c>
      <c r="BK90" s="21">
        <f t="shared" si="67"/>
        <v>0</v>
      </c>
      <c r="BM90" s="6">
        <f t="shared" si="89"/>
        <v>0</v>
      </c>
      <c r="BN90" s="21">
        <f>SUMIFS('Base ETESA'!$AX:$AX,'Base ETESA'!$BO:$BO,$A90,'Base ETESA'!$BP:$BP,$B90)</f>
        <v>0</v>
      </c>
      <c r="BR90" s="21">
        <f t="shared" si="94"/>
        <v>0</v>
      </c>
      <c r="BS90" s="21">
        <f>IF(AS$55="si",SUMIFS(BS01_BS02!$K$72:$K$79,BS01_BS02!$N$72:$N$79,$A90,BS01_BS02!$O$72:$O$79,$B90),SUMIFS(BS01_BS02!$Y$72:$Y$79,BS01_BS02!$O$72:$O$79,$B90))</f>
        <v>0</v>
      </c>
      <c r="BT90" s="21">
        <f t="shared" si="68"/>
        <v>0</v>
      </c>
      <c r="BU90" s="21">
        <f t="shared" si="69"/>
        <v>0</v>
      </c>
      <c r="BW90" s="6">
        <f t="shared" si="91"/>
        <v>0</v>
      </c>
      <c r="BX90" s="21">
        <f>SUMIFS('Base ETESA'!$BE:$BE,'Base ETESA'!$BO:$BO,$A90,'Base ETESA'!$BP:$BP,$B90)</f>
        <v>0</v>
      </c>
      <c r="CB90" s="21">
        <f t="shared" si="95"/>
        <v>0</v>
      </c>
      <c r="CC90" s="21">
        <f>IF(AS$55="si",SUMIFS(BS01_BS02!$L$72:$L$79,BS01_BS02!$N$72:$N$79,$A90,BS01_BS02!$O$72:$O$79,$B90),SUMIFS(BS01_BS02!$Z$72:$Z$79,BS01_BS02!$O$72:$O$79,$B90))</f>
        <v>0</v>
      </c>
      <c r="CD90" s="21">
        <f t="shared" si="70"/>
        <v>0</v>
      </c>
      <c r="CE90" s="21">
        <f t="shared" si="71"/>
        <v>0</v>
      </c>
    </row>
    <row r="91" spans="1:83" ht="16.5" customHeight="1" x14ac:dyDescent="0.2">
      <c r="A91" s="14" t="str">
        <f t="shared" si="72"/>
        <v>SPT D</v>
      </c>
      <c r="B91" s="1" t="s">
        <v>313</v>
      </c>
      <c r="C91" s="26">
        <v>0</v>
      </c>
      <c r="D91" s="26">
        <v>0</v>
      </c>
      <c r="E91" s="26">
        <v>0</v>
      </c>
      <c r="F91" s="31"/>
      <c r="G91" s="31"/>
      <c r="H91" s="31"/>
      <c r="I91" s="31"/>
      <c r="J91" s="21">
        <f t="shared" si="73"/>
        <v>0</v>
      </c>
      <c r="K91" s="21"/>
      <c r="L91" s="21">
        <f t="shared" si="74"/>
        <v>0</v>
      </c>
      <c r="M91" s="21">
        <f t="shared" si="75"/>
        <v>0</v>
      </c>
      <c r="O91" s="31">
        <f t="shared" si="76"/>
        <v>0</v>
      </c>
      <c r="P91" s="723"/>
      <c r="Q91" s="31"/>
      <c r="R91" s="31"/>
      <c r="S91" s="31"/>
      <c r="T91" s="21">
        <f t="shared" si="77"/>
        <v>0</v>
      </c>
      <c r="U91" s="31">
        <f t="shared" si="78"/>
        <v>0</v>
      </c>
      <c r="V91" s="21">
        <f t="shared" si="58"/>
        <v>0</v>
      </c>
      <c r="W91" s="21">
        <f t="shared" si="59"/>
        <v>0</v>
      </c>
      <c r="Y91" s="21">
        <f t="shared" si="60"/>
        <v>0</v>
      </c>
      <c r="Z91" s="31"/>
      <c r="AA91" s="31"/>
      <c r="AB91" s="31"/>
      <c r="AC91" s="31"/>
      <c r="AD91" s="21">
        <f t="shared" si="79"/>
        <v>0</v>
      </c>
      <c r="AE91" s="31">
        <f t="shared" si="80"/>
        <v>0</v>
      </c>
      <c r="AF91" s="21">
        <f t="shared" si="61"/>
        <v>0</v>
      </c>
      <c r="AG91" s="21">
        <f t="shared" si="62"/>
        <v>0</v>
      </c>
      <c r="AI91" s="6">
        <f t="shared" si="81"/>
        <v>0</v>
      </c>
      <c r="AJ91" s="6"/>
      <c r="AK91" s="6"/>
      <c r="AL91" s="6"/>
      <c r="AM91" s="6"/>
      <c r="AN91" s="21">
        <f t="shared" si="82"/>
        <v>0</v>
      </c>
      <c r="AO91" s="31">
        <f t="shared" si="83"/>
        <v>0</v>
      </c>
      <c r="AP91" s="21">
        <f t="shared" si="84"/>
        <v>0</v>
      </c>
      <c r="AQ91" s="21">
        <f t="shared" si="63"/>
        <v>0</v>
      </c>
      <c r="AS91" s="21">
        <f t="shared" si="85"/>
        <v>0</v>
      </c>
      <c r="AT91" s="21">
        <f>SUMIFS('Base ETESA'!$AJ:$AJ,'Base ETESA'!$BO:$BO,$A91,'Base ETESA'!$BP:$BP,$B91)</f>
        <v>0</v>
      </c>
      <c r="AX91" s="21">
        <f t="shared" si="86"/>
        <v>0</v>
      </c>
      <c r="AY91" s="21">
        <f>IF(AS$55="si",SUMIFS(BS01_BS02!$I$72:$I$79,BS01_BS02!$N$72:$N$79,$A91,BS01_BS02!$O$72:$O$79,$B91),SUMIFS(BS01_BS02!$W$72:$W$79,BS01_BS02!$O$72:$O$79,$B91))</f>
        <v>0</v>
      </c>
      <c r="AZ91" s="21">
        <f t="shared" si="64"/>
        <v>0</v>
      </c>
      <c r="BA91" s="21">
        <f t="shared" si="65"/>
        <v>0</v>
      </c>
      <c r="BC91" s="6">
        <f t="shared" si="87"/>
        <v>0</v>
      </c>
      <c r="BD91" s="21">
        <f>SUMIFS('Base ETESA'!$AQ:$AQ,'Base ETESA'!$BO:$BO,$A91,'Base ETESA'!$BP:$BP,$B91)</f>
        <v>0</v>
      </c>
      <c r="BH91" s="21">
        <f t="shared" si="93"/>
        <v>0</v>
      </c>
      <c r="BI91" s="21">
        <f>IF(AS$55="si",SUMIFS(BS01_BS02!$J$72:$J$79,BS01_BS02!$N$72:$N$79,$A91,BS01_BS02!$O$72:$O$79,$B91),SUMIFS(BS01_BS02!$X$72:$X$79,BS01_BS02!$O$72:$O$79,$B91))</f>
        <v>0</v>
      </c>
      <c r="BJ91" s="21">
        <f t="shared" si="66"/>
        <v>0</v>
      </c>
      <c r="BK91" s="21">
        <f t="shared" si="67"/>
        <v>0</v>
      </c>
      <c r="BM91" s="6">
        <f t="shared" si="89"/>
        <v>0</v>
      </c>
      <c r="BN91" s="21">
        <f>SUMIFS('Base ETESA'!$AX:$AX,'Base ETESA'!$BO:$BO,$A91,'Base ETESA'!$BP:$BP,$B91)</f>
        <v>0</v>
      </c>
      <c r="BR91" s="21">
        <f t="shared" si="94"/>
        <v>0</v>
      </c>
      <c r="BS91" s="21">
        <f>IF(AS$55="si",SUMIFS(BS01_BS02!$K$72:$K$79,BS01_BS02!$N$72:$N$79,$A91,BS01_BS02!$O$72:$O$79,$B91),SUMIFS(BS01_BS02!$Y$72:$Y$79,BS01_BS02!$O$72:$O$79,$B91))</f>
        <v>0</v>
      </c>
      <c r="BT91" s="21">
        <f t="shared" si="68"/>
        <v>0</v>
      </c>
      <c r="BU91" s="21">
        <f t="shared" si="69"/>
        <v>0</v>
      </c>
      <c r="BW91" s="6">
        <f t="shared" si="91"/>
        <v>0</v>
      </c>
      <c r="BX91" s="21">
        <f>SUMIFS('Base ETESA'!$BE:$BE,'Base ETESA'!$BO:$BO,$A91,'Base ETESA'!$BP:$BP,$B91)</f>
        <v>0</v>
      </c>
      <c r="CB91" s="21">
        <f t="shared" si="95"/>
        <v>0</v>
      </c>
      <c r="CC91" s="21">
        <f>IF(AS$55="si",SUMIFS(BS01_BS02!$L$72:$L$79,BS01_BS02!$N$72:$N$79,$A91,BS01_BS02!$O$72:$O$79,$B91),SUMIFS(BS01_BS02!$Z$72:$Z$79,BS01_BS02!$O$72:$O$79,$B91))</f>
        <v>0</v>
      </c>
      <c r="CD91" s="21">
        <f t="shared" si="70"/>
        <v>0</v>
      </c>
      <c r="CE91" s="21">
        <f t="shared" si="71"/>
        <v>0</v>
      </c>
    </row>
    <row r="92" spans="1:83" ht="16.5" customHeight="1" x14ac:dyDescent="0.2">
      <c r="A92" s="14" t="str">
        <f t="shared" si="72"/>
        <v>SPT D</v>
      </c>
      <c r="B92" s="1" t="s">
        <v>314</v>
      </c>
      <c r="C92" s="26">
        <v>0</v>
      </c>
      <c r="D92" s="26">
        <v>0</v>
      </c>
      <c r="E92" s="26">
        <v>0</v>
      </c>
      <c r="F92" s="320">
        <f>3493224+(341353661-341514603)</f>
        <v>3332282</v>
      </c>
      <c r="G92" s="31"/>
      <c r="H92" s="31"/>
      <c r="I92" s="31"/>
      <c r="J92" s="21">
        <f t="shared" si="73"/>
        <v>3332282</v>
      </c>
      <c r="K92" s="21"/>
      <c r="L92" s="21">
        <f t="shared" si="74"/>
        <v>0</v>
      </c>
      <c r="M92" s="21">
        <f t="shared" si="75"/>
        <v>3332282</v>
      </c>
      <c r="O92" s="31">
        <f t="shared" si="76"/>
        <v>3332282</v>
      </c>
      <c r="P92" s="31"/>
      <c r="Q92" s="31"/>
      <c r="R92" s="31"/>
      <c r="S92" s="31"/>
      <c r="T92" s="21">
        <f t="shared" si="77"/>
        <v>3332282</v>
      </c>
      <c r="U92" s="31">
        <f t="shared" si="78"/>
        <v>99968.459999999992</v>
      </c>
      <c r="V92" s="21">
        <f t="shared" si="58"/>
        <v>99968.459999999992</v>
      </c>
      <c r="W92" s="21">
        <f t="shared" si="59"/>
        <v>3232313.54</v>
      </c>
      <c r="Y92" s="21">
        <f t="shared" si="60"/>
        <v>3332282</v>
      </c>
      <c r="Z92" s="31"/>
      <c r="AA92" s="31"/>
      <c r="AB92" s="31"/>
      <c r="AC92" s="31"/>
      <c r="AD92" s="21">
        <f t="shared" si="79"/>
        <v>3332282</v>
      </c>
      <c r="AE92" s="31">
        <f>+T92*$E$21</f>
        <v>99968.459999999992</v>
      </c>
      <c r="AF92" s="21">
        <f t="shared" si="61"/>
        <v>199936.91999999998</v>
      </c>
      <c r="AG92" s="21">
        <f t="shared" si="62"/>
        <v>3132345.08</v>
      </c>
      <c r="AI92" s="6">
        <f t="shared" si="81"/>
        <v>3332282</v>
      </c>
      <c r="AJ92" s="6"/>
      <c r="AK92" s="6"/>
      <c r="AL92" s="6"/>
      <c r="AM92" s="6"/>
      <c r="AN92" s="21">
        <f t="shared" si="82"/>
        <v>0</v>
      </c>
      <c r="AO92" s="31">
        <f>+AD92*$E$21</f>
        <v>99968.459999999992</v>
      </c>
      <c r="AP92" s="21">
        <f t="shared" si="84"/>
        <v>0</v>
      </c>
      <c r="AQ92" s="21">
        <f t="shared" si="63"/>
        <v>0</v>
      </c>
      <c r="AS92" s="21">
        <f t="shared" si="85"/>
        <v>0</v>
      </c>
      <c r="AT92" s="21">
        <f>SUMIFS('Base ETESA'!$AJ:$AJ,'Base ETESA'!$BO:$BO,$A92,'Base ETESA'!$BP:$BP,$B92)</f>
        <v>0</v>
      </c>
      <c r="AX92" s="21">
        <f t="shared" si="86"/>
        <v>0</v>
      </c>
      <c r="AY92" s="21">
        <f>IF(AS$55="si",SUMIFS(BS01_BS02!$I$72:$I$79,BS01_BS02!$N$72:$N$79,$A92,BS01_BS02!$O$72:$O$79,$B92),SUMIFS(BS01_BS02!$W$72:$W$79,BS01_BS02!$O$72:$O$79,$B92))</f>
        <v>0</v>
      </c>
      <c r="AZ92" s="21">
        <f t="shared" si="64"/>
        <v>0</v>
      </c>
      <c r="BA92" s="21">
        <f t="shared" si="65"/>
        <v>0</v>
      </c>
      <c r="BC92" s="6">
        <f t="shared" si="87"/>
        <v>0</v>
      </c>
      <c r="BD92" s="21">
        <f>SUMIFS('Base ETESA'!$AQ:$AQ,'Base ETESA'!$BO:$BO,$A92,'Base ETESA'!$BP:$BP,$B92)</f>
        <v>0</v>
      </c>
      <c r="BH92" s="21">
        <f t="shared" si="93"/>
        <v>0</v>
      </c>
      <c r="BI92" s="21">
        <f>IF(AS$55="si",SUMIFS(BS01_BS02!$J$72:$J$79,BS01_BS02!$N$72:$N$79,$A92,BS01_BS02!$O$72:$O$79,$B92),SUMIFS(BS01_BS02!$X$72:$X$79,BS01_BS02!$O$72:$O$79,$B92))</f>
        <v>0</v>
      </c>
      <c r="BJ92" s="21">
        <f t="shared" si="66"/>
        <v>0</v>
      </c>
      <c r="BK92" s="21">
        <f t="shared" si="67"/>
        <v>0</v>
      </c>
      <c r="BM92" s="6">
        <f t="shared" si="89"/>
        <v>0</v>
      </c>
      <c r="BN92" s="21">
        <f>SUMIFS('Base ETESA'!$AX:$AX,'Base ETESA'!$BO:$BO,$A92,'Base ETESA'!$BP:$BP,$B92)</f>
        <v>0</v>
      </c>
      <c r="BR92" s="21">
        <f t="shared" si="94"/>
        <v>0</v>
      </c>
      <c r="BS92" s="21">
        <f>IF(AS$55="si",SUMIFS(BS01_BS02!$K$72:$K$79,BS01_BS02!$N$72:$N$79,$A92,BS01_BS02!$O$72:$O$79,$B92),SUMIFS(BS01_BS02!$Y$72:$Y$79,BS01_BS02!$O$72:$O$79,$B92))</f>
        <v>0</v>
      </c>
      <c r="BT92" s="21">
        <f t="shared" si="68"/>
        <v>0</v>
      </c>
      <c r="BU92" s="21">
        <f t="shared" si="69"/>
        <v>0</v>
      </c>
      <c r="BW92" s="6">
        <f t="shared" si="91"/>
        <v>0</v>
      </c>
      <c r="BX92" s="21">
        <f>SUMIFS('Base ETESA'!$BE:$BE,'Base ETESA'!$BO:$BO,$A92,'Base ETESA'!$BP:$BP,$B92)</f>
        <v>0</v>
      </c>
      <c r="CB92" s="21">
        <f t="shared" si="95"/>
        <v>0</v>
      </c>
      <c r="CC92" s="21">
        <f>IF(AS$55="si",SUMIFS(BS01_BS02!$L$72:$L$79,BS01_BS02!$N$72:$N$79,$A92,BS01_BS02!$O$72:$O$79,$B92),SUMIFS(BS01_BS02!$Z$72:$Z$79,BS01_BS02!$O$72:$O$79,$B92))</f>
        <v>0</v>
      </c>
      <c r="CD92" s="21">
        <f t="shared" si="70"/>
        <v>0</v>
      </c>
      <c r="CE92" s="21">
        <f t="shared" si="71"/>
        <v>0</v>
      </c>
    </row>
    <row r="93" spans="1:83" ht="16.5" customHeight="1" x14ac:dyDescent="0.2">
      <c r="A93" s="14" t="str">
        <f t="shared" si="72"/>
        <v>SPT D</v>
      </c>
      <c r="B93" s="1" t="s">
        <v>315</v>
      </c>
      <c r="C93" s="26">
        <v>0</v>
      </c>
      <c r="D93" s="26">
        <v>0</v>
      </c>
      <c r="E93" s="26">
        <v>0</v>
      </c>
      <c r="F93" s="31"/>
      <c r="G93" s="31"/>
      <c r="H93" s="31"/>
      <c r="I93" s="31"/>
      <c r="J93" s="21">
        <f t="shared" si="73"/>
        <v>0</v>
      </c>
      <c r="K93" s="21"/>
      <c r="L93" s="21">
        <f t="shared" si="74"/>
        <v>0</v>
      </c>
      <c r="M93" s="21">
        <f t="shared" si="75"/>
        <v>0</v>
      </c>
      <c r="O93" s="31">
        <f t="shared" si="76"/>
        <v>0</v>
      </c>
      <c r="P93" s="31"/>
      <c r="Q93" s="31"/>
      <c r="R93" s="31"/>
      <c r="S93" s="31"/>
      <c r="T93" s="21">
        <f t="shared" si="77"/>
        <v>0</v>
      </c>
      <c r="U93" s="31">
        <f t="shared" si="78"/>
        <v>0</v>
      </c>
      <c r="V93" s="21">
        <f t="shared" si="58"/>
        <v>0</v>
      </c>
      <c r="W93" s="21">
        <f t="shared" si="59"/>
        <v>0</v>
      </c>
      <c r="Y93" s="21">
        <f t="shared" si="60"/>
        <v>0</v>
      </c>
      <c r="Z93" s="31"/>
      <c r="AA93" s="31"/>
      <c r="AB93" s="31"/>
      <c r="AC93" s="31"/>
      <c r="AD93" s="21">
        <f t="shared" si="79"/>
        <v>0</v>
      </c>
      <c r="AE93" s="31">
        <f t="shared" si="80"/>
        <v>0</v>
      </c>
      <c r="AF93" s="21">
        <f t="shared" si="61"/>
        <v>0</v>
      </c>
      <c r="AG93" s="21">
        <f t="shared" si="62"/>
        <v>0</v>
      </c>
      <c r="AI93" s="6">
        <f t="shared" si="81"/>
        <v>0</v>
      </c>
      <c r="AJ93" s="6"/>
      <c r="AK93" s="6"/>
      <c r="AL93" s="6"/>
      <c r="AM93" s="6"/>
      <c r="AN93" s="21">
        <f t="shared" si="82"/>
        <v>0</v>
      </c>
      <c r="AO93" s="31">
        <f t="shared" ref="AO93:AO94" si="96">+AD93*$E$21</f>
        <v>0</v>
      </c>
      <c r="AP93" s="21">
        <f t="shared" si="84"/>
        <v>0</v>
      </c>
      <c r="AQ93" s="21">
        <f t="shared" si="63"/>
        <v>0</v>
      </c>
      <c r="AS93" s="21">
        <f t="shared" si="85"/>
        <v>0</v>
      </c>
      <c r="AT93" s="21">
        <f>SUMIFS('Base ETESA'!$AJ:$AJ,'Base ETESA'!$BO:$BO,$A93,'Base ETESA'!$BP:$BP,$B93)</f>
        <v>0</v>
      </c>
      <c r="AX93" s="21">
        <f t="shared" si="86"/>
        <v>0</v>
      </c>
      <c r="AY93" s="21">
        <f>IF(AS$55="si",SUMIFS(BS01_BS02!$I$72:$I$79,BS01_BS02!$N$72:$N$79,$A93,BS01_BS02!$O$72:$O$79,$B93),SUMIFS(BS01_BS02!$W$72:$W$79,BS01_BS02!$O$72:$O$79,$B93))</f>
        <v>0</v>
      </c>
      <c r="AZ93" s="21">
        <f t="shared" si="64"/>
        <v>0</v>
      </c>
      <c r="BA93" s="21">
        <f t="shared" si="65"/>
        <v>0</v>
      </c>
      <c r="BC93" s="6">
        <f t="shared" si="87"/>
        <v>0</v>
      </c>
      <c r="BD93" s="21">
        <f>SUMIFS('Base ETESA'!$AQ:$AQ,'Base ETESA'!$BO:$BO,$A93,'Base ETESA'!$BP:$BP,$B93)</f>
        <v>0</v>
      </c>
      <c r="BH93" s="21">
        <f t="shared" si="93"/>
        <v>0</v>
      </c>
      <c r="BI93" s="21">
        <f>IF(AS$55="si",SUMIFS(BS01_BS02!$J$72:$J$79,BS01_BS02!$N$72:$N$79,$A93,BS01_BS02!$O$72:$O$79,$B93),SUMIFS(BS01_BS02!$X$72:$X$79,BS01_BS02!$O$72:$O$79,$B93))</f>
        <v>0</v>
      </c>
      <c r="BJ93" s="21">
        <f t="shared" si="66"/>
        <v>0</v>
      </c>
      <c r="BK93" s="21">
        <f t="shared" si="67"/>
        <v>0</v>
      </c>
      <c r="BM93" s="6">
        <f t="shared" si="89"/>
        <v>0</v>
      </c>
      <c r="BN93" s="21">
        <f>SUMIFS('Base ETESA'!$AX:$AX,'Base ETESA'!$BO:$BO,$A93,'Base ETESA'!$BP:$BP,$B93)</f>
        <v>0</v>
      </c>
      <c r="BR93" s="21">
        <f t="shared" si="94"/>
        <v>0</v>
      </c>
      <c r="BS93" s="21">
        <f>IF(AS$55="si",SUMIFS(BS01_BS02!$K$72:$K$79,BS01_BS02!$N$72:$N$79,$A93,BS01_BS02!$O$72:$O$79,$B93),SUMIFS(BS01_BS02!$Y$72:$Y$79,BS01_BS02!$O$72:$O$79,$B93))</f>
        <v>0</v>
      </c>
      <c r="BT93" s="21">
        <f t="shared" si="68"/>
        <v>0</v>
      </c>
      <c r="BU93" s="21">
        <f t="shared" si="69"/>
        <v>0</v>
      </c>
      <c r="BW93" s="6">
        <f t="shared" si="91"/>
        <v>0</v>
      </c>
      <c r="BX93" s="21">
        <f>SUMIFS('Base ETESA'!$BE:$BE,'Base ETESA'!$BO:$BO,$A93,'Base ETESA'!$BP:$BP,$B93)</f>
        <v>0</v>
      </c>
      <c r="CB93" s="21">
        <f t="shared" si="95"/>
        <v>0</v>
      </c>
      <c r="CC93" s="21">
        <f>IF(AS$55="si",SUMIFS(BS01_BS02!$L$72:$L$79,BS01_BS02!$N$72:$N$79,$A93,BS01_BS02!$O$72:$O$79,$B93),SUMIFS(BS01_BS02!$Z$72:$Z$79,BS01_BS02!$O$72:$O$79,$B93))</f>
        <v>0</v>
      </c>
      <c r="CD93" s="21">
        <f t="shared" si="70"/>
        <v>0</v>
      </c>
      <c r="CE93" s="21">
        <f t="shared" si="71"/>
        <v>0</v>
      </c>
    </row>
    <row r="94" spans="1:83" ht="16.5" customHeight="1" x14ac:dyDescent="0.2">
      <c r="A94" s="14" t="str">
        <f t="shared" si="72"/>
        <v>SPT D</v>
      </c>
      <c r="B94" s="1" t="s">
        <v>316</v>
      </c>
      <c r="C94" s="26">
        <v>0</v>
      </c>
      <c r="D94" s="26">
        <v>0</v>
      </c>
      <c r="E94" s="26">
        <v>0</v>
      </c>
      <c r="F94" s="31"/>
      <c r="G94" s="31"/>
      <c r="H94" s="31"/>
      <c r="I94" s="31"/>
      <c r="J94" s="21">
        <f t="shared" si="73"/>
        <v>0</v>
      </c>
      <c r="K94" s="21"/>
      <c r="L94" s="21">
        <f t="shared" si="74"/>
        <v>0</v>
      </c>
      <c r="M94" s="21">
        <f t="shared" si="75"/>
        <v>0</v>
      </c>
      <c r="O94" s="31">
        <f t="shared" si="76"/>
        <v>0</v>
      </c>
      <c r="P94" s="31"/>
      <c r="Q94" s="31"/>
      <c r="R94" s="31"/>
      <c r="S94" s="31"/>
      <c r="T94" s="21">
        <f t="shared" si="77"/>
        <v>0</v>
      </c>
      <c r="U94" s="31">
        <f t="shared" si="78"/>
        <v>0</v>
      </c>
      <c r="V94" s="21">
        <f t="shared" si="58"/>
        <v>0</v>
      </c>
      <c r="W94" s="21">
        <f t="shared" si="59"/>
        <v>0</v>
      </c>
      <c r="Y94" s="21">
        <f t="shared" si="60"/>
        <v>0</v>
      </c>
      <c r="Z94" s="31"/>
      <c r="AA94" s="31"/>
      <c r="AB94" s="31"/>
      <c r="AC94" s="31"/>
      <c r="AD94" s="21">
        <f t="shared" si="79"/>
        <v>0</v>
      </c>
      <c r="AE94" s="31">
        <f t="shared" si="80"/>
        <v>0</v>
      </c>
      <c r="AF94" s="21">
        <f t="shared" si="61"/>
        <v>0</v>
      </c>
      <c r="AG94" s="21">
        <f t="shared" si="62"/>
        <v>0</v>
      </c>
      <c r="AI94" s="6">
        <f t="shared" si="81"/>
        <v>0</v>
      </c>
      <c r="AJ94" s="6"/>
      <c r="AK94" s="6"/>
      <c r="AL94" s="6"/>
      <c r="AM94" s="6"/>
      <c r="AN94" s="21">
        <f t="shared" si="82"/>
        <v>0</v>
      </c>
      <c r="AO94" s="31">
        <f t="shared" si="96"/>
        <v>0</v>
      </c>
      <c r="AP94" s="21">
        <f t="shared" si="84"/>
        <v>0</v>
      </c>
      <c r="AQ94" s="21">
        <f t="shared" si="63"/>
        <v>0</v>
      </c>
      <c r="AS94" s="21">
        <f t="shared" si="85"/>
        <v>0</v>
      </c>
      <c r="AT94" s="21">
        <f>SUMIFS('Base ETESA'!$AJ:$AJ,'Base ETESA'!$BO:$BO,$A94,'Base ETESA'!$BP:$BP,$B94)</f>
        <v>0</v>
      </c>
      <c r="AX94" s="21">
        <f t="shared" si="86"/>
        <v>0</v>
      </c>
      <c r="AY94" s="21">
        <f>IF(AS$55="si",SUMIFS(BS01_BS02!$I$72:$I$79,BS01_BS02!$N$72:$N$79,$A94,BS01_BS02!$O$72:$O$79,$B94),SUMIFS(BS01_BS02!$W$72:$W$79,BS01_BS02!$O$72:$O$79,$B94))</f>
        <v>0</v>
      </c>
      <c r="AZ94" s="21">
        <f t="shared" si="64"/>
        <v>0</v>
      </c>
      <c r="BA94" s="21">
        <f t="shared" si="65"/>
        <v>0</v>
      </c>
      <c r="BC94" s="6">
        <f t="shared" si="87"/>
        <v>0</v>
      </c>
      <c r="BD94" s="21">
        <f>SUMIFS('Base ETESA'!$AQ:$AQ,'Base ETESA'!$BO:$BO,$A94,'Base ETESA'!$BP:$BP,$B94)</f>
        <v>0</v>
      </c>
      <c r="BH94" s="21">
        <f t="shared" si="93"/>
        <v>0</v>
      </c>
      <c r="BI94" s="21">
        <f>IF(AS$55="si",SUMIFS(BS01_BS02!$J$72:$J$79,BS01_BS02!$N$72:$N$79,$A94,BS01_BS02!$O$72:$O$79,$B94),SUMIFS(BS01_BS02!$X$72:$X$79,BS01_BS02!$O$72:$O$79,$B94))</f>
        <v>0</v>
      </c>
      <c r="BJ94" s="21">
        <f t="shared" si="66"/>
        <v>0</v>
      </c>
      <c r="BK94" s="21">
        <f t="shared" si="67"/>
        <v>0</v>
      </c>
      <c r="BM94" s="6">
        <f t="shared" si="89"/>
        <v>0</v>
      </c>
      <c r="BN94" s="21">
        <f>SUMIFS('Base ETESA'!$AX:$AX,'Base ETESA'!$BO:$BO,$A94,'Base ETESA'!$BP:$BP,$B94)</f>
        <v>0</v>
      </c>
      <c r="BR94" s="21">
        <f t="shared" si="94"/>
        <v>0</v>
      </c>
      <c r="BS94" s="21">
        <f>IF(AS$55="si",SUMIFS(BS01_BS02!$K$72:$K$79,BS01_BS02!$N$72:$N$79,$A94,BS01_BS02!$O$72:$O$79,$B94),SUMIFS(BS01_BS02!$Y$72:$Y$79,BS01_BS02!$O$72:$O$79,$B94))</f>
        <v>0</v>
      </c>
      <c r="BT94" s="21">
        <f t="shared" si="68"/>
        <v>0</v>
      </c>
      <c r="BU94" s="21">
        <f t="shared" si="69"/>
        <v>0</v>
      </c>
      <c r="BW94" s="6">
        <f t="shared" si="91"/>
        <v>0</v>
      </c>
      <c r="BX94" s="21">
        <f>SUMIFS('Base ETESA'!$BE:$BE,'Base ETESA'!$BO:$BO,$A94,'Base ETESA'!$BP:$BP,$B94)</f>
        <v>0</v>
      </c>
      <c r="CB94" s="21">
        <f t="shared" si="95"/>
        <v>0</v>
      </c>
      <c r="CC94" s="21">
        <f>IF(AS$55="si",SUMIFS(BS01_BS02!$L$72:$L$79,BS01_BS02!$N$72:$N$79,$A94,BS01_BS02!$O$72:$O$79,$B94),SUMIFS(BS01_BS02!$Z$72:$Z$79,BS01_BS02!$O$72:$O$79,$B94))</f>
        <v>0</v>
      </c>
      <c r="CD94" s="21">
        <f t="shared" si="70"/>
        <v>0</v>
      </c>
      <c r="CE94" s="21">
        <f t="shared" si="71"/>
        <v>0</v>
      </c>
    </row>
    <row r="95" spans="1:83" ht="16.5" customHeight="1" thickBot="1" x14ac:dyDescent="0.25">
      <c r="A95" s="14" t="str">
        <f t="shared" si="72"/>
        <v>SPT D</v>
      </c>
      <c r="B95" s="16" t="s">
        <v>317</v>
      </c>
      <c r="C95" s="22">
        <f>+SUM(C80:C94)</f>
        <v>0</v>
      </c>
      <c r="D95" s="22">
        <f>+SUM(D80:D94)</f>
        <v>0</v>
      </c>
      <c r="E95" s="22">
        <f>+SUM(E80:E94)</f>
        <v>0</v>
      </c>
      <c r="F95" s="22">
        <f>SUM(F80:F94)</f>
        <v>341353661</v>
      </c>
      <c r="G95" s="22">
        <f t="shared" ref="G95:M95" si="97">SUM(G80:G94)</f>
        <v>0</v>
      </c>
      <c r="H95" s="22">
        <f t="shared" si="97"/>
        <v>0</v>
      </c>
      <c r="I95" s="22">
        <f t="shared" si="97"/>
        <v>0</v>
      </c>
      <c r="J95" s="22">
        <f t="shared" si="97"/>
        <v>341353661</v>
      </c>
      <c r="K95" s="22"/>
      <c r="L95" s="22">
        <f>SUM(L80:L94)</f>
        <v>0</v>
      </c>
      <c r="M95" s="22">
        <f t="shared" si="97"/>
        <v>341353661</v>
      </c>
      <c r="O95" s="22">
        <f>SUM(O80:O94)</f>
        <v>341353661</v>
      </c>
      <c r="P95" s="22">
        <f>SUM(P80:P94)</f>
        <v>32770663.75</v>
      </c>
      <c r="Q95" s="22">
        <f t="shared" ref="Q95:T95" si="98">SUM(Q80:Q94)</f>
        <v>0</v>
      </c>
      <c r="R95" s="22">
        <f t="shared" si="98"/>
        <v>0</v>
      </c>
      <c r="S95" s="22">
        <f t="shared" si="98"/>
        <v>0</v>
      </c>
      <c r="T95" s="22">
        <f t="shared" si="98"/>
        <v>374124324.75</v>
      </c>
      <c r="U95" s="22">
        <f>SUM(U80:U94)</f>
        <v>10240609.83</v>
      </c>
      <c r="V95" s="22">
        <f>SUM(V80:V94)</f>
        <v>10240609.83</v>
      </c>
      <c r="W95" s="22">
        <f>SUM(W80:W94)</f>
        <v>363883714.92000002</v>
      </c>
      <c r="Y95" s="22">
        <f>SUM(Y80:Y94)</f>
        <v>374124324.75</v>
      </c>
      <c r="Z95" s="22">
        <f>SUM(Z80:Z94)</f>
        <v>0</v>
      </c>
      <c r="AA95" s="22">
        <f t="shared" ref="AA95:AE95" si="99">SUM(AA80:AA94)</f>
        <v>0</v>
      </c>
      <c r="AB95" s="22">
        <f t="shared" si="99"/>
        <v>0</v>
      </c>
      <c r="AC95" s="22">
        <f t="shared" si="99"/>
        <v>0</v>
      </c>
      <c r="AD95" s="22">
        <f t="shared" si="99"/>
        <v>374124324.75</v>
      </c>
      <c r="AE95" s="22">
        <f t="shared" si="99"/>
        <v>11223729.7425</v>
      </c>
      <c r="AF95" s="22">
        <f>SUM(AF80:AF94)</f>
        <v>21464339.572500002</v>
      </c>
      <c r="AG95" s="22">
        <f>SUM(AG80:AG94)</f>
        <v>352659985.17749995</v>
      </c>
      <c r="AI95" s="5">
        <f>SUM(AI80:AI94)</f>
        <v>374124324.75</v>
      </c>
      <c r="AJ95" s="5">
        <f>SUM(AJ80:AJ94)</f>
        <v>11790845.32</v>
      </c>
      <c r="AK95" s="5">
        <f t="shared" ref="AK95:AO95" si="100">SUM(AK80:AK94)</f>
        <v>0</v>
      </c>
      <c r="AL95" s="5">
        <f t="shared" si="100"/>
        <v>0</v>
      </c>
      <c r="AM95" s="5">
        <f t="shared" si="100"/>
        <v>0</v>
      </c>
      <c r="AN95" s="5">
        <f t="shared" si="100"/>
        <v>0</v>
      </c>
      <c r="AO95" s="5">
        <f t="shared" si="100"/>
        <v>11223729.7425</v>
      </c>
      <c r="AP95" s="5">
        <f>SUM(AP80:AP94)</f>
        <v>0</v>
      </c>
      <c r="AQ95" s="5">
        <f>SUM(AQ80:AQ94)</f>
        <v>0</v>
      </c>
      <c r="AS95" s="5">
        <f>SUM(AS80:AS94)</f>
        <v>0</v>
      </c>
      <c r="AT95" s="5">
        <f>SUM(AT80:AT94)</f>
        <v>0</v>
      </c>
      <c r="AX95" s="5">
        <f t="shared" ref="AX95:AY95" si="101">SUM(AX80:AX94)</f>
        <v>0</v>
      </c>
      <c r="AY95" s="5">
        <f t="shared" si="101"/>
        <v>0</v>
      </c>
      <c r="AZ95" s="5">
        <f>SUM(AZ80:AZ94)</f>
        <v>0</v>
      </c>
      <c r="BA95" s="5">
        <f>SUM(BA80:BA94)</f>
        <v>0</v>
      </c>
      <c r="BC95" s="5">
        <f>SUM(BC80:BC94)</f>
        <v>0</v>
      </c>
      <c r="BD95" s="5">
        <f>SUM(BD80:BD94)</f>
        <v>0</v>
      </c>
      <c r="BH95" s="5">
        <f t="shared" ref="BH95:BI95" si="102">SUM(BH80:BH94)</f>
        <v>0</v>
      </c>
      <c r="BI95" s="5">
        <f t="shared" si="102"/>
        <v>0</v>
      </c>
      <c r="BJ95" s="5">
        <f>SUM(BJ80:BJ94)</f>
        <v>0</v>
      </c>
      <c r="BK95" s="5">
        <f>SUM(BK80:BK94)</f>
        <v>0</v>
      </c>
      <c r="BM95" s="5">
        <f>SUM(BM80:BM94)</f>
        <v>0</v>
      </c>
      <c r="BN95" s="5">
        <f>SUM(BN80:BN94)</f>
        <v>0</v>
      </c>
      <c r="BR95" s="5">
        <f t="shared" ref="BR95:BS95" si="103">SUM(BR80:BR94)</f>
        <v>0</v>
      </c>
      <c r="BS95" s="5">
        <f t="shared" si="103"/>
        <v>0</v>
      </c>
      <c r="BT95" s="5">
        <f>SUM(BT80:BT94)</f>
        <v>0</v>
      </c>
      <c r="BU95" s="5">
        <f>SUM(BU80:BU94)</f>
        <v>0</v>
      </c>
      <c r="BW95" s="5">
        <f>SUM(BW80:BW94)</f>
        <v>0</v>
      </c>
      <c r="BX95" s="5">
        <f>SUM(BX80:BX94)</f>
        <v>0</v>
      </c>
      <c r="CB95" s="5">
        <f t="shared" ref="CB95:CC95" si="104">SUM(CB80:CB94)</f>
        <v>0</v>
      </c>
      <c r="CC95" s="5">
        <f t="shared" si="104"/>
        <v>0</v>
      </c>
      <c r="CD95" s="5">
        <f>SUM(CD80:CD94)</f>
        <v>0</v>
      </c>
      <c r="CE95" s="5">
        <f>SUM(CE80:CE94)</f>
        <v>0</v>
      </c>
    </row>
    <row r="96" spans="1:83" ht="16.5" customHeight="1" thickTop="1" x14ac:dyDescent="0.2">
      <c r="A96" s="14"/>
      <c r="B96" s="16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O96" s="31"/>
      <c r="P96" s="31"/>
      <c r="Q96" s="31"/>
      <c r="R96" s="31"/>
      <c r="S96" s="31"/>
      <c r="T96" s="31"/>
      <c r="U96" s="31"/>
      <c r="V96" s="31"/>
      <c r="W96" s="31"/>
      <c r="Y96" s="31"/>
      <c r="Z96" s="31"/>
      <c r="AA96" s="31"/>
      <c r="AB96" s="31"/>
      <c r="AC96" s="31"/>
      <c r="AD96" s="31"/>
      <c r="AE96" s="31"/>
      <c r="AF96" s="31"/>
      <c r="AG96" s="31"/>
      <c r="AI96" s="6"/>
      <c r="AJ96" s="6"/>
      <c r="AK96" s="6"/>
      <c r="AL96" s="6"/>
      <c r="AM96" s="6"/>
      <c r="AN96" s="6"/>
      <c r="AO96" s="6"/>
      <c r="AP96" s="6"/>
      <c r="AQ96" s="6"/>
      <c r="AS96" s="6"/>
      <c r="AX96" s="6"/>
      <c r="AZ96" s="6"/>
      <c r="BA96" s="6"/>
      <c r="BC96" s="6"/>
      <c r="BH96" s="6"/>
      <c r="BJ96" s="6"/>
      <c r="BK96" s="6"/>
      <c r="BM96" s="6"/>
      <c r="BR96" s="6"/>
      <c r="BT96" s="6"/>
      <c r="BU96" s="6"/>
      <c r="BW96" s="6"/>
      <c r="CB96" s="6"/>
      <c r="CD96" s="6"/>
      <c r="CE96" s="6"/>
    </row>
    <row r="97" spans="1:85" ht="16.5" customHeight="1" x14ac:dyDescent="0.2">
      <c r="A97" s="14"/>
      <c r="B97" s="16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O97" s="31"/>
      <c r="P97" s="31"/>
      <c r="Q97" s="31"/>
      <c r="R97" s="31"/>
      <c r="S97" s="31"/>
      <c r="T97" s="31"/>
      <c r="U97" s="31"/>
      <c r="V97" s="31"/>
      <c r="W97" s="31"/>
      <c r="Y97" s="31"/>
      <c r="Z97" s="31"/>
      <c r="AA97" s="31"/>
      <c r="AB97" s="31"/>
      <c r="AC97" s="31"/>
      <c r="AD97" s="31"/>
      <c r="AE97" s="31"/>
      <c r="AF97" s="31"/>
      <c r="AG97" s="31"/>
      <c r="AI97" s="6"/>
      <c r="AJ97" s="6"/>
      <c r="AK97" s="6"/>
      <c r="AL97" s="6"/>
      <c r="AM97" s="6"/>
      <c r="AN97" s="6"/>
      <c r="AO97" s="6"/>
      <c r="AP97" s="6"/>
      <c r="AQ97" s="6"/>
      <c r="AS97" s="6"/>
      <c r="AX97" s="6"/>
      <c r="AZ97" s="6"/>
      <c r="BA97" s="6"/>
      <c r="BC97" s="6"/>
      <c r="BH97" s="6"/>
      <c r="BJ97" s="6"/>
      <c r="BK97" s="6"/>
      <c r="BM97" s="6"/>
      <c r="BR97" s="6"/>
      <c r="BT97" s="6"/>
      <c r="BU97" s="6"/>
      <c r="BW97" s="6"/>
      <c r="CB97" s="6"/>
      <c r="CD97" s="6"/>
      <c r="CE97" s="6"/>
    </row>
    <row r="98" spans="1:85" ht="15" x14ac:dyDescent="0.25">
      <c r="A98" s="14"/>
      <c r="B98" s="19" t="s">
        <v>31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O98" s="21"/>
      <c r="P98" s="21"/>
      <c r="Q98" s="21"/>
      <c r="R98" s="21"/>
      <c r="S98" s="21"/>
      <c r="T98" s="21"/>
      <c r="U98" s="21"/>
      <c r="V98" s="21"/>
      <c r="W98" s="21"/>
      <c r="Y98" s="21"/>
      <c r="Z98" s="21"/>
      <c r="AA98" s="21"/>
      <c r="AB98" s="21"/>
      <c r="AC98" s="21"/>
      <c r="AD98" s="21"/>
      <c r="AE98" s="21"/>
      <c r="AF98" s="21"/>
      <c r="AG98" s="21"/>
      <c r="AI98" s="4"/>
      <c r="AJ98" s="3"/>
      <c r="AK98" s="3"/>
      <c r="AL98" s="3"/>
      <c r="AM98" s="3"/>
      <c r="AN98" s="3"/>
      <c r="AO98" s="3"/>
      <c r="AP98" s="21"/>
      <c r="AQ98" s="21"/>
      <c r="AS98" s="4"/>
      <c r="AX98" s="3"/>
      <c r="AZ98" s="21"/>
      <c r="BA98" s="21"/>
      <c r="BC98" s="4"/>
      <c r="BH98" s="3"/>
      <c r="BJ98" s="21"/>
      <c r="BK98" s="21"/>
      <c r="BM98" s="4"/>
      <c r="BR98" s="3"/>
      <c r="BT98" s="21"/>
      <c r="BU98" s="21"/>
      <c r="BW98" s="4"/>
      <c r="CB98" s="3"/>
      <c r="CD98" s="21"/>
      <c r="CE98" s="21"/>
    </row>
    <row r="99" spans="1:85" outlineLevel="1" x14ac:dyDescent="0.2">
      <c r="A99" s="14" t="str">
        <f t="shared" ref="A99:A109" si="105">+$B$98</f>
        <v>CONEXIÓN</v>
      </c>
      <c r="B99" s="1" t="s">
        <v>302</v>
      </c>
      <c r="C99" s="26">
        <v>770837.08</v>
      </c>
      <c r="D99" s="26">
        <v>0</v>
      </c>
      <c r="E99" s="26">
        <v>770837.08</v>
      </c>
      <c r="F99" s="26">
        <v>0</v>
      </c>
      <c r="G99" s="26">
        <v>0</v>
      </c>
      <c r="H99" s="26">
        <v>0</v>
      </c>
      <c r="I99" s="26">
        <v>0</v>
      </c>
      <c r="J99" s="21">
        <f t="shared" ref="J99:J107" si="106">+C99+F99-G99+H99+I99</f>
        <v>770837.08</v>
      </c>
      <c r="K99" s="21"/>
      <c r="L99" s="21">
        <f t="shared" ref="L99:L108" si="107">+D99+K99</f>
        <v>0</v>
      </c>
      <c r="M99" s="21">
        <f>+J99-L99</f>
        <v>770837.08</v>
      </c>
      <c r="O99" s="26">
        <f>+J99</f>
        <v>770837.08</v>
      </c>
      <c r="P99" s="15"/>
      <c r="Q99" s="15"/>
      <c r="R99" s="15"/>
      <c r="S99" s="15"/>
      <c r="T99" s="21">
        <f t="shared" ref="T99:T108" si="108">+O99+P99-Q99+R99+S99</f>
        <v>770837.08</v>
      </c>
      <c r="U99" s="21"/>
      <c r="V99" s="21">
        <f t="shared" ref="V99:V108" si="109">+L99+U99</f>
        <v>0</v>
      </c>
      <c r="W99" s="21">
        <f>+T99-V99</f>
        <v>770837.08</v>
      </c>
      <c r="Y99" s="26">
        <f>+T99</f>
        <v>770837.08</v>
      </c>
      <c r="Z99" s="26">
        <v>0</v>
      </c>
      <c r="AA99" s="26">
        <v>0</v>
      </c>
      <c r="AB99" s="26">
        <v>0</v>
      </c>
      <c r="AC99" s="26">
        <v>0</v>
      </c>
      <c r="AD99" s="21">
        <f t="shared" ref="AD99:AD108" si="110">+Y99+Z99-AA99+AB99+AC99</f>
        <v>770837.08</v>
      </c>
      <c r="AE99" s="21"/>
      <c r="AF99" s="26">
        <f>+V99+AE99</f>
        <v>0</v>
      </c>
      <c r="AG99" s="21">
        <f>+AD99-AF99</f>
        <v>770837.08</v>
      </c>
      <c r="AI99" s="26">
        <f>+AD99</f>
        <v>770837.08</v>
      </c>
      <c r="AJ99" s="27">
        <v>0</v>
      </c>
      <c r="AK99" s="27">
        <v>0</v>
      </c>
      <c r="AL99" s="27">
        <v>0</v>
      </c>
      <c r="AM99" s="27">
        <v>0</v>
      </c>
      <c r="AN99" s="21">
        <f t="shared" ref="AN99:AN108" si="111">+AI99+AJ99-AK99+AL99+AM99</f>
        <v>770837.08</v>
      </c>
      <c r="AO99" s="21"/>
      <c r="AP99" s="26">
        <f>+AF99+AO99</f>
        <v>0</v>
      </c>
      <c r="AQ99" s="21">
        <f t="shared" ref="AQ99:AQ105" si="112">+AN99-AP99</f>
        <v>770837.08</v>
      </c>
      <c r="AS99" s="26">
        <f>+AN99</f>
        <v>770837.08</v>
      </c>
      <c r="AT99" s="21">
        <f>SUMIFS('Base ETESA'!$AJ:$AJ,'Base ETESA'!$BO:$BO,$A99,'Base ETESA'!$BP:$BP,$B99)</f>
        <v>0</v>
      </c>
      <c r="AX99" s="21">
        <f t="shared" ref="AX99:AX108" si="113">+AS99+AT99-AU99+AV99+AW99</f>
        <v>770837.08</v>
      </c>
      <c r="AY99" s="21">
        <f>SUMIFS(BS01_BS02!$I:$I,BS01_BS02!$N:$N,$A99,BS01_BS02!$O:$O,$B99)</f>
        <v>0</v>
      </c>
      <c r="AZ99" s="26">
        <f>+AP99+AY99</f>
        <v>0</v>
      </c>
      <c r="BA99" s="21">
        <f t="shared" ref="BA99:BA105" si="114">+AX99-AZ99</f>
        <v>770837.08</v>
      </c>
      <c r="BC99" s="26">
        <f>+AX99</f>
        <v>770837.08</v>
      </c>
      <c r="BD99" s="21">
        <f>SUMIFS('Base ETESA'!$AQ:$AQ,'Base ETESA'!$BO:$BO,$A99,'Base ETESA'!$BP:$BP,$B99)</f>
        <v>0</v>
      </c>
      <c r="BH99" s="21">
        <f t="shared" ref="BH99:BH108" si="115">+BC99+BD99-BE99+BF99+BG99</f>
        <v>770837.08</v>
      </c>
      <c r="BJ99" s="26">
        <f>+AZ99+BI99</f>
        <v>0</v>
      </c>
      <c r="BK99" s="21">
        <f t="shared" ref="BK99:BK105" si="116">+BH99-BJ99</f>
        <v>770837.08</v>
      </c>
      <c r="BM99" s="26">
        <f>+BH99</f>
        <v>770837.08</v>
      </c>
      <c r="BN99" s="21">
        <f>SUMIFS('Base ETESA'!$AX:$AX,'Base ETESA'!$BO:$BO,$A99,'Base ETESA'!$BP:$BP,$B99)</f>
        <v>0</v>
      </c>
      <c r="BR99" s="21">
        <f t="shared" ref="BR99:BR108" si="117">+BM99+BN99-BO99+BP99+BQ99</f>
        <v>770837.08</v>
      </c>
      <c r="BT99" s="26">
        <f>+BJ99+BS99</f>
        <v>0</v>
      </c>
      <c r="BU99" s="21">
        <f t="shared" ref="BU99:BU105" si="118">+BR99-BT99</f>
        <v>770837.08</v>
      </c>
      <c r="BW99" s="26">
        <f>+BR99</f>
        <v>770837.08</v>
      </c>
      <c r="BX99" s="21">
        <f>SUMIFS('Base ETESA'!$BE:$BE,'Base ETESA'!$BO:$BO,$A99,'Base ETESA'!$BP:$BP,$B99)</f>
        <v>0</v>
      </c>
      <c r="CB99" s="21">
        <f t="shared" ref="CB99:CB108" si="119">+BW99+BX99-BY99+BZ99+CA99</f>
        <v>770837.08</v>
      </c>
      <c r="CD99" s="26">
        <f>+BT99+CC99</f>
        <v>0</v>
      </c>
      <c r="CE99" s="21">
        <f t="shared" ref="CE99:CE105" si="120">+CB99-CD99</f>
        <v>770837.08</v>
      </c>
      <c r="CG99" s="21"/>
    </row>
    <row r="100" spans="1:85" outlineLevel="1" x14ac:dyDescent="0.2">
      <c r="A100" s="14" t="str">
        <f t="shared" si="105"/>
        <v>CONEXIÓN</v>
      </c>
      <c r="B100" s="1" t="s">
        <v>303</v>
      </c>
      <c r="C100" s="26">
        <v>138192.18</v>
      </c>
      <c r="D100" s="26">
        <v>117725</v>
      </c>
      <c r="E100" s="26">
        <v>20467.179999999993</v>
      </c>
      <c r="F100" s="26">
        <v>0</v>
      </c>
      <c r="G100" s="26">
        <v>0</v>
      </c>
      <c r="H100" s="26">
        <v>0</v>
      </c>
      <c r="I100" s="26">
        <v>0</v>
      </c>
      <c r="J100" s="21">
        <f t="shared" si="106"/>
        <v>138192.18</v>
      </c>
      <c r="K100" s="21"/>
      <c r="L100" s="21">
        <f t="shared" si="107"/>
        <v>117725</v>
      </c>
      <c r="M100" s="21">
        <f t="shared" ref="M100:M108" si="121">+J100-L100</f>
        <v>20467.179999999993</v>
      </c>
      <c r="O100" s="26">
        <f t="shared" ref="O100:O108" si="122">+J100</f>
        <v>138192.18</v>
      </c>
      <c r="P100" s="15"/>
      <c r="Q100" s="15"/>
      <c r="R100" s="15"/>
      <c r="S100" s="15"/>
      <c r="T100" s="21">
        <f t="shared" si="108"/>
        <v>138192.18</v>
      </c>
      <c r="U100" s="21"/>
      <c r="V100" s="21">
        <f t="shared" si="109"/>
        <v>117725</v>
      </c>
      <c r="W100" s="21">
        <f t="shared" ref="W100:W108" si="123">+T100-V100</f>
        <v>20467.179999999993</v>
      </c>
      <c r="Y100" s="26">
        <f t="shared" ref="Y100:Y108" si="124">+T100</f>
        <v>138192.18</v>
      </c>
      <c r="Z100" s="26">
        <v>0</v>
      </c>
      <c r="AA100" s="26">
        <v>0</v>
      </c>
      <c r="AB100" s="26">
        <v>0</v>
      </c>
      <c r="AC100" s="26">
        <v>0</v>
      </c>
      <c r="AD100" s="21">
        <f t="shared" si="110"/>
        <v>138192.18</v>
      </c>
      <c r="AE100" s="21"/>
      <c r="AF100" s="26">
        <f t="shared" ref="AF100:AF108" si="125">+V100+AE100</f>
        <v>117725</v>
      </c>
      <c r="AG100" s="21">
        <f t="shared" ref="AG100:AG108" si="126">+AD100-AF100</f>
        <v>20467.179999999993</v>
      </c>
      <c r="AI100" s="26">
        <f t="shared" ref="AI100:AI108" si="127">+AD100</f>
        <v>138192.18</v>
      </c>
      <c r="AJ100" s="27">
        <v>0</v>
      </c>
      <c r="AK100" s="27">
        <v>0</v>
      </c>
      <c r="AL100" s="27">
        <v>0</v>
      </c>
      <c r="AM100" s="27">
        <v>0</v>
      </c>
      <c r="AN100" s="21">
        <f t="shared" si="111"/>
        <v>138192.18</v>
      </c>
      <c r="AO100" s="21"/>
      <c r="AP100" s="26">
        <f t="shared" ref="AP100:AP108" si="128">+AF100+AO100</f>
        <v>117725</v>
      </c>
      <c r="AQ100" s="21">
        <f t="shared" si="112"/>
        <v>20467.179999999993</v>
      </c>
      <c r="AS100" s="26">
        <f t="shared" ref="AS100:AS108" si="129">+AN100</f>
        <v>138192.18</v>
      </c>
      <c r="AT100" s="21">
        <f>SUMIFS('Base ETESA'!$AJ:$AJ,'Base ETESA'!$BO:$BO,$A100,'Base ETESA'!$BP:$BP,$B100)</f>
        <v>0</v>
      </c>
      <c r="AX100" s="21">
        <f t="shared" si="113"/>
        <v>138192.18</v>
      </c>
      <c r="AY100" s="21">
        <f>SUMIFS(BS01_BS02!$I:$I,BS01_BS02!$N:$N,$A100,BS01_BS02!$O:$O,$B100)</f>
        <v>0</v>
      </c>
      <c r="AZ100" s="26">
        <f t="shared" ref="AZ100:AZ108" si="130">+AP100+AY100</f>
        <v>117725</v>
      </c>
      <c r="BA100" s="21">
        <f t="shared" si="114"/>
        <v>20467.179999999993</v>
      </c>
      <c r="BC100" s="26">
        <f t="shared" ref="BC100:BC108" si="131">+AX100</f>
        <v>138192.18</v>
      </c>
      <c r="BD100" s="21">
        <f>SUMIFS('Base ETESA'!$AQ:$AQ,'Base ETESA'!$BO:$BO,$A100,'Base ETESA'!$BP:$BP,$B100)</f>
        <v>0</v>
      </c>
      <c r="BH100" s="21">
        <f t="shared" si="115"/>
        <v>138192.18</v>
      </c>
      <c r="BJ100" s="26">
        <f t="shared" ref="BJ100:BJ108" si="132">+AZ100+BI100</f>
        <v>117725</v>
      </c>
      <c r="BK100" s="21">
        <f t="shared" si="116"/>
        <v>20467.179999999993</v>
      </c>
      <c r="BM100" s="26">
        <f t="shared" ref="BM100:BM108" si="133">+BH100</f>
        <v>138192.18</v>
      </c>
      <c r="BN100" s="21">
        <f>SUMIFS('Base ETESA'!$AX:$AX,'Base ETESA'!$BO:$BO,$A100,'Base ETESA'!$BP:$BP,$B100)</f>
        <v>0</v>
      </c>
      <c r="BR100" s="21">
        <f t="shared" si="117"/>
        <v>138192.18</v>
      </c>
      <c r="BT100" s="26">
        <f t="shared" ref="BT100:BT108" si="134">+BJ100+BS100</f>
        <v>117725</v>
      </c>
      <c r="BU100" s="21">
        <f t="shared" si="118"/>
        <v>20467.179999999993</v>
      </c>
      <c r="BW100" s="26">
        <f t="shared" ref="BW100:BW108" si="135">+BR100</f>
        <v>138192.18</v>
      </c>
      <c r="BX100" s="21">
        <f>SUMIFS('Base ETESA'!$BE:$BE,'Base ETESA'!$BO:$BO,$A100,'Base ETESA'!$BP:$BP,$B100)</f>
        <v>0</v>
      </c>
      <c r="CB100" s="21">
        <f t="shared" si="119"/>
        <v>138192.18</v>
      </c>
      <c r="CD100" s="26">
        <f t="shared" ref="CD100:CD108" si="136">+BT100+CC100</f>
        <v>117725</v>
      </c>
      <c r="CE100" s="21">
        <f t="shared" si="120"/>
        <v>20467.179999999993</v>
      </c>
      <c r="CG100" s="21"/>
    </row>
    <row r="101" spans="1:85" outlineLevel="1" x14ac:dyDescent="0.2">
      <c r="A101" s="14" t="str">
        <f t="shared" si="105"/>
        <v>CONEXIÓN</v>
      </c>
      <c r="B101" s="1" t="s">
        <v>305</v>
      </c>
      <c r="C101" s="26">
        <v>8591.3799999999992</v>
      </c>
      <c r="D101" s="26">
        <v>3191</v>
      </c>
      <c r="E101" s="26">
        <v>5400.3799999999992</v>
      </c>
      <c r="F101" s="26">
        <v>0</v>
      </c>
      <c r="G101" s="26">
        <v>0</v>
      </c>
      <c r="H101" s="26">
        <v>0</v>
      </c>
      <c r="I101" s="26">
        <v>0</v>
      </c>
      <c r="J101" s="21">
        <f t="shared" si="106"/>
        <v>8591.3799999999992</v>
      </c>
      <c r="K101" s="21">
        <v>123</v>
      </c>
      <c r="L101" s="21">
        <f t="shared" si="107"/>
        <v>3314</v>
      </c>
      <c r="M101" s="21">
        <f t="shared" si="121"/>
        <v>5277.3799999999992</v>
      </c>
      <c r="O101" s="26">
        <f t="shared" si="122"/>
        <v>8591.3799999999992</v>
      </c>
      <c r="P101" s="15"/>
      <c r="Q101" s="15"/>
      <c r="R101" s="15"/>
      <c r="S101" s="15"/>
      <c r="T101" s="21">
        <f t="shared" si="108"/>
        <v>8591.3799999999992</v>
      </c>
      <c r="U101" s="21">
        <v>123</v>
      </c>
      <c r="V101" s="21">
        <f t="shared" si="109"/>
        <v>3437</v>
      </c>
      <c r="W101" s="21">
        <f t="shared" si="123"/>
        <v>5154.3799999999992</v>
      </c>
      <c r="Y101" s="26">
        <f t="shared" si="124"/>
        <v>8591.3799999999992</v>
      </c>
      <c r="Z101" s="26">
        <v>0</v>
      </c>
      <c r="AA101" s="26">
        <v>0</v>
      </c>
      <c r="AB101" s="26">
        <v>0</v>
      </c>
      <c r="AC101" s="26">
        <v>0</v>
      </c>
      <c r="AD101" s="21">
        <f t="shared" si="110"/>
        <v>8591.3799999999992</v>
      </c>
      <c r="AE101" s="21">
        <v>122</v>
      </c>
      <c r="AF101" s="26">
        <f t="shared" si="125"/>
        <v>3559</v>
      </c>
      <c r="AG101" s="21">
        <f t="shared" si="126"/>
        <v>5032.3799999999992</v>
      </c>
      <c r="AI101" s="26">
        <f t="shared" si="127"/>
        <v>8591.3799999999992</v>
      </c>
      <c r="AJ101" s="27">
        <v>0</v>
      </c>
      <c r="AK101" s="27">
        <v>0</v>
      </c>
      <c r="AL101" s="27">
        <v>0</v>
      </c>
      <c r="AM101" s="27">
        <v>0</v>
      </c>
      <c r="AN101" s="21">
        <f t="shared" si="111"/>
        <v>8591.3799999999992</v>
      </c>
      <c r="AO101" s="21">
        <v>123</v>
      </c>
      <c r="AP101" s="26">
        <f t="shared" si="128"/>
        <v>3682</v>
      </c>
      <c r="AQ101" s="21">
        <f t="shared" si="112"/>
        <v>4909.3799999999992</v>
      </c>
      <c r="AS101" s="26">
        <f t="shared" si="129"/>
        <v>8591.3799999999992</v>
      </c>
      <c r="AT101" s="21">
        <f>SUMIFS('Base ETESA'!$AJ:$AJ,'Base ETESA'!$BO:$BO,$A101,'Base ETESA'!$BP:$BP,$B101)</f>
        <v>0</v>
      </c>
      <c r="AX101" s="21">
        <f t="shared" si="113"/>
        <v>8591.3799999999992</v>
      </c>
      <c r="AY101" s="21">
        <f>SUMIFS(BS01_BS02!$I:$I,BS01_BS02!$N:$N,$A101,BS01_BS02!$O:$O,$B101)</f>
        <v>245.76000000000022</v>
      </c>
      <c r="AZ101" s="26">
        <f t="shared" si="130"/>
        <v>3927.76</v>
      </c>
      <c r="BA101" s="21">
        <f t="shared" si="114"/>
        <v>4663.619999999999</v>
      </c>
      <c r="BC101" s="26">
        <f t="shared" si="131"/>
        <v>8591.3799999999992</v>
      </c>
      <c r="BD101" s="21">
        <f>SUMIFS('Base ETESA'!$AQ:$AQ,'Base ETESA'!$BO:$BO,$A101,'Base ETESA'!$BP:$BP,$B101)</f>
        <v>0</v>
      </c>
      <c r="BH101" s="21">
        <f t="shared" si="115"/>
        <v>8591.3799999999992</v>
      </c>
      <c r="BI101" s="21">
        <f>BS01_BS02!$J$83</f>
        <v>245.23999999999978</v>
      </c>
      <c r="BJ101" s="26">
        <f t="shared" si="132"/>
        <v>4173</v>
      </c>
      <c r="BK101" s="21">
        <f t="shared" si="116"/>
        <v>4418.3799999999992</v>
      </c>
      <c r="BM101" s="26">
        <f t="shared" si="133"/>
        <v>8591.3799999999992</v>
      </c>
      <c r="BN101" s="21">
        <f>SUMIFS('Base ETESA'!$AX:$AX,'Base ETESA'!$BO:$BO,$A101,'Base ETESA'!$BP:$BP,$B101)</f>
        <v>0</v>
      </c>
      <c r="BR101" s="21">
        <f t="shared" si="117"/>
        <v>8591.3799999999992</v>
      </c>
      <c r="BS101" s="21">
        <f>BS01_BS02!$K$83</f>
        <v>245.46000000000004</v>
      </c>
      <c r="BT101" s="26">
        <f t="shared" si="134"/>
        <v>4418.46</v>
      </c>
      <c r="BU101" s="21">
        <f t="shared" si="118"/>
        <v>4172.9199999999992</v>
      </c>
      <c r="BW101" s="26">
        <f t="shared" si="135"/>
        <v>8591.3799999999992</v>
      </c>
      <c r="BX101" s="21">
        <f>SUMIFS('Base ETESA'!$BE:$BE,'Base ETESA'!$BO:$BO,$A101,'Base ETESA'!$BP:$BP,$B101)</f>
        <v>0</v>
      </c>
      <c r="CB101" s="21">
        <f t="shared" si="119"/>
        <v>8591.3799999999992</v>
      </c>
      <c r="CC101" s="21">
        <f>BS01_BS02!$L$83</f>
        <v>245.53999999999996</v>
      </c>
      <c r="CD101" s="26">
        <f t="shared" si="136"/>
        <v>4664</v>
      </c>
      <c r="CE101" s="21">
        <f t="shared" si="120"/>
        <v>3927.3799999999992</v>
      </c>
      <c r="CG101" s="21"/>
    </row>
    <row r="102" spans="1:85" outlineLevel="1" x14ac:dyDescent="0.2">
      <c r="A102" s="14" t="str">
        <f t="shared" si="105"/>
        <v>CONEXIÓN</v>
      </c>
      <c r="B102" s="1" t="s">
        <v>306</v>
      </c>
      <c r="C102" s="26">
        <v>219682.02</v>
      </c>
      <c r="D102" s="26">
        <v>158898</v>
      </c>
      <c r="E102" s="26">
        <v>60784.01999999999</v>
      </c>
      <c r="F102" s="26">
        <v>0</v>
      </c>
      <c r="G102" s="26">
        <v>0</v>
      </c>
      <c r="H102" s="26">
        <v>0</v>
      </c>
      <c r="I102" s="26">
        <v>0</v>
      </c>
      <c r="J102" s="21">
        <f t="shared" si="106"/>
        <v>219682.02</v>
      </c>
      <c r="K102" s="21"/>
      <c r="L102" s="21">
        <f>+D102+K102</f>
        <v>158898</v>
      </c>
      <c r="M102" s="21">
        <f t="shared" si="121"/>
        <v>60784.01999999999</v>
      </c>
      <c r="O102" s="26">
        <f t="shared" si="122"/>
        <v>219682.02</v>
      </c>
      <c r="P102" s="15"/>
      <c r="Q102" s="15"/>
      <c r="R102" s="15"/>
      <c r="S102" s="15"/>
      <c r="T102" s="21">
        <f t="shared" si="108"/>
        <v>219682.02</v>
      </c>
      <c r="U102" s="21"/>
      <c r="V102" s="21">
        <f t="shared" si="109"/>
        <v>158898</v>
      </c>
      <c r="W102" s="21">
        <f t="shared" si="123"/>
        <v>60784.01999999999</v>
      </c>
      <c r="Y102" s="26">
        <f t="shared" si="124"/>
        <v>219682.02</v>
      </c>
      <c r="Z102" s="26">
        <v>0</v>
      </c>
      <c r="AA102" s="26">
        <v>0</v>
      </c>
      <c r="AB102" s="26">
        <v>0</v>
      </c>
      <c r="AC102" s="26">
        <v>0</v>
      </c>
      <c r="AD102" s="21">
        <f t="shared" si="110"/>
        <v>219682.02</v>
      </c>
      <c r="AE102" s="21"/>
      <c r="AF102" s="26">
        <f t="shared" si="125"/>
        <v>158898</v>
      </c>
      <c r="AG102" s="21">
        <f t="shared" si="126"/>
        <v>60784.01999999999</v>
      </c>
      <c r="AI102" s="26">
        <f t="shared" si="127"/>
        <v>219682.02</v>
      </c>
      <c r="AJ102" s="27">
        <v>0</v>
      </c>
      <c r="AK102" s="27">
        <v>0</v>
      </c>
      <c r="AL102" s="27">
        <v>0</v>
      </c>
      <c r="AM102" s="27">
        <v>0</v>
      </c>
      <c r="AN102" s="21">
        <f t="shared" si="111"/>
        <v>219682.02</v>
      </c>
      <c r="AO102" s="21"/>
      <c r="AP102" s="26">
        <f t="shared" si="128"/>
        <v>158898</v>
      </c>
      <c r="AQ102" s="21">
        <f t="shared" si="112"/>
        <v>60784.01999999999</v>
      </c>
      <c r="AS102" s="26">
        <f t="shared" si="129"/>
        <v>219682.02</v>
      </c>
      <c r="AT102" s="21">
        <f>SUMIFS('Base ETESA'!$AJ:$AJ,'Base ETESA'!$BO:$BO,$A102,'Base ETESA'!$BP:$BP,$B102)</f>
        <v>0</v>
      </c>
      <c r="AX102" s="21">
        <f t="shared" si="113"/>
        <v>219682.02</v>
      </c>
      <c r="AY102" s="21">
        <f>SUMIFS(BS01_BS02!$I:$I,BS01_BS02!$N:$N,$A102,BS01_BS02!$O:$O,$B102)</f>
        <v>20921.940000000002</v>
      </c>
      <c r="AZ102" s="26">
        <f t="shared" si="130"/>
        <v>179819.94</v>
      </c>
      <c r="BA102" s="21">
        <f t="shared" si="114"/>
        <v>39862.079999999987</v>
      </c>
      <c r="BC102" s="26">
        <f t="shared" si="131"/>
        <v>219682.02</v>
      </c>
      <c r="BD102" s="21">
        <f>SUMIFS('Base ETESA'!$AQ:$AQ,'Base ETESA'!$BO:$BO,$A102,'Base ETESA'!$BP:$BP,$B102)</f>
        <v>0</v>
      </c>
      <c r="BH102" s="21">
        <f t="shared" si="115"/>
        <v>219682.02</v>
      </c>
      <c r="BJ102" s="26">
        <f t="shared" si="132"/>
        <v>179819.94</v>
      </c>
      <c r="BK102" s="21">
        <f t="shared" si="116"/>
        <v>39862.079999999987</v>
      </c>
      <c r="BM102" s="26">
        <f t="shared" si="133"/>
        <v>219682.02</v>
      </c>
      <c r="BN102" s="21">
        <f>SUMIFS('Base ETESA'!$AX:$AX,'Base ETESA'!$BO:$BO,$A102,'Base ETESA'!$BP:$BP,$B102)</f>
        <v>0</v>
      </c>
      <c r="BR102" s="21">
        <f t="shared" si="117"/>
        <v>219682.02</v>
      </c>
      <c r="BT102" s="26">
        <f t="shared" si="134"/>
        <v>179819.94</v>
      </c>
      <c r="BU102" s="21">
        <f t="shared" si="118"/>
        <v>39862.079999999987</v>
      </c>
      <c r="BW102" s="26">
        <f t="shared" si="135"/>
        <v>219682.02</v>
      </c>
      <c r="BX102" s="21">
        <f>SUMIFS('Base ETESA'!$BE:$BE,'Base ETESA'!$BO:$BO,$A102,'Base ETESA'!$BP:$BP,$B102)</f>
        <v>0</v>
      </c>
      <c r="CB102" s="21">
        <f t="shared" si="119"/>
        <v>219682.02</v>
      </c>
      <c r="CD102" s="26">
        <f t="shared" si="136"/>
        <v>179819.94</v>
      </c>
      <c r="CE102" s="21">
        <f t="shared" si="120"/>
        <v>39862.079999999987</v>
      </c>
      <c r="CG102" s="21"/>
    </row>
    <row r="103" spans="1:85" outlineLevel="1" x14ac:dyDescent="0.2">
      <c r="A103" s="14" t="str">
        <f t="shared" si="105"/>
        <v>CONEXIÓN</v>
      </c>
      <c r="B103" s="1" t="s">
        <v>308</v>
      </c>
      <c r="C103" s="26">
        <v>6370591.1199999992</v>
      </c>
      <c r="D103" s="26">
        <v>4360695</v>
      </c>
      <c r="E103" s="26">
        <v>2009896.1199999992</v>
      </c>
      <c r="F103" s="26">
        <v>0</v>
      </c>
      <c r="G103" s="26">
        <v>0</v>
      </c>
      <c r="H103" s="26">
        <v>0</v>
      </c>
      <c r="I103" s="26">
        <v>0</v>
      </c>
      <c r="J103" s="21">
        <f t="shared" si="106"/>
        <v>6370591.1199999992</v>
      </c>
      <c r="K103" s="21">
        <v>321984</v>
      </c>
      <c r="L103" s="21">
        <f t="shared" si="107"/>
        <v>4682679</v>
      </c>
      <c r="M103" s="21">
        <f t="shared" si="121"/>
        <v>1687912.1199999992</v>
      </c>
      <c r="O103" s="26">
        <f t="shared" si="122"/>
        <v>6370591.1199999992</v>
      </c>
      <c r="P103" s="15">
        <f>+P37</f>
        <v>578016.13</v>
      </c>
      <c r="Q103" s="15"/>
      <c r="R103" s="15"/>
      <c r="S103" s="15"/>
      <c r="T103" s="21">
        <f t="shared" si="108"/>
        <v>6948607.2499999991</v>
      </c>
      <c r="U103" s="21">
        <v>353076</v>
      </c>
      <c r="V103" s="21">
        <f t="shared" si="109"/>
        <v>5035755</v>
      </c>
      <c r="W103" s="21">
        <f t="shared" si="123"/>
        <v>1912852.2499999991</v>
      </c>
      <c r="Y103" s="26">
        <f t="shared" si="124"/>
        <v>6948607.2499999991</v>
      </c>
      <c r="Z103" s="26">
        <v>0</v>
      </c>
      <c r="AA103" s="26">
        <v>0</v>
      </c>
      <c r="AB103" s="26">
        <v>0</v>
      </c>
      <c r="AC103" s="26">
        <v>0</v>
      </c>
      <c r="AD103" s="21">
        <f t="shared" si="110"/>
        <v>6948607.2499999991</v>
      </c>
      <c r="AE103" s="21">
        <v>353075</v>
      </c>
      <c r="AF103" s="26">
        <f t="shared" si="125"/>
        <v>5388830</v>
      </c>
      <c r="AG103" s="21">
        <f t="shared" si="126"/>
        <v>1559777.2499999991</v>
      </c>
      <c r="AI103" s="26">
        <f t="shared" si="127"/>
        <v>6948607.2499999991</v>
      </c>
      <c r="AJ103" s="27">
        <f>+SUM(AJ37:AJ41)</f>
        <v>4567571.09</v>
      </c>
      <c r="AK103" s="27">
        <v>0</v>
      </c>
      <c r="AL103" s="27">
        <v>0</v>
      </c>
      <c r="AM103" s="27">
        <v>0</v>
      </c>
      <c r="AN103" s="21">
        <f t="shared" si="111"/>
        <v>11516178.34</v>
      </c>
      <c r="AO103" s="21">
        <v>379734</v>
      </c>
      <c r="AP103" s="26">
        <f t="shared" si="128"/>
        <v>5768564</v>
      </c>
      <c r="AQ103" s="21">
        <f t="shared" si="112"/>
        <v>5747614.3399999999</v>
      </c>
      <c r="AS103" s="26">
        <f t="shared" si="129"/>
        <v>11516178.34</v>
      </c>
      <c r="AT103" s="21">
        <f>SUMIFS('Base ETESA'!$AJ:$AJ,'Base ETESA'!$BO:$BO,$A103,'Base ETESA'!$BP:$BP,$B103)</f>
        <v>4026726.4799999967</v>
      </c>
      <c r="AX103" s="21">
        <f t="shared" si="113"/>
        <v>15542904.819999997</v>
      </c>
      <c r="AY103" s="21">
        <f>SUMIFS(BS01_BS02!$I:$I,BS01_BS02!$N:$N,$A103,BS01_BS02!$O:$O,$B103)</f>
        <v>471696.40000000119</v>
      </c>
      <c r="AZ103" s="26">
        <f t="shared" si="130"/>
        <v>6240260.4000000013</v>
      </c>
      <c r="BA103" s="21">
        <f t="shared" si="114"/>
        <v>9302644.4199999943</v>
      </c>
      <c r="BC103" s="26">
        <f t="shared" si="131"/>
        <v>15542904.819999997</v>
      </c>
      <c r="BD103" s="21">
        <f>SUMIFS('Base ETESA'!$AQ:$AQ,'Base ETESA'!$BO:$BO,$A103,'Base ETESA'!$BP:$BP,$B103)</f>
        <v>2442552.2399999998</v>
      </c>
      <c r="BH103" s="21">
        <f t="shared" si="115"/>
        <v>17985457.059999995</v>
      </c>
      <c r="BI103" s="21">
        <f>BS01_BS02!$J$81</f>
        <v>743359.71999999881</v>
      </c>
      <c r="BJ103" s="26">
        <f t="shared" si="132"/>
        <v>6983620.1200000001</v>
      </c>
      <c r="BK103" s="21">
        <f t="shared" si="116"/>
        <v>11001836.939999994</v>
      </c>
      <c r="BM103" s="26">
        <f t="shared" si="133"/>
        <v>17985457.059999995</v>
      </c>
      <c r="BN103" s="21">
        <f>SUMIFS('Base ETESA'!$AX:$AX,'Base ETESA'!$BO:$BO,$A103,'Base ETESA'!$BP:$BP,$B103)</f>
        <v>1997402.7999999993</v>
      </c>
      <c r="BR103" s="21">
        <f t="shared" si="117"/>
        <v>19982859.859999996</v>
      </c>
      <c r="BS103" s="21">
        <f>BS01_BS02!$K$81</f>
        <v>818380.1400000006</v>
      </c>
      <c r="BT103" s="26">
        <f t="shared" si="134"/>
        <v>7802000.2600000007</v>
      </c>
      <c r="BU103" s="21">
        <f t="shared" si="118"/>
        <v>12180859.599999994</v>
      </c>
      <c r="BW103" s="26">
        <f t="shared" si="135"/>
        <v>19982859.859999996</v>
      </c>
      <c r="BX103" s="21">
        <f>SUMIFS('Base ETESA'!$BE:$BE,'Base ETESA'!$BO:$BO,$A103,'Base ETESA'!$BP:$BP,$B103)</f>
        <v>7527741.2899999935</v>
      </c>
      <c r="CB103" s="21">
        <f t="shared" si="119"/>
        <v>27510601.149999991</v>
      </c>
      <c r="CC103" s="21">
        <f>BS01_BS02!$L$81</f>
        <v>894624.8599999994</v>
      </c>
      <c r="CD103" s="26">
        <f t="shared" si="136"/>
        <v>8696625.120000001</v>
      </c>
      <c r="CE103" s="21">
        <f t="shared" si="120"/>
        <v>18813976.02999999</v>
      </c>
      <c r="CG103" s="21"/>
    </row>
    <row r="104" spans="1:85" outlineLevel="1" x14ac:dyDescent="0.2">
      <c r="A104" s="14" t="str">
        <f t="shared" si="105"/>
        <v>CONEXIÓN</v>
      </c>
      <c r="B104" s="1" t="s">
        <v>309</v>
      </c>
      <c r="C104" s="26">
        <v>2037750.78</v>
      </c>
      <c r="D104" s="26">
        <v>1840928.5</v>
      </c>
      <c r="E104" s="26">
        <v>196822.28000000003</v>
      </c>
      <c r="F104" s="26">
        <v>0</v>
      </c>
      <c r="G104" s="26">
        <v>0</v>
      </c>
      <c r="H104" s="26">
        <v>0</v>
      </c>
      <c r="I104" s="26">
        <v>0</v>
      </c>
      <c r="J104" s="21">
        <f t="shared" si="106"/>
        <v>2037750.78</v>
      </c>
      <c r="K104" s="21">
        <v>25462</v>
      </c>
      <c r="L104" s="21">
        <f t="shared" si="107"/>
        <v>1866390.5</v>
      </c>
      <c r="M104" s="21">
        <f t="shared" si="121"/>
        <v>171360.28000000003</v>
      </c>
      <c r="O104" s="26">
        <f t="shared" si="122"/>
        <v>2037750.78</v>
      </c>
      <c r="P104" s="15"/>
      <c r="Q104" s="15"/>
      <c r="R104" s="15"/>
      <c r="S104" s="15"/>
      <c r="T104" s="21">
        <f t="shared" si="108"/>
        <v>2037750.78</v>
      </c>
      <c r="U104" s="21">
        <v>25335</v>
      </c>
      <c r="V104" s="21">
        <f t="shared" si="109"/>
        <v>1891725.5</v>
      </c>
      <c r="W104" s="21">
        <f t="shared" si="123"/>
        <v>146025.28000000003</v>
      </c>
      <c r="Y104" s="26">
        <f t="shared" si="124"/>
        <v>2037750.78</v>
      </c>
      <c r="Z104" s="26">
        <v>0</v>
      </c>
      <c r="AA104" s="26">
        <v>0</v>
      </c>
      <c r="AB104" s="26">
        <v>0</v>
      </c>
      <c r="AC104" s="26">
        <v>0</v>
      </c>
      <c r="AD104" s="21">
        <f t="shared" si="110"/>
        <v>2037750.78</v>
      </c>
      <c r="AE104" s="21">
        <v>25335</v>
      </c>
      <c r="AF104" s="26">
        <f t="shared" si="125"/>
        <v>1917060.5</v>
      </c>
      <c r="AG104" s="21">
        <f t="shared" si="126"/>
        <v>120690.28000000003</v>
      </c>
      <c r="AI104" s="26">
        <f t="shared" si="127"/>
        <v>2037750.78</v>
      </c>
      <c r="AJ104" s="27">
        <v>0</v>
      </c>
      <c r="AK104" s="27">
        <v>0</v>
      </c>
      <c r="AL104" s="27">
        <v>0</v>
      </c>
      <c r="AM104" s="27">
        <v>0</v>
      </c>
      <c r="AN104" s="21">
        <f t="shared" si="111"/>
        <v>2037750.78</v>
      </c>
      <c r="AO104" s="21">
        <v>8740</v>
      </c>
      <c r="AP104" s="26">
        <f t="shared" si="128"/>
        <v>1925800.5</v>
      </c>
      <c r="AQ104" s="21">
        <f t="shared" si="112"/>
        <v>111950.28000000003</v>
      </c>
      <c r="AS104" s="26">
        <f t="shared" si="129"/>
        <v>2037750.78</v>
      </c>
      <c r="AT104" s="21">
        <f>SUMIFS('Base ETESA'!$AJ:$AJ,'Base ETESA'!$BO:$BO,$A104,'Base ETESA'!$BP:$BP,$B104)</f>
        <v>0</v>
      </c>
      <c r="AX104" s="21">
        <f t="shared" si="113"/>
        <v>2037750.78</v>
      </c>
      <c r="AY104" s="21">
        <f>SUMIFS(BS01_BS02!$I:$I,BS01_BS02!$N:$N,$A104,BS01_BS02!$O:$O,$B104)</f>
        <v>388.21999999997206</v>
      </c>
      <c r="AZ104" s="26">
        <f t="shared" si="130"/>
        <v>1926188.72</v>
      </c>
      <c r="BA104" s="21">
        <f t="shared" si="114"/>
        <v>111562.06000000006</v>
      </c>
      <c r="BC104" s="26">
        <f t="shared" si="131"/>
        <v>2037750.78</v>
      </c>
      <c r="BD104" s="21">
        <f>SUMIFS('Base ETESA'!$AQ:$AQ,'Base ETESA'!$BO:$BO,$A104,'Base ETESA'!$BP:$BP,$B104)</f>
        <v>0</v>
      </c>
      <c r="BH104" s="21">
        <f t="shared" si="115"/>
        <v>2037750.78</v>
      </c>
      <c r="BI104" s="21">
        <f>BS01_BS02!$J$82</f>
        <v>387.78000000002794</v>
      </c>
      <c r="BJ104" s="26">
        <f t="shared" si="132"/>
        <v>1926576.5</v>
      </c>
      <c r="BK104" s="21">
        <f t="shared" si="116"/>
        <v>111174.28000000003</v>
      </c>
      <c r="BM104" s="26">
        <f t="shared" si="133"/>
        <v>2037750.78</v>
      </c>
      <c r="BN104" s="21">
        <f>SUMIFS('Base ETESA'!$AX:$AX,'Base ETESA'!$BO:$BO,$A104,'Base ETESA'!$BP:$BP,$B104)</f>
        <v>0</v>
      </c>
      <c r="BR104" s="21">
        <f t="shared" si="117"/>
        <v>2037750.78</v>
      </c>
      <c r="BS104" s="21">
        <f>BS01_BS02!$K$82</f>
        <v>388.17000000015832</v>
      </c>
      <c r="BT104" s="26">
        <f t="shared" si="134"/>
        <v>1926964.6700000002</v>
      </c>
      <c r="BU104" s="21">
        <f t="shared" si="118"/>
        <v>110786.10999999987</v>
      </c>
      <c r="BW104" s="26">
        <f t="shared" si="135"/>
        <v>2037750.78</v>
      </c>
      <c r="BX104" s="21">
        <f>SUMIFS('Base ETESA'!$BE:$BE,'Base ETESA'!$BO:$BO,$A104,'Base ETESA'!$BP:$BP,$B104)</f>
        <v>0</v>
      </c>
      <c r="CB104" s="21">
        <f t="shared" si="119"/>
        <v>2037750.78</v>
      </c>
      <c r="CC104" s="21">
        <f>BS01_BS02!$L$82</f>
        <v>388.82999999984168</v>
      </c>
      <c r="CD104" s="26">
        <f t="shared" si="136"/>
        <v>1927353.5</v>
      </c>
      <c r="CE104" s="21">
        <f t="shared" si="120"/>
        <v>110397.28000000003</v>
      </c>
      <c r="CG104" s="21"/>
    </row>
    <row r="105" spans="1:85" outlineLevel="1" x14ac:dyDescent="0.2">
      <c r="A105" s="14" t="str">
        <f t="shared" si="105"/>
        <v>CONEXIÓN</v>
      </c>
      <c r="B105" s="1" t="s">
        <v>310</v>
      </c>
      <c r="C105" s="26">
        <v>799150.57000000007</v>
      </c>
      <c r="D105" s="26">
        <v>401456</v>
      </c>
      <c r="E105" s="26">
        <v>397694.57000000007</v>
      </c>
      <c r="F105" s="26">
        <v>0</v>
      </c>
      <c r="G105" s="26">
        <v>0</v>
      </c>
      <c r="H105" s="26">
        <v>0</v>
      </c>
      <c r="I105" s="26">
        <v>0</v>
      </c>
      <c r="J105" s="21">
        <f t="shared" si="106"/>
        <v>799150.57000000007</v>
      </c>
      <c r="K105" s="21">
        <v>8057</v>
      </c>
      <c r="L105" s="21">
        <f t="shared" si="107"/>
        <v>409513</v>
      </c>
      <c r="M105" s="21">
        <f t="shared" si="121"/>
        <v>389637.57000000007</v>
      </c>
      <c r="O105" s="26">
        <f t="shared" si="122"/>
        <v>799150.57000000007</v>
      </c>
      <c r="P105" s="15"/>
      <c r="Q105" s="15"/>
      <c r="R105" s="15"/>
      <c r="S105" s="15"/>
      <c r="T105" s="21">
        <f t="shared" si="108"/>
        <v>799150.57000000007</v>
      </c>
      <c r="U105" s="21">
        <v>8057</v>
      </c>
      <c r="V105" s="21">
        <f t="shared" si="109"/>
        <v>417570</v>
      </c>
      <c r="W105" s="21">
        <f t="shared" si="123"/>
        <v>381580.57000000007</v>
      </c>
      <c r="Y105" s="26">
        <f t="shared" si="124"/>
        <v>799150.57000000007</v>
      </c>
      <c r="Z105" s="26">
        <v>0</v>
      </c>
      <c r="AA105" s="26">
        <v>0</v>
      </c>
      <c r="AB105" s="26">
        <v>0</v>
      </c>
      <c r="AC105" s="26">
        <v>0</v>
      </c>
      <c r="AD105" s="21">
        <f t="shared" si="110"/>
        <v>799150.57000000007</v>
      </c>
      <c r="AE105" s="21">
        <v>8057</v>
      </c>
      <c r="AF105" s="26">
        <f t="shared" si="125"/>
        <v>425627</v>
      </c>
      <c r="AG105" s="21">
        <f t="shared" si="126"/>
        <v>373523.57000000007</v>
      </c>
      <c r="AI105" s="26">
        <f t="shared" si="127"/>
        <v>799150.57000000007</v>
      </c>
      <c r="AJ105" s="27">
        <v>0</v>
      </c>
      <c r="AK105" s="27">
        <v>0</v>
      </c>
      <c r="AL105" s="27">
        <v>0</v>
      </c>
      <c r="AM105" s="27">
        <v>0</v>
      </c>
      <c r="AN105" s="21">
        <f t="shared" si="111"/>
        <v>799150.57000000007</v>
      </c>
      <c r="AO105" s="21">
        <v>8057</v>
      </c>
      <c r="AP105" s="26">
        <f t="shared" si="128"/>
        <v>433684</v>
      </c>
      <c r="AQ105" s="21">
        <f t="shared" si="112"/>
        <v>365466.57000000007</v>
      </c>
      <c r="AS105" s="26">
        <f t="shared" si="129"/>
        <v>799150.57000000007</v>
      </c>
      <c r="AT105" s="21">
        <f>SUMIFS('Base ETESA'!$AJ:$AJ,'Base ETESA'!$BO:$BO,$A105,'Base ETESA'!$BP:$BP,$B105)</f>
        <v>183451.46000000159</v>
      </c>
      <c r="AX105" s="21">
        <f t="shared" si="113"/>
        <v>982602.03000000166</v>
      </c>
      <c r="AY105" s="21">
        <f>SUMIFS(BS01_BS02!$I:$I,BS01_BS02!$N:$N,$A105,BS01_BS02!$O:$O,$B105)</f>
        <v>17049.399999999965</v>
      </c>
      <c r="AZ105" s="26">
        <f t="shared" si="130"/>
        <v>450733.39999999997</v>
      </c>
      <c r="BA105" s="21">
        <f t="shared" si="114"/>
        <v>531868.63000000175</v>
      </c>
      <c r="BC105" s="26">
        <f t="shared" si="131"/>
        <v>982602.03000000166</v>
      </c>
      <c r="BD105" s="21">
        <f>SUMIFS('Base ETESA'!$AQ:$AQ,'Base ETESA'!$BO:$BO,$A105,'Base ETESA'!$BP:$BP,$B105)</f>
        <v>54420914.310000002</v>
      </c>
      <c r="BH105" s="21">
        <f t="shared" si="115"/>
        <v>55403516.340000004</v>
      </c>
      <c r="BI105" s="21">
        <f>BS01_BS02!$J$85</f>
        <v>28890.600000000035</v>
      </c>
      <c r="BJ105" s="26">
        <f t="shared" si="132"/>
        <v>479624</v>
      </c>
      <c r="BK105" s="21">
        <f t="shared" si="116"/>
        <v>54923892.340000004</v>
      </c>
      <c r="BM105" s="26">
        <f t="shared" si="133"/>
        <v>55403516.340000004</v>
      </c>
      <c r="BN105" s="21">
        <f>SUMIFS('Base ETESA'!$AX:$AX,'Base ETESA'!$BO:$BO,$A105,'Base ETESA'!$BP:$BP,$B105)</f>
        <v>0</v>
      </c>
      <c r="BR105" s="21">
        <f t="shared" si="117"/>
        <v>55403516.340000004</v>
      </c>
      <c r="BS105" s="21">
        <f>BS01_BS02!$K$85</f>
        <v>30046.150000000023</v>
      </c>
      <c r="BT105" s="26">
        <f t="shared" si="134"/>
        <v>509670.15</v>
      </c>
      <c r="BU105" s="21">
        <f t="shared" si="118"/>
        <v>54893846.190000005</v>
      </c>
      <c r="BW105" s="26">
        <f t="shared" si="135"/>
        <v>55403516.340000004</v>
      </c>
      <c r="BX105" s="21">
        <f>SUMIFS('Base ETESA'!$BE:$BE,'Base ETESA'!$BO:$BO,$A105,'Base ETESA'!$BP:$BP,$B105)</f>
        <v>328173.9299999997</v>
      </c>
      <c r="CB105" s="21">
        <f t="shared" si="119"/>
        <v>55731690.270000003</v>
      </c>
      <c r="CC105" s="21">
        <f>BS01_BS02!$L$85</f>
        <v>28048.849999999977</v>
      </c>
      <c r="CD105" s="26">
        <f t="shared" si="136"/>
        <v>537719</v>
      </c>
      <c r="CE105" s="21">
        <f t="shared" si="120"/>
        <v>55193971.270000003</v>
      </c>
      <c r="CG105" s="21"/>
    </row>
    <row r="106" spans="1:85" outlineLevel="1" x14ac:dyDescent="0.2">
      <c r="A106" s="14" t="str">
        <f t="shared" si="105"/>
        <v>CONEXIÓN</v>
      </c>
      <c r="B106" s="1" t="s">
        <v>312</v>
      </c>
      <c r="C106" s="26">
        <v>186342</v>
      </c>
      <c r="D106" s="26">
        <v>35715.57</v>
      </c>
      <c r="E106" s="26">
        <v>150626.43</v>
      </c>
      <c r="F106" s="26">
        <v>0</v>
      </c>
      <c r="G106" s="26">
        <v>0</v>
      </c>
      <c r="H106" s="26">
        <v>0</v>
      </c>
      <c r="I106" s="26">
        <v>0</v>
      </c>
      <c r="J106" s="21">
        <f t="shared" si="106"/>
        <v>186342</v>
      </c>
      <c r="K106" s="21"/>
      <c r="L106" s="21">
        <f t="shared" si="107"/>
        <v>35715.57</v>
      </c>
      <c r="M106" s="21">
        <f t="shared" si="121"/>
        <v>150626.43</v>
      </c>
      <c r="O106" s="26">
        <f t="shared" si="122"/>
        <v>186342</v>
      </c>
      <c r="P106" s="15"/>
      <c r="Q106" s="15"/>
      <c r="R106" s="15"/>
      <c r="S106" s="15"/>
      <c r="T106" s="14">
        <f t="shared" si="108"/>
        <v>186342</v>
      </c>
      <c r="U106" s="14"/>
      <c r="V106" s="21">
        <f t="shared" si="109"/>
        <v>35715.57</v>
      </c>
      <c r="W106" s="14">
        <f t="shared" si="123"/>
        <v>150626.43</v>
      </c>
      <c r="Y106" s="26">
        <f t="shared" si="124"/>
        <v>186342</v>
      </c>
      <c r="Z106" s="26">
        <v>0</v>
      </c>
      <c r="AA106" s="26">
        <v>0</v>
      </c>
      <c r="AB106" s="26">
        <v>0</v>
      </c>
      <c r="AC106" s="26">
        <v>0</v>
      </c>
      <c r="AD106" s="14">
        <f t="shared" si="110"/>
        <v>186342</v>
      </c>
      <c r="AE106" s="14"/>
      <c r="AF106" s="26">
        <f t="shared" si="125"/>
        <v>35715.57</v>
      </c>
      <c r="AG106" s="14">
        <f t="shared" si="126"/>
        <v>150626.43</v>
      </c>
      <c r="AI106" s="26">
        <f t="shared" si="127"/>
        <v>186342</v>
      </c>
      <c r="AJ106" s="27">
        <v>0</v>
      </c>
      <c r="AK106" s="27">
        <v>0</v>
      </c>
      <c r="AL106" s="27">
        <v>0</v>
      </c>
      <c r="AM106" s="321">
        <v>-1157</v>
      </c>
      <c r="AN106" s="21">
        <f t="shared" si="111"/>
        <v>185185</v>
      </c>
      <c r="AO106" s="21"/>
      <c r="AP106" s="26">
        <f t="shared" si="128"/>
        <v>35715.57</v>
      </c>
      <c r="AQ106" s="21">
        <f>+AN106-AP106</f>
        <v>149469.43</v>
      </c>
      <c r="AS106" s="26">
        <f t="shared" si="129"/>
        <v>185185</v>
      </c>
      <c r="AT106" s="21">
        <f>SUMIFS('Base ETESA'!$AJ:$AJ,'Base ETESA'!$BO:$BO,$A106,'Base ETESA'!$BP:$BP,$B106)</f>
        <v>0</v>
      </c>
      <c r="AX106" s="21">
        <f t="shared" si="113"/>
        <v>185185</v>
      </c>
      <c r="AY106" s="21">
        <f>SUMIFS(BS01_BS02!$I:$I,BS01_BS02!$N:$N,$A106,BS01_BS02!$O:$O,$B106)</f>
        <v>0</v>
      </c>
      <c r="AZ106" s="26">
        <f t="shared" si="130"/>
        <v>35715.57</v>
      </c>
      <c r="BA106" s="21">
        <f>+AX106-AZ106</f>
        <v>149469.43</v>
      </c>
      <c r="BC106" s="26">
        <f t="shared" si="131"/>
        <v>185185</v>
      </c>
      <c r="BD106" s="21">
        <f>SUMIFS('Base ETESA'!$AQ:$AQ,'Base ETESA'!$BO:$BO,$A106,'Base ETESA'!$BP:$BP,$B106)</f>
        <v>0</v>
      </c>
      <c r="BH106" s="21">
        <f t="shared" si="115"/>
        <v>185185</v>
      </c>
      <c r="BJ106" s="26">
        <f t="shared" si="132"/>
        <v>35715.57</v>
      </c>
      <c r="BK106" s="21">
        <f>+BH106-BJ106</f>
        <v>149469.43</v>
      </c>
      <c r="BM106" s="26">
        <f t="shared" si="133"/>
        <v>185185</v>
      </c>
      <c r="BN106" s="21">
        <f>SUMIFS('Base ETESA'!$AX:$AX,'Base ETESA'!$BO:$BO,$A106,'Base ETESA'!$BP:$BP,$B106)</f>
        <v>0</v>
      </c>
      <c r="BR106" s="21">
        <f t="shared" si="117"/>
        <v>185185</v>
      </c>
      <c r="BT106" s="26">
        <f t="shared" si="134"/>
        <v>35715.57</v>
      </c>
      <c r="BU106" s="21">
        <f>+BR106-BT106</f>
        <v>149469.43</v>
      </c>
      <c r="BW106" s="26">
        <f t="shared" si="135"/>
        <v>185185</v>
      </c>
      <c r="BX106" s="21">
        <f>SUMIFS('Base ETESA'!$BE:$BE,'Base ETESA'!$BO:$BO,$A106,'Base ETESA'!$BP:$BP,$B106)</f>
        <v>0</v>
      </c>
      <c r="CB106" s="21">
        <f t="shared" si="119"/>
        <v>185185</v>
      </c>
      <c r="CD106" s="26">
        <f t="shared" si="136"/>
        <v>35715.57</v>
      </c>
      <c r="CE106" s="21">
        <f>+CB106-CD106</f>
        <v>149469.43</v>
      </c>
      <c r="CG106" s="21"/>
    </row>
    <row r="107" spans="1:85" outlineLevel="1" x14ac:dyDescent="0.2">
      <c r="A107" s="14" t="str">
        <f t="shared" si="105"/>
        <v>CONEXIÓN</v>
      </c>
      <c r="B107" s="1" t="s">
        <v>313</v>
      </c>
      <c r="C107" s="26">
        <v>19353808.18</v>
      </c>
      <c r="D107" s="26">
        <v>8564828</v>
      </c>
      <c r="E107" s="26">
        <v>10788980.18</v>
      </c>
      <c r="F107" s="26">
        <v>0</v>
      </c>
      <c r="G107" s="26">
        <v>0</v>
      </c>
      <c r="H107" s="26">
        <v>0</v>
      </c>
      <c r="I107" s="26">
        <v>0</v>
      </c>
      <c r="J107" s="21">
        <f t="shared" si="106"/>
        <v>19353808.18</v>
      </c>
      <c r="K107" s="21">
        <v>8891</v>
      </c>
      <c r="L107" s="21">
        <f t="shared" si="107"/>
        <v>8573719</v>
      </c>
      <c r="M107" s="21">
        <f t="shared" si="121"/>
        <v>10780089.18</v>
      </c>
      <c r="O107" s="26">
        <f t="shared" si="122"/>
        <v>19353808.18</v>
      </c>
      <c r="P107" s="15"/>
      <c r="Q107" s="15"/>
      <c r="R107" s="15"/>
      <c r="S107" s="15"/>
      <c r="T107" s="21">
        <f t="shared" si="108"/>
        <v>19353808.18</v>
      </c>
      <c r="U107" s="21">
        <v>4445</v>
      </c>
      <c r="V107" s="21">
        <f t="shared" si="109"/>
        <v>8578164</v>
      </c>
      <c r="W107" s="21">
        <f t="shared" si="123"/>
        <v>10775644.18</v>
      </c>
      <c r="Y107" s="26">
        <f t="shared" si="124"/>
        <v>19353808.18</v>
      </c>
      <c r="Z107" s="26">
        <v>0</v>
      </c>
      <c r="AA107" s="26">
        <v>0</v>
      </c>
      <c r="AB107" s="26">
        <v>0</v>
      </c>
      <c r="AC107" s="26">
        <v>0</v>
      </c>
      <c r="AD107" s="21">
        <f t="shared" si="110"/>
        <v>19353808.18</v>
      </c>
      <c r="AE107" s="21">
        <v>4445</v>
      </c>
      <c r="AF107" s="26">
        <f t="shared" si="125"/>
        <v>8582609</v>
      </c>
      <c r="AG107" s="21">
        <f t="shared" si="126"/>
        <v>10771199.18</v>
      </c>
      <c r="AI107" s="26">
        <f t="shared" si="127"/>
        <v>19353808.18</v>
      </c>
      <c r="AJ107" s="27">
        <v>0</v>
      </c>
      <c r="AK107" s="27">
        <v>0</v>
      </c>
      <c r="AL107" s="27">
        <v>0</v>
      </c>
      <c r="AM107" s="27">
        <v>0</v>
      </c>
      <c r="AN107" s="21">
        <f t="shared" si="111"/>
        <v>19353808.18</v>
      </c>
      <c r="AO107" s="21">
        <v>4445</v>
      </c>
      <c r="AP107" s="26">
        <f t="shared" si="128"/>
        <v>8587054</v>
      </c>
      <c r="AQ107" s="21">
        <f>+AN107-AP107</f>
        <v>10766754.18</v>
      </c>
      <c r="AS107" s="26">
        <f t="shared" si="129"/>
        <v>19353808.18</v>
      </c>
      <c r="AT107" s="21">
        <f>SUMIFS('Base ETESA'!$AJ:$AJ,'Base ETESA'!$BO:$BO,$A107,'Base ETESA'!$BP:$BP,$B107)</f>
        <v>0</v>
      </c>
      <c r="AX107" s="21">
        <f t="shared" si="113"/>
        <v>19353808.18</v>
      </c>
      <c r="AY107" s="21">
        <f>SUMIFS(BS01_BS02!$I:$I,BS01_BS02!$N:$N,$A107,BS01_BS02!$O:$O,$B107)</f>
        <v>0</v>
      </c>
      <c r="AZ107" s="26">
        <f t="shared" si="130"/>
        <v>8587054</v>
      </c>
      <c r="BA107" s="21">
        <f>+AX107-AZ107</f>
        <v>10766754.18</v>
      </c>
      <c r="BC107" s="26">
        <f t="shared" si="131"/>
        <v>19353808.18</v>
      </c>
      <c r="BD107" s="21">
        <f>SUMIFS('Base ETESA'!$AQ:$AQ,'Base ETESA'!$BO:$BO,$A107,'Base ETESA'!$BP:$BP,$B107)</f>
        <v>0</v>
      </c>
      <c r="BH107" s="21">
        <f t="shared" si="115"/>
        <v>19353808.18</v>
      </c>
      <c r="BI107" s="21">
        <f>BS01_BS02!$J$88</f>
        <v>8890.8800000000047</v>
      </c>
      <c r="BJ107" s="26">
        <f t="shared" si="132"/>
        <v>8595944.8800000008</v>
      </c>
      <c r="BK107" s="21">
        <f>+BH107-BJ107</f>
        <v>10757863.299999999</v>
      </c>
      <c r="BM107" s="26">
        <f t="shared" si="133"/>
        <v>19353808.18</v>
      </c>
      <c r="BN107" s="21">
        <f>SUMIFS('Base ETESA'!$AX:$AX,'Base ETESA'!$BO:$BO,$A107,'Base ETESA'!$BP:$BP,$B107)</f>
        <v>0</v>
      </c>
      <c r="BR107" s="21">
        <f t="shared" si="117"/>
        <v>19353808.18</v>
      </c>
      <c r="BS107" s="21">
        <f>BS01_BS02!$K$88</f>
        <v>8890.5200000000041</v>
      </c>
      <c r="BT107" s="26">
        <f t="shared" si="134"/>
        <v>8604835.4000000004</v>
      </c>
      <c r="BU107" s="21">
        <f>+BR107-BT107</f>
        <v>10748972.779999999</v>
      </c>
      <c r="BW107" s="26">
        <f t="shared" si="135"/>
        <v>19353808.18</v>
      </c>
      <c r="BX107" s="21">
        <f>SUMIFS('Base ETESA'!$BE:$BE,'Base ETESA'!$BO:$BO,$A107,'Base ETESA'!$BP:$BP,$B107)</f>
        <v>0</v>
      </c>
      <c r="CB107" s="21">
        <f t="shared" si="119"/>
        <v>19353808.18</v>
      </c>
      <c r="CC107" s="21">
        <f>BS01_BS02!$L$88</f>
        <v>8890.4799999999959</v>
      </c>
      <c r="CD107" s="26">
        <f t="shared" si="136"/>
        <v>8613725.8800000008</v>
      </c>
      <c r="CE107" s="21">
        <f>+CB107-CD107</f>
        <v>10740082.299999999</v>
      </c>
      <c r="CG107" s="21"/>
    </row>
    <row r="108" spans="1:85" outlineLevel="1" x14ac:dyDescent="0.2">
      <c r="A108" s="14" t="str">
        <f t="shared" si="105"/>
        <v>CONEXIÓN</v>
      </c>
      <c r="B108" s="1" t="s">
        <v>314</v>
      </c>
      <c r="C108" s="26">
        <v>612014.245</v>
      </c>
      <c r="D108" s="26">
        <v>246704</v>
      </c>
      <c r="E108" s="26">
        <v>365310.245</v>
      </c>
      <c r="F108" s="26">
        <v>0</v>
      </c>
      <c r="G108" s="26">
        <v>0</v>
      </c>
      <c r="H108" s="26">
        <v>0</v>
      </c>
      <c r="I108" s="26">
        <v>0</v>
      </c>
      <c r="J108" s="21">
        <f>+C108+F108-G108+H108+I108</f>
        <v>612014.245</v>
      </c>
      <c r="K108" s="21">
        <v>11291</v>
      </c>
      <c r="L108" s="21">
        <f t="shared" si="107"/>
        <v>257995</v>
      </c>
      <c r="M108" s="21">
        <f t="shared" si="121"/>
        <v>354019.245</v>
      </c>
      <c r="O108" s="26">
        <f t="shared" si="122"/>
        <v>612014.245</v>
      </c>
      <c r="P108" s="15"/>
      <c r="Q108" s="15"/>
      <c r="R108" s="15"/>
      <c r="S108" s="15"/>
      <c r="T108" s="21">
        <f t="shared" si="108"/>
        <v>612014.245</v>
      </c>
      <c r="U108" s="21">
        <v>11292</v>
      </c>
      <c r="V108" s="21">
        <f t="shared" si="109"/>
        <v>269287</v>
      </c>
      <c r="W108" s="21">
        <f t="shared" si="123"/>
        <v>342727.245</v>
      </c>
      <c r="Y108" s="26">
        <f t="shared" si="124"/>
        <v>612014.245</v>
      </c>
      <c r="Z108" s="26">
        <v>0</v>
      </c>
      <c r="AA108" s="26">
        <v>0</v>
      </c>
      <c r="AB108" s="26">
        <v>0</v>
      </c>
      <c r="AC108" s="26">
        <v>0</v>
      </c>
      <c r="AD108" s="21">
        <f t="shared" si="110"/>
        <v>612014.245</v>
      </c>
      <c r="AE108" s="21">
        <v>11291</v>
      </c>
      <c r="AF108" s="26">
        <f t="shared" si="125"/>
        <v>280578</v>
      </c>
      <c r="AG108" s="21">
        <f t="shared" si="126"/>
        <v>331436.245</v>
      </c>
      <c r="AI108" s="26">
        <f t="shared" si="127"/>
        <v>612014.245</v>
      </c>
      <c r="AJ108" s="27">
        <v>0</v>
      </c>
      <c r="AK108" s="27">
        <v>0</v>
      </c>
      <c r="AL108" s="27">
        <v>0</v>
      </c>
      <c r="AM108" s="27">
        <v>0</v>
      </c>
      <c r="AN108" s="21">
        <f t="shared" si="111"/>
        <v>612014.245</v>
      </c>
      <c r="AO108" s="21">
        <v>11291</v>
      </c>
      <c r="AP108" s="26">
        <f t="shared" si="128"/>
        <v>291869</v>
      </c>
      <c r="AQ108" s="21">
        <f>+AN108-AP108</f>
        <v>320145.245</v>
      </c>
      <c r="AS108" s="26">
        <f t="shared" si="129"/>
        <v>612014.245</v>
      </c>
      <c r="AT108" s="21">
        <f>SUMIFS('Base ETESA'!$AJ:$AJ,'Base ETESA'!$BO:$BO,$A108,'Base ETESA'!$BP:$BP,$B108)</f>
        <v>0</v>
      </c>
      <c r="AX108" s="21">
        <f t="shared" si="113"/>
        <v>612014.245</v>
      </c>
      <c r="AY108" s="21">
        <f>SUMIFS(BS01_BS02!$I:$I,BS01_BS02!$N:$N,$A108,BS01_BS02!$O:$O,$B108)</f>
        <v>0</v>
      </c>
      <c r="AZ108" s="26">
        <f t="shared" si="130"/>
        <v>291869</v>
      </c>
      <c r="BA108" s="21">
        <f>+AX108-AZ108</f>
        <v>320145.245</v>
      </c>
      <c r="BC108" s="26">
        <f t="shared" si="131"/>
        <v>612014.245</v>
      </c>
      <c r="BD108" s="21">
        <f>SUMIFS('Base ETESA'!$AQ:$AQ,'Base ETESA'!$BO:$BO,$A108,'Base ETESA'!$BP:$BP,$B108)</f>
        <v>0</v>
      </c>
      <c r="BH108" s="21">
        <f t="shared" si="115"/>
        <v>612014.245</v>
      </c>
      <c r="BI108" s="21">
        <f>BS01_BS02!$J$87</f>
        <v>43870.06</v>
      </c>
      <c r="BJ108" s="26">
        <f t="shared" si="132"/>
        <v>335739.06</v>
      </c>
      <c r="BK108" s="21">
        <f>+BH108-BJ108</f>
        <v>276275.185</v>
      </c>
      <c r="BM108" s="26">
        <f t="shared" si="133"/>
        <v>612014.245</v>
      </c>
      <c r="BN108" s="21">
        <f>SUMIFS('Base ETESA'!$AX:$AX,'Base ETESA'!$BO:$BO,$A108,'Base ETESA'!$BP:$BP,$B108)</f>
        <v>0</v>
      </c>
      <c r="BR108" s="21">
        <f t="shared" si="117"/>
        <v>612014.245</v>
      </c>
      <c r="BS108" s="21">
        <f>BS01_BS02!$K$87</f>
        <v>47115.119999999995</v>
      </c>
      <c r="BT108" s="26">
        <f t="shared" si="134"/>
        <v>382854.18</v>
      </c>
      <c r="BU108" s="21">
        <f>+BR108-BT108</f>
        <v>229160.065</v>
      </c>
      <c r="BW108" s="26">
        <f t="shared" si="135"/>
        <v>612014.245</v>
      </c>
      <c r="BX108" s="21">
        <f>SUMIFS('Base ETESA'!$BE:$BE,'Base ETESA'!$BO:$BO,$A108,'Base ETESA'!$BP:$BP,$B108)</f>
        <v>0</v>
      </c>
      <c r="CB108" s="21">
        <f t="shared" si="119"/>
        <v>612014.245</v>
      </c>
      <c r="CC108" s="21">
        <f>BS01_BS02!$L$87</f>
        <v>45367.880000000005</v>
      </c>
      <c r="CD108" s="26">
        <f t="shared" si="136"/>
        <v>428222.06</v>
      </c>
      <c r="CE108" s="21">
        <f>+CB108-CD108</f>
        <v>183792.185</v>
      </c>
      <c r="CG108" s="21"/>
    </row>
    <row r="109" spans="1:85" ht="13.5" thickBot="1" x14ac:dyDescent="0.25">
      <c r="A109" s="14" t="str">
        <f t="shared" si="105"/>
        <v>CONEXIÓN</v>
      </c>
      <c r="B109" s="16" t="s">
        <v>317</v>
      </c>
      <c r="C109" s="22">
        <f>+SUM(C99:C108)</f>
        <v>30496959.555</v>
      </c>
      <c r="D109" s="22">
        <f>+SUM(D99:D108)</f>
        <v>15730141.07</v>
      </c>
      <c r="E109" s="22">
        <f>+SUM(E99:E108)</f>
        <v>14766818.484999999</v>
      </c>
      <c r="F109" s="22">
        <f t="shared" ref="F109:M109" si="137">SUM(F99:F108)</f>
        <v>0</v>
      </c>
      <c r="G109" s="22">
        <f t="shared" si="137"/>
        <v>0</v>
      </c>
      <c r="H109" s="22">
        <f t="shared" si="137"/>
        <v>0</v>
      </c>
      <c r="I109" s="22">
        <f t="shared" si="137"/>
        <v>0</v>
      </c>
      <c r="J109" s="22">
        <f t="shared" si="137"/>
        <v>30496959.555</v>
      </c>
      <c r="K109" s="22">
        <f t="shared" si="137"/>
        <v>375808</v>
      </c>
      <c r="L109" s="22">
        <f t="shared" si="137"/>
        <v>16105949.07</v>
      </c>
      <c r="M109" s="22">
        <f t="shared" si="137"/>
        <v>14391010.484999999</v>
      </c>
      <c r="O109" s="22">
        <f>SUM(O99:O108)</f>
        <v>30496959.555</v>
      </c>
      <c r="P109" s="22">
        <f t="shared" ref="P109:W109" si="138">SUM(P99:P108)</f>
        <v>578016.13</v>
      </c>
      <c r="Q109" s="22">
        <f t="shared" si="138"/>
        <v>0</v>
      </c>
      <c r="R109" s="22">
        <f t="shared" si="138"/>
        <v>0</v>
      </c>
      <c r="S109" s="22">
        <f t="shared" si="138"/>
        <v>0</v>
      </c>
      <c r="T109" s="22">
        <f t="shared" si="138"/>
        <v>31074975.684999999</v>
      </c>
      <c r="U109" s="22">
        <f t="shared" si="138"/>
        <v>402328</v>
      </c>
      <c r="V109" s="22">
        <f t="shared" si="138"/>
        <v>16508277.07</v>
      </c>
      <c r="W109" s="22">
        <f t="shared" si="138"/>
        <v>14566698.614999998</v>
      </c>
      <c r="Y109" s="22">
        <f t="shared" ref="Y109:AG109" si="139">SUM(Y99:Y108)</f>
        <v>31074975.684999999</v>
      </c>
      <c r="Z109" s="22">
        <f t="shared" si="139"/>
        <v>0</v>
      </c>
      <c r="AA109" s="22">
        <f t="shared" si="139"/>
        <v>0</v>
      </c>
      <c r="AB109" s="22">
        <f t="shared" si="139"/>
        <v>0</v>
      </c>
      <c r="AC109" s="22">
        <f t="shared" si="139"/>
        <v>0</v>
      </c>
      <c r="AD109" s="22">
        <f t="shared" si="139"/>
        <v>31074975.684999999</v>
      </c>
      <c r="AE109" s="22">
        <f t="shared" si="139"/>
        <v>402325</v>
      </c>
      <c r="AF109" s="22">
        <f t="shared" si="139"/>
        <v>16910602.07</v>
      </c>
      <c r="AG109" s="22">
        <f t="shared" si="139"/>
        <v>14164373.614999998</v>
      </c>
      <c r="AI109" s="5">
        <f t="shared" ref="AI109:AQ109" si="140">SUM(AI99:AI108)</f>
        <v>31074975.684999999</v>
      </c>
      <c r="AJ109" s="5">
        <f>SUM(AJ99:AJ108)</f>
        <v>4567571.09</v>
      </c>
      <c r="AK109" s="5">
        <f t="shared" si="140"/>
        <v>0</v>
      </c>
      <c r="AL109" s="5">
        <f t="shared" si="140"/>
        <v>0</v>
      </c>
      <c r="AM109" s="5">
        <f t="shared" si="140"/>
        <v>-1157</v>
      </c>
      <c r="AN109" s="5">
        <f>SUM(AN99:AN108)</f>
        <v>35641389.774999999</v>
      </c>
      <c r="AO109" s="5">
        <f t="shared" si="140"/>
        <v>412390</v>
      </c>
      <c r="AP109" s="5">
        <f t="shared" si="140"/>
        <v>17322992.07</v>
      </c>
      <c r="AQ109" s="5">
        <f t="shared" si="140"/>
        <v>18318397.705000002</v>
      </c>
      <c r="AS109" s="5">
        <f t="shared" ref="AS109:AT109" si="141">SUM(AS99:AS108)</f>
        <v>35641389.774999999</v>
      </c>
      <c r="AT109" s="5">
        <f t="shared" si="141"/>
        <v>4210177.9399999985</v>
      </c>
      <c r="AX109" s="5">
        <f>SUM(AX99:AX108)</f>
        <v>39851567.714999996</v>
      </c>
      <c r="AY109" s="5">
        <f t="shared" ref="AY109" si="142">SUM(AY99:AY108)</f>
        <v>510301.72000000114</v>
      </c>
      <c r="AZ109" s="5">
        <f t="shared" ref="AZ109:BA109" si="143">SUM(AZ99:AZ108)</f>
        <v>17833293.790000003</v>
      </c>
      <c r="BA109" s="5">
        <f t="shared" si="143"/>
        <v>22018273.924999997</v>
      </c>
      <c r="BC109" s="5">
        <f t="shared" ref="BC109:BD109" si="144">SUM(BC99:BC108)</f>
        <v>39851567.714999996</v>
      </c>
      <c r="BD109" s="5">
        <f t="shared" si="144"/>
        <v>56863466.550000004</v>
      </c>
      <c r="BH109" s="5">
        <f>SUM(BH99:BH108)</f>
        <v>96715034.265000015</v>
      </c>
      <c r="BI109" s="5">
        <f t="shared" ref="BI109" si="145">SUM(BI99:BI108)</f>
        <v>825644.27999999886</v>
      </c>
      <c r="BJ109" s="5">
        <f t="shared" ref="BJ109:BK109" si="146">SUM(BJ99:BJ108)</f>
        <v>18658938.07</v>
      </c>
      <c r="BK109" s="5">
        <f t="shared" si="146"/>
        <v>78056096.195000008</v>
      </c>
      <c r="BM109" s="5">
        <f t="shared" ref="BM109:BN109" si="147">SUM(BM99:BM108)</f>
        <v>96715034.265000015</v>
      </c>
      <c r="BN109" s="5">
        <f t="shared" si="147"/>
        <v>1997402.7999999993</v>
      </c>
      <c r="BR109" s="5">
        <f>SUM(BR99:BR108)</f>
        <v>98712437.064999998</v>
      </c>
      <c r="BS109" s="5">
        <f t="shared" ref="BS109" si="148">SUM(BS99:BS108)</f>
        <v>905065.56000000075</v>
      </c>
      <c r="BT109" s="5">
        <f t="shared" ref="BT109:BU109" si="149">SUM(BT99:BT108)</f>
        <v>19564003.630000003</v>
      </c>
      <c r="BU109" s="5">
        <f t="shared" si="149"/>
        <v>79148433.435000002</v>
      </c>
      <c r="BW109" s="5">
        <f t="shared" ref="BW109:BX109" si="150">SUM(BW99:BW108)</f>
        <v>98712437.064999998</v>
      </c>
      <c r="BX109" s="5">
        <f t="shared" si="150"/>
        <v>7855915.2199999932</v>
      </c>
      <c r="CB109" s="5">
        <f>SUM(CB99:CB108)</f>
        <v>106568352.285</v>
      </c>
      <c r="CC109" s="5">
        <f t="shared" ref="CC109" si="151">SUM(CC99:CC108)</f>
        <v>977566.43999999925</v>
      </c>
      <c r="CD109" s="5">
        <f t="shared" ref="CD109:CE109" si="152">SUM(CD99:CD108)</f>
        <v>20541570.07</v>
      </c>
      <c r="CE109" s="5">
        <f t="shared" si="152"/>
        <v>86026782.215000004</v>
      </c>
      <c r="CG109" s="31"/>
    </row>
    <row r="110" spans="1:85" ht="13.5" thickTop="1" x14ac:dyDescent="0.2">
      <c r="A110" s="14"/>
      <c r="B110" s="19" t="s">
        <v>277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O110" s="21"/>
      <c r="P110" s="21"/>
      <c r="Q110" s="21"/>
      <c r="R110" s="21"/>
      <c r="S110" s="21"/>
      <c r="T110" s="21"/>
      <c r="U110" s="21"/>
      <c r="V110" s="21"/>
      <c r="W110" s="21"/>
      <c r="Y110" s="21"/>
      <c r="Z110" s="21"/>
      <c r="AA110" s="21"/>
      <c r="AB110" s="21"/>
      <c r="AC110" s="21"/>
      <c r="AD110" s="21"/>
      <c r="AE110" s="21"/>
      <c r="AF110" s="21"/>
      <c r="AG110" s="21"/>
    </row>
    <row r="111" spans="1:85" outlineLevel="1" x14ac:dyDescent="0.2">
      <c r="A111" s="14" t="str">
        <f t="shared" ref="A111:A118" si="153">+$B$110</f>
        <v>CENTRO NACIONAL DE DESPACHO</v>
      </c>
      <c r="B111" s="1" t="s">
        <v>303</v>
      </c>
      <c r="C111" s="26">
        <v>1722671.2899999998</v>
      </c>
      <c r="D111" s="26">
        <v>1322204</v>
      </c>
      <c r="E111" s="26">
        <v>400467.2899999998</v>
      </c>
      <c r="F111" s="26">
        <v>244960</v>
      </c>
      <c r="G111" s="26">
        <v>0</v>
      </c>
      <c r="H111" s="26">
        <v>0</v>
      </c>
      <c r="I111" s="26">
        <v>0</v>
      </c>
      <c r="J111" s="21">
        <f t="shared" ref="J111:J117" si="154">+C111+F111-G111+H111+I111</f>
        <v>1967631.2899999998</v>
      </c>
      <c r="K111" s="21"/>
      <c r="L111" s="21">
        <f>1385421*(1-$I$56)</f>
        <v>1385421</v>
      </c>
      <c r="M111" s="21">
        <f>+J111-L111</f>
        <v>582210.2899999998</v>
      </c>
      <c r="O111" s="26">
        <f t="shared" ref="O111:O117" si="155">+J111</f>
        <v>1967631.2899999998</v>
      </c>
      <c r="P111" s="15"/>
      <c r="Q111" s="15"/>
      <c r="R111" s="15"/>
      <c r="S111" s="15"/>
      <c r="T111" s="21">
        <f t="shared" ref="T111:T117" si="156">+O111+P111-Q111+R111+S111</f>
        <v>1967631.2899999998</v>
      </c>
      <c r="U111" s="21"/>
      <c r="V111" s="26">
        <f>1441640*(1-I56)</f>
        <v>1441640</v>
      </c>
      <c r="W111" s="21">
        <f>+T111-V111</f>
        <v>525991.2899999998</v>
      </c>
      <c r="Y111" s="26">
        <f t="shared" ref="Y111:Y117" si="157">+T111</f>
        <v>1967631.2899999998</v>
      </c>
      <c r="Z111" s="26">
        <v>0</v>
      </c>
      <c r="AA111" s="26">
        <v>0</v>
      </c>
      <c r="AB111" s="26">
        <v>0</v>
      </c>
      <c r="AC111" s="26">
        <v>0</v>
      </c>
      <c r="AD111" s="21">
        <f t="shared" ref="AD111:AD116" si="158">+Y111+Z111-AA111+AB111+AC111</f>
        <v>1967631.2899999998</v>
      </c>
      <c r="AE111" s="21"/>
      <c r="AF111" s="26">
        <f>1470530*(1-I56)</f>
        <v>1470530</v>
      </c>
      <c r="AG111" s="21">
        <f>+AD111-AF111</f>
        <v>497101.2899999998</v>
      </c>
      <c r="AI111" s="26">
        <f t="shared" ref="AI111:AI117" si="159">+AD111</f>
        <v>1967631.2899999998</v>
      </c>
      <c r="AJ111" s="27">
        <v>0</v>
      </c>
      <c r="AK111" s="27">
        <v>0</v>
      </c>
      <c r="AL111" s="27">
        <v>0</v>
      </c>
      <c r="AM111" s="27">
        <v>0</v>
      </c>
      <c r="AN111" s="21">
        <f t="shared" ref="AN111:AN116" si="160">+AI111+AJ111-AK111+AL111+AM111</f>
        <v>1967631.2899999998</v>
      </c>
      <c r="AO111" s="21"/>
      <c r="AP111" s="26">
        <f>1487533*(1-I56)</f>
        <v>1487533</v>
      </c>
      <c r="AQ111" s="21">
        <f>+AN111-AP111</f>
        <v>480098.2899999998</v>
      </c>
      <c r="AS111" s="26">
        <f t="shared" ref="AS111:AS117" si="161">+AN111</f>
        <v>1967631.2899999998</v>
      </c>
      <c r="AT111" s="21">
        <f>BS01_BS02!$I$47</f>
        <v>12679.639999999898</v>
      </c>
      <c r="AX111" s="21">
        <f t="shared" ref="AX111:AX116" si="162">+AS111+AT111-AU111+AV111+AW111</f>
        <v>1980310.9299999997</v>
      </c>
      <c r="AY111" s="21">
        <f>BS01_BS02!$I$90</f>
        <v>17547.040000000037</v>
      </c>
      <c r="AZ111" s="21">
        <f t="shared" ref="AZ111:AZ117" si="163">+AP111+AY111</f>
        <v>1505080.04</v>
      </c>
      <c r="BA111" s="21">
        <f>+AX111-AZ111</f>
        <v>475230.88999999966</v>
      </c>
      <c r="BC111" s="26">
        <f t="shared" ref="BC111:BC117" si="164">+AX111</f>
        <v>1980310.9299999997</v>
      </c>
      <c r="BD111" s="21">
        <f>BS01_BS02!$J$47</f>
        <v>6420.3600000001024</v>
      </c>
      <c r="BH111" s="21">
        <f t="shared" ref="BH111:BH116" si="165">+BC111+BD111-BE111+BF111+BG111</f>
        <v>1986731.2899999998</v>
      </c>
      <c r="BI111" s="21">
        <f>BS01_BS02!$J$90</f>
        <v>8849.9599999999627</v>
      </c>
      <c r="BJ111" s="21">
        <f t="shared" ref="BJ111:BJ117" si="166">+AZ111+BI111</f>
        <v>1513930</v>
      </c>
      <c r="BK111" s="21">
        <f>+BH111-BJ111</f>
        <v>472801.2899999998</v>
      </c>
      <c r="BM111" s="26">
        <f t="shared" ref="BM111:BM117" si="167">+BH111</f>
        <v>1986731.2899999998</v>
      </c>
      <c r="BN111" s="21">
        <f>BS01_BS02!$K$47</f>
        <v>0</v>
      </c>
      <c r="BR111" s="21">
        <f t="shared" ref="BR111:BR116" si="168">+BM111+BN111-BO111+BP111+BQ111</f>
        <v>1986731.2899999998</v>
      </c>
      <c r="BS111" s="21">
        <f>BS01_BS02!$K$90</f>
        <v>26322.860000000102</v>
      </c>
      <c r="BT111" s="21">
        <f t="shared" ref="BT111:BT117" si="169">+BJ111+BS111</f>
        <v>1540252.86</v>
      </c>
      <c r="BU111" s="21">
        <f>+BR111-BT111</f>
        <v>446478.4299999997</v>
      </c>
      <c r="BW111" s="26">
        <f t="shared" ref="BW111:BW117" si="170">+BR111</f>
        <v>1986731.2899999998</v>
      </c>
      <c r="BX111" s="21">
        <f>BS01_BS02!$L$47</f>
        <v>460756</v>
      </c>
      <c r="CB111" s="21">
        <f t="shared" ref="CB111:CB116" si="171">+BW111+BX111-BY111+BZ111+CA111</f>
        <v>2447487.29</v>
      </c>
      <c r="CC111" s="21">
        <f>BS01_BS02!$L$90</f>
        <v>92148.139999999898</v>
      </c>
      <c r="CD111" s="21">
        <f t="shared" ref="CD111:CD117" si="172">+BT111+CC111</f>
        <v>1632401</v>
      </c>
      <c r="CE111" s="21">
        <f>+CB111-CD111</f>
        <v>815086.29</v>
      </c>
    </row>
    <row r="112" spans="1:85" outlineLevel="1" x14ac:dyDescent="0.2">
      <c r="A112" s="14" t="str">
        <f t="shared" si="153"/>
        <v>CENTRO NACIONAL DE DESPACHO</v>
      </c>
      <c r="B112" s="1" t="s">
        <v>319</v>
      </c>
      <c r="C112" s="26">
        <v>129178.45</v>
      </c>
      <c r="D112" s="26">
        <v>41541.5</v>
      </c>
      <c r="E112" s="26">
        <v>87636.95</v>
      </c>
      <c r="F112" s="26">
        <v>0</v>
      </c>
      <c r="G112" s="26">
        <v>0</v>
      </c>
      <c r="H112" s="26">
        <v>0</v>
      </c>
      <c r="I112" s="26">
        <v>0</v>
      </c>
      <c r="J112" s="21">
        <f t="shared" si="154"/>
        <v>129178.45</v>
      </c>
      <c r="K112" s="21"/>
      <c r="L112" s="21"/>
      <c r="M112" s="21">
        <f t="shared" ref="M112:M117" si="173">+J112-L112</f>
        <v>129178.45</v>
      </c>
      <c r="O112" s="26">
        <f t="shared" si="155"/>
        <v>129178.45</v>
      </c>
      <c r="P112" s="15"/>
      <c r="Q112" s="15"/>
      <c r="R112" s="15"/>
      <c r="S112" s="15"/>
      <c r="T112" s="21">
        <f t="shared" si="156"/>
        <v>129178.45</v>
      </c>
      <c r="U112" s="21"/>
      <c r="V112" s="26"/>
      <c r="W112" s="21">
        <f t="shared" ref="W112:W117" si="174">+T112-V112</f>
        <v>129178.45</v>
      </c>
      <c r="Y112" s="26">
        <f t="shared" si="157"/>
        <v>129178.45</v>
      </c>
      <c r="Z112" s="26">
        <v>0</v>
      </c>
      <c r="AA112" s="26">
        <v>0</v>
      </c>
      <c r="AB112" s="26">
        <v>0</v>
      </c>
      <c r="AC112" s="26">
        <v>0</v>
      </c>
      <c r="AD112" s="21">
        <f t="shared" si="158"/>
        <v>129178.45</v>
      </c>
      <c r="AE112" s="21"/>
      <c r="AF112" s="26"/>
      <c r="AG112" s="21">
        <f t="shared" ref="AG112:AG117" si="175">+AD112-AF112</f>
        <v>129178.45</v>
      </c>
      <c r="AI112" s="26">
        <f t="shared" si="159"/>
        <v>129178.45</v>
      </c>
      <c r="AJ112" s="27">
        <v>0</v>
      </c>
      <c r="AK112" s="27">
        <v>0</v>
      </c>
      <c r="AL112" s="27">
        <v>0</v>
      </c>
      <c r="AM112" s="27">
        <v>0</v>
      </c>
      <c r="AN112" s="21">
        <f t="shared" si="160"/>
        <v>129178.45</v>
      </c>
      <c r="AO112" s="21"/>
      <c r="AP112" s="26"/>
      <c r="AQ112" s="21">
        <f t="shared" ref="AQ112:AQ117" si="176">+AN112-AP112</f>
        <v>129178.45</v>
      </c>
      <c r="AS112" s="26">
        <f t="shared" si="161"/>
        <v>129178.45</v>
      </c>
      <c r="AX112" s="21">
        <f t="shared" si="162"/>
        <v>129178.45</v>
      </c>
      <c r="AZ112" s="21">
        <f t="shared" si="163"/>
        <v>0</v>
      </c>
      <c r="BA112" s="21">
        <f t="shared" ref="BA112:BA117" si="177">+AX112-AZ112</f>
        <v>129178.45</v>
      </c>
      <c r="BC112" s="26">
        <f t="shared" si="164"/>
        <v>129178.45</v>
      </c>
      <c r="BH112" s="21">
        <f t="shared" si="165"/>
        <v>129178.45</v>
      </c>
      <c r="BJ112" s="21">
        <f t="shared" si="166"/>
        <v>0</v>
      </c>
      <c r="BK112" s="21">
        <f t="shared" ref="BK112:BK117" si="178">+BH112-BJ112</f>
        <v>129178.45</v>
      </c>
      <c r="BM112" s="26">
        <f t="shared" si="167"/>
        <v>129178.45</v>
      </c>
      <c r="BR112" s="21">
        <f t="shared" si="168"/>
        <v>129178.45</v>
      </c>
      <c r="BT112" s="21">
        <f t="shared" si="169"/>
        <v>0</v>
      </c>
      <c r="BU112" s="21">
        <f t="shared" ref="BU112:BU117" si="179">+BR112-BT112</f>
        <v>129178.45</v>
      </c>
      <c r="BW112" s="26">
        <f t="shared" si="170"/>
        <v>129178.45</v>
      </c>
      <c r="CB112" s="21">
        <f t="shared" si="171"/>
        <v>129178.45</v>
      </c>
      <c r="CD112" s="21">
        <f t="shared" si="172"/>
        <v>0</v>
      </c>
      <c r="CE112" s="21">
        <f t="shared" ref="CE112:CE117" si="180">+CB112-CD112</f>
        <v>129178.45</v>
      </c>
    </row>
    <row r="113" spans="1:85" outlineLevel="1" x14ac:dyDescent="0.2">
      <c r="A113" s="14" t="str">
        <f t="shared" si="153"/>
        <v>CENTRO NACIONAL DE DESPACHO</v>
      </c>
      <c r="B113" s="1" t="s">
        <v>307</v>
      </c>
      <c r="C113" s="26">
        <v>375891.44</v>
      </c>
      <c r="D113" s="26">
        <v>176068</v>
      </c>
      <c r="E113" s="26">
        <v>199823.44</v>
      </c>
      <c r="F113" s="320">
        <v>112564</v>
      </c>
      <c r="G113" s="26">
        <v>0</v>
      </c>
      <c r="H113" s="26">
        <v>0</v>
      </c>
      <c r="I113" s="26">
        <v>0</v>
      </c>
      <c r="J113" s="21">
        <f t="shared" si="154"/>
        <v>488455.44</v>
      </c>
      <c r="K113" s="21"/>
      <c r="L113" s="320">
        <f>816726/2*(1-$I$56)</f>
        <v>408363</v>
      </c>
      <c r="M113" s="21">
        <f t="shared" si="173"/>
        <v>80092.44</v>
      </c>
      <c r="O113" s="26">
        <f t="shared" si="155"/>
        <v>488455.44</v>
      </c>
      <c r="P113" s="15"/>
      <c r="Q113" s="15"/>
      <c r="R113" s="15"/>
      <c r="S113" s="15"/>
      <c r="T113" s="21">
        <f t="shared" si="156"/>
        <v>488455.44</v>
      </c>
      <c r="U113" s="21"/>
      <c r="V113" s="320">
        <f>895022/2*(1-$I$56)</f>
        <v>447511</v>
      </c>
      <c r="W113" s="21">
        <f t="shared" si="174"/>
        <v>40944.44</v>
      </c>
      <c r="Y113" s="26">
        <f t="shared" si="157"/>
        <v>488455.44</v>
      </c>
      <c r="Z113" s="26">
        <v>0</v>
      </c>
      <c r="AA113" s="26">
        <v>0</v>
      </c>
      <c r="AB113" s="26">
        <v>0</v>
      </c>
      <c r="AC113" s="26">
        <v>0</v>
      </c>
      <c r="AD113" s="21">
        <f t="shared" si="158"/>
        <v>488455.44</v>
      </c>
      <c r="AE113" s="21"/>
      <c r="AF113" s="26"/>
      <c r="AG113" s="21">
        <f t="shared" si="175"/>
        <v>488455.44</v>
      </c>
      <c r="AI113" s="26">
        <f t="shared" si="159"/>
        <v>488455.44</v>
      </c>
      <c r="AJ113" s="27">
        <v>0</v>
      </c>
      <c r="AK113" s="27">
        <v>0</v>
      </c>
      <c r="AL113" s="27">
        <v>0</v>
      </c>
      <c r="AM113" s="27">
        <v>0</v>
      </c>
      <c r="AN113" s="21">
        <f t="shared" si="160"/>
        <v>488455.44</v>
      </c>
      <c r="AO113" s="21"/>
      <c r="AP113" s="26"/>
      <c r="AQ113" s="21">
        <f t="shared" si="176"/>
        <v>488455.44</v>
      </c>
      <c r="AS113" s="26">
        <f t="shared" si="161"/>
        <v>488455.44</v>
      </c>
      <c r="AX113" s="21">
        <f t="shared" si="162"/>
        <v>488455.44</v>
      </c>
      <c r="AZ113" s="21">
        <f t="shared" si="163"/>
        <v>0</v>
      </c>
      <c r="BA113" s="21">
        <f t="shared" si="177"/>
        <v>488455.44</v>
      </c>
      <c r="BC113" s="26">
        <f t="shared" si="164"/>
        <v>488455.44</v>
      </c>
      <c r="BH113" s="21">
        <f t="shared" si="165"/>
        <v>488455.44</v>
      </c>
      <c r="BJ113" s="21">
        <f t="shared" si="166"/>
        <v>0</v>
      </c>
      <c r="BK113" s="21">
        <f t="shared" si="178"/>
        <v>488455.44</v>
      </c>
      <c r="BM113" s="26">
        <f t="shared" si="167"/>
        <v>488455.44</v>
      </c>
      <c r="BR113" s="21">
        <f t="shared" si="168"/>
        <v>488455.44</v>
      </c>
      <c r="BT113" s="21">
        <f t="shared" si="169"/>
        <v>0</v>
      </c>
      <c r="BU113" s="21">
        <f t="shared" si="179"/>
        <v>488455.44</v>
      </c>
      <c r="BW113" s="26">
        <f t="shared" si="170"/>
        <v>488455.44</v>
      </c>
      <c r="CB113" s="21">
        <f t="shared" si="171"/>
        <v>488455.44</v>
      </c>
      <c r="CD113" s="21">
        <f t="shared" si="172"/>
        <v>0</v>
      </c>
      <c r="CE113" s="21">
        <f t="shared" si="180"/>
        <v>488455.44</v>
      </c>
    </row>
    <row r="114" spans="1:85" outlineLevel="1" x14ac:dyDescent="0.2">
      <c r="A114" s="14" t="str">
        <f t="shared" si="153"/>
        <v>CENTRO NACIONAL DE DESPACHO</v>
      </c>
      <c r="B114" s="1" t="s">
        <v>312</v>
      </c>
      <c r="C114" s="26">
        <v>704605.32999999984</v>
      </c>
      <c r="D114" s="26">
        <v>511471</v>
      </c>
      <c r="E114" s="26">
        <v>193134.32999999984</v>
      </c>
      <c r="F114" s="26">
        <v>0</v>
      </c>
      <c r="G114" s="26">
        <v>0</v>
      </c>
      <c r="H114" s="26">
        <v>0</v>
      </c>
      <c r="I114" s="26">
        <v>0</v>
      </c>
      <c r="J114" s="21">
        <f t="shared" si="154"/>
        <v>704605.32999999984</v>
      </c>
      <c r="K114" s="21"/>
      <c r="L114" s="320">
        <f>816726/2*(1-$I$56)</f>
        <v>408363</v>
      </c>
      <c r="M114" s="21">
        <f t="shared" si="173"/>
        <v>296242.32999999984</v>
      </c>
      <c r="O114" s="26">
        <f t="shared" si="155"/>
        <v>704605.32999999984</v>
      </c>
      <c r="P114" s="15"/>
      <c r="Q114" s="15"/>
      <c r="R114" s="15"/>
      <c r="S114" s="15"/>
      <c r="T114" s="21">
        <f t="shared" si="156"/>
        <v>704605.32999999984</v>
      </c>
      <c r="U114" s="21"/>
      <c r="V114" s="320">
        <f>895022/2*(1-$I$56)</f>
        <v>447511</v>
      </c>
      <c r="W114" s="21">
        <f t="shared" si="174"/>
        <v>257094.32999999984</v>
      </c>
      <c r="Y114" s="26">
        <f t="shared" si="157"/>
        <v>704605.32999999984</v>
      </c>
      <c r="Z114" s="26">
        <v>0</v>
      </c>
      <c r="AA114" s="26">
        <v>0</v>
      </c>
      <c r="AB114" s="26">
        <v>0</v>
      </c>
      <c r="AC114" s="26">
        <v>0</v>
      </c>
      <c r="AD114" s="21">
        <f t="shared" si="158"/>
        <v>704605.32999999984</v>
      </c>
      <c r="AE114" s="21"/>
      <c r="AF114" s="26">
        <f>953547*(1-I56)</f>
        <v>953547</v>
      </c>
      <c r="AG114" s="21">
        <f t="shared" si="175"/>
        <v>-248941.67000000016</v>
      </c>
      <c r="AI114" s="26">
        <f t="shared" si="159"/>
        <v>704605.32999999984</v>
      </c>
      <c r="AJ114" s="27">
        <v>0</v>
      </c>
      <c r="AK114" s="27">
        <v>0</v>
      </c>
      <c r="AL114" s="27">
        <v>0</v>
      </c>
      <c r="AM114" s="27">
        <v>0</v>
      </c>
      <c r="AN114" s="21">
        <f t="shared" si="160"/>
        <v>704605.32999999984</v>
      </c>
      <c r="AO114" s="21"/>
      <c r="AP114" s="26">
        <f>416352*(1-I56)</f>
        <v>416352</v>
      </c>
      <c r="AQ114" s="21">
        <f t="shared" si="176"/>
        <v>288253.32999999984</v>
      </c>
      <c r="AS114" s="26">
        <f t="shared" si="161"/>
        <v>704605.32999999984</v>
      </c>
      <c r="AX114" s="21">
        <f t="shared" si="162"/>
        <v>704605.32999999984</v>
      </c>
      <c r="AZ114" s="21">
        <f t="shared" si="163"/>
        <v>416352</v>
      </c>
      <c r="BA114" s="21">
        <f t="shared" si="177"/>
        <v>288253.32999999984</v>
      </c>
      <c r="BC114" s="26">
        <f t="shared" si="164"/>
        <v>704605.32999999984</v>
      </c>
      <c r="BH114" s="21">
        <f t="shared" si="165"/>
        <v>704605.32999999984</v>
      </c>
      <c r="BJ114" s="21">
        <f t="shared" si="166"/>
        <v>416352</v>
      </c>
      <c r="BK114" s="21">
        <f t="shared" si="178"/>
        <v>288253.32999999984</v>
      </c>
      <c r="BM114" s="26">
        <f t="shared" si="167"/>
        <v>704605.32999999984</v>
      </c>
      <c r="BR114" s="21">
        <f t="shared" si="168"/>
        <v>704605.32999999984</v>
      </c>
      <c r="BT114" s="21">
        <f t="shared" si="169"/>
        <v>416352</v>
      </c>
      <c r="BU114" s="21">
        <f t="shared" si="179"/>
        <v>288253.32999999984</v>
      </c>
      <c r="BW114" s="26">
        <f t="shared" si="170"/>
        <v>704605.32999999984</v>
      </c>
      <c r="CB114" s="21">
        <f t="shared" si="171"/>
        <v>704605.32999999984</v>
      </c>
      <c r="CD114" s="21">
        <f t="shared" si="172"/>
        <v>416352</v>
      </c>
      <c r="CE114" s="21">
        <f t="shared" si="180"/>
        <v>288253.32999999984</v>
      </c>
    </row>
    <row r="115" spans="1:85" outlineLevel="1" x14ac:dyDescent="0.2">
      <c r="A115" s="14" t="str">
        <f t="shared" si="153"/>
        <v>CENTRO NACIONAL DE DESPACHO</v>
      </c>
      <c r="B115" s="1" t="s">
        <v>320</v>
      </c>
      <c r="C115" s="26">
        <v>5729232</v>
      </c>
      <c r="D115" s="26">
        <v>5721729</v>
      </c>
      <c r="E115" s="26">
        <v>7503</v>
      </c>
      <c r="F115" s="26">
        <v>5203767</v>
      </c>
      <c r="G115" s="26">
        <v>0</v>
      </c>
      <c r="H115" s="26">
        <v>0</v>
      </c>
      <c r="I115" s="26">
        <v>0</v>
      </c>
      <c r="J115" s="21">
        <f t="shared" si="154"/>
        <v>10932999</v>
      </c>
      <c r="K115" s="21"/>
      <c r="L115" s="21">
        <f>8954770*(1-$I$56)</f>
        <v>8954770</v>
      </c>
      <c r="M115" s="21">
        <f t="shared" si="173"/>
        <v>1978229</v>
      </c>
      <c r="O115" s="26">
        <f t="shared" si="155"/>
        <v>10932999</v>
      </c>
      <c r="P115" s="15"/>
      <c r="Q115" s="15"/>
      <c r="R115" s="15"/>
      <c r="S115" s="15"/>
      <c r="T115" s="21">
        <f t="shared" si="156"/>
        <v>10932999</v>
      </c>
      <c r="U115" s="21"/>
      <c r="V115" s="26">
        <f>10707396*(1-I56)</f>
        <v>10707396</v>
      </c>
      <c r="W115" s="21">
        <f t="shared" si="174"/>
        <v>225603</v>
      </c>
      <c r="Y115" s="26">
        <f t="shared" si="157"/>
        <v>10932999</v>
      </c>
      <c r="Z115" s="26">
        <v>0</v>
      </c>
      <c r="AA115" s="320">
        <v>5504</v>
      </c>
      <c r="AB115" s="26">
        <v>0</v>
      </c>
      <c r="AC115" s="26">
        <v>0</v>
      </c>
      <c r="AD115" s="21">
        <f>+Y115+Z115-AA115+AB115+AC115</f>
        <v>10927495</v>
      </c>
      <c r="AE115" s="21"/>
      <c r="AF115" s="26">
        <f>252167*(1-I56)</f>
        <v>252167</v>
      </c>
      <c r="AG115" s="21">
        <f t="shared" si="175"/>
        <v>10675328</v>
      </c>
      <c r="AI115" s="26">
        <f t="shared" si="159"/>
        <v>10927495</v>
      </c>
      <c r="AJ115" s="321">
        <v>24825</v>
      </c>
      <c r="AK115" s="27">
        <v>0</v>
      </c>
      <c r="AL115" s="27">
        <v>0</v>
      </c>
      <c r="AM115" s="27">
        <v>0</v>
      </c>
      <c r="AN115" s="21">
        <f t="shared" si="160"/>
        <v>10952320</v>
      </c>
      <c r="AO115" s="21"/>
      <c r="AP115" s="26">
        <f>255634*(1-I56)</f>
        <v>255634</v>
      </c>
      <c r="AQ115" s="21">
        <f t="shared" si="176"/>
        <v>10696686</v>
      </c>
      <c r="AS115" s="26">
        <f t="shared" si="161"/>
        <v>10952320</v>
      </c>
      <c r="AT115" s="21">
        <f>BS01_BS02!$I$48+BS01_BS02!$I$49+BS01_BS02!$I$50</f>
        <v>-8.0000000074505806E-2</v>
      </c>
      <c r="AX115" s="21">
        <f t="shared" si="162"/>
        <v>10952319.92</v>
      </c>
      <c r="AY115" s="21">
        <f>BS01_BS02!$I$91+BS01_BS02!$I$92+BS01_BS02!$I$93</f>
        <v>88163.96000000101</v>
      </c>
      <c r="AZ115" s="21">
        <f t="shared" si="163"/>
        <v>343797.96000000101</v>
      </c>
      <c r="BA115" s="21">
        <f t="shared" si="177"/>
        <v>10608521.959999999</v>
      </c>
      <c r="BC115" s="26">
        <f t="shared" si="164"/>
        <v>10952319.92</v>
      </c>
      <c r="BD115" s="21">
        <f>BS01_BS02!$J$48+BS01_BS02!$J$49+BS01_BS02!$J$50</f>
        <v>8.0000000074505806E-2</v>
      </c>
      <c r="BH115" s="21">
        <f t="shared" si="165"/>
        <v>10952320</v>
      </c>
      <c r="BI115" s="21">
        <f>BS01_BS02!$J$91+BS01_BS02!$J$92+BS01_BS02!$J$93</f>
        <v>40149.03999999896</v>
      </c>
      <c r="BJ115" s="21">
        <f t="shared" si="166"/>
        <v>383947</v>
      </c>
      <c r="BK115" s="21">
        <f t="shared" si="178"/>
        <v>10568373</v>
      </c>
      <c r="BM115" s="26">
        <f t="shared" si="167"/>
        <v>10952320</v>
      </c>
      <c r="BN115" s="21">
        <f>BS01_BS02!$K$48+BS01_BS02!$K$49+BS01_BS02!$K$50</f>
        <v>2883960.1999999997</v>
      </c>
      <c r="BR115" s="21">
        <f t="shared" si="168"/>
        <v>13836280.199999999</v>
      </c>
      <c r="BS115" s="21">
        <f>BS01_BS02!$K$91+BS01_BS02!$K$92+BS01_BS02!$K$93</f>
        <v>1185804.6900000009</v>
      </c>
      <c r="BT115" s="21">
        <f t="shared" si="169"/>
        <v>1569751.6900000009</v>
      </c>
      <c r="BU115" s="21">
        <f t="shared" si="179"/>
        <v>12266528.509999998</v>
      </c>
      <c r="BW115" s="26">
        <f t="shared" si="170"/>
        <v>13836280.199999999</v>
      </c>
      <c r="BX115" s="21">
        <f>BS01_BS02!$L$48+BS01_BS02!$L$49+BS01_BS02!$L$50</f>
        <v>5626550.8000000007</v>
      </c>
      <c r="CB115" s="21">
        <f t="shared" si="171"/>
        <v>19462831</v>
      </c>
      <c r="CC115" s="21">
        <f>BS01_BS02!$L$91+BS01_BS02!$L$92+BS01_BS02!$L$93</f>
        <v>2638337.3099999991</v>
      </c>
      <c r="CD115" s="21">
        <f t="shared" si="172"/>
        <v>4208089</v>
      </c>
      <c r="CE115" s="21">
        <f t="shared" si="180"/>
        <v>15254742</v>
      </c>
    </row>
    <row r="116" spans="1:85" outlineLevel="1" x14ac:dyDescent="0.2">
      <c r="A116" s="14" t="str">
        <f t="shared" si="153"/>
        <v>CENTRO NACIONAL DE DESPACHO</v>
      </c>
      <c r="B116" s="1" t="s">
        <v>321</v>
      </c>
      <c r="C116" s="26">
        <v>288124.93000000005</v>
      </c>
      <c r="D116" s="26">
        <v>205018</v>
      </c>
      <c r="E116" s="26">
        <v>83106.930000000051</v>
      </c>
      <c r="F116" s="320">
        <v>156176</v>
      </c>
      <c r="G116" s="26">
        <v>0</v>
      </c>
      <c r="H116" s="26">
        <v>0</v>
      </c>
      <c r="I116" s="26">
        <v>0</v>
      </c>
      <c r="J116" s="21">
        <f t="shared" si="154"/>
        <v>444300.93000000005</v>
      </c>
      <c r="K116" s="21"/>
      <c r="L116" s="21">
        <f>308740*(1-$I$56)</f>
        <v>308740</v>
      </c>
      <c r="M116" s="21">
        <f t="shared" si="173"/>
        <v>135560.93000000005</v>
      </c>
      <c r="O116" s="26">
        <f t="shared" si="155"/>
        <v>444300.93000000005</v>
      </c>
      <c r="P116" s="15"/>
      <c r="Q116" s="15"/>
      <c r="R116" s="15"/>
      <c r="S116" s="15"/>
      <c r="T116" s="21">
        <f t="shared" si="156"/>
        <v>444300.93000000005</v>
      </c>
      <c r="U116" s="21"/>
      <c r="V116" s="26">
        <f>334963*(1-I56)</f>
        <v>334963</v>
      </c>
      <c r="W116" s="21">
        <f t="shared" si="174"/>
        <v>109337.93000000005</v>
      </c>
      <c r="Y116" s="26">
        <f t="shared" si="157"/>
        <v>444300.93000000005</v>
      </c>
      <c r="Z116" s="26">
        <v>0</v>
      </c>
      <c r="AA116" s="320">
        <v>44888</v>
      </c>
      <c r="AB116" s="26">
        <v>0</v>
      </c>
      <c r="AC116" s="26">
        <v>0</v>
      </c>
      <c r="AD116" s="21">
        <f t="shared" si="158"/>
        <v>399412.93000000005</v>
      </c>
      <c r="AE116" s="21"/>
      <c r="AF116" s="26">
        <f>363165*(1-I56)</f>
        <v>363165</v>
      </c>
      <c r="AG116" s="21">
        <f t="shared" si="175"/>
        <v>36247.930000000051</v>
      </c>
      <c r="AI116" s="26">
        <f t="shared" si="159"/>
        <v>399412.93000000005</v>
      </c>
      <c r="AJ116" s="27">
        <v>0</v>
      </c>
      <c r="AK116" s="27">
        <v>0</v>
      </c>
      <c r="AL116" s="27">
        <v>0</v>
      </c>
      <c r="AM116" s="27">
        <v>0</v>
      </c>
      <c r="AN116" s="21">
        <f t="shared" si="160"/>
        <v>399412.93000000005</v>
      </c>
      <c r="AO116" s="21"/>
      <c r="AP116" s="26">
        <f>1020115*(1-I56)</f>
        <v>1020115</v>
      </c>
      <c r="AQ116" s="21">
        <f t="shared" si="176"/>
        <v>-620702.06999999995</v>
      </c>
      <c r="AS116" s="26">
        <f t="shared" si="161"/>
        <v>399412.93000000005</v>
      </c>
      <c r="AX116" s="21">
        <f t="shared" si="162"/>
        <v>399412.93000000005</v>
      </c>
      <c r="AZ116" s="21">
        <f t="shared" si="163"/>
        <v>1020115</v>
      </c>
      <c r="BA116" s="21">
        <f t="shared" si="177"/>
        <v>-620702.06999999995</v>
      </c>
      <c r="BC116" s="26">
        <f t="shared" si="164"/>
        <v>399412.93000000005</v>
      </c>
      <c r="BH116" s="21">
        <f t="shared" si="165"/>
        <v>399412.93000000005</v>
      </c>
      <c r="BJ116" s="21">
        <f t="shared" si="166"/>
        <v>1020115</v>
      </c>
      <c r="BK116" s="21">
        <f t="shared" si="178"/>
        <v>-620702.06999999995</v>
      </c>
      <c r="BM116" s="26">
        <f t="shared" si="167"/>
        <v>399412.93000000005</v>
      </c>
      <c r="BR116" s="21">
        <f t="shared" si="168"/>
        <v>399412.93000000005</v>
      </c>
      <c r="BT116" s="21">
        <f t="shared" si="169"/>
        <v>1020115</v>
      </c>
      <c r="BU116" s="21">
        <f t="shared" si="179"/>
        <v>-620702.06999999995</v>
      </c>
      <c r="BW116" s="26">
        <f t="shared" si="170"/>
        <v>399412.93000000005</v>
      </c>
      <c r="CB116" s="21">
        <f t="shared" si="171"/>
        <v>399412.93000000005</v>
      </c>
      <c r="CD116" s="21">
        <f t="shared" si="172"/>
        <v>1020115</v>
      </c>
      <c r="CE116" s="21">
        <f t="shared" si="180"/>
        <v>-620702.06999999995</v>
      </c>
    </row>
    <row r="117" spans="1:85" outlineLevel="1" x14ac:dyDescent="0.2">
      <c r="A117" s="14" t="str">
        <f t="shared" si="153"/>
        <v>CENTRO NACIONAL DE DESPACHO</v>
      </c>
      <c r="B117" s="1" t="s">
        <v>322</v>
      </c>
      <c r="C117" s="26">
        <v>129888</v>
      </c>
      <c r="D117" s="26">
        <v>72545</v>
      </c>
      <c r="E117" s="26">
        <v>57343</v>
      </c>
      <c r="F117" s="26">
        <v>0</v>
      </c>
      <c r="G117" s="26">
        <v>0</v>
      </c>
      <c r="H117" s="26">
        <v>0</v>
      </c>
      <c r="I117" s="26">
        <v>0</v>
      </c>
      <c r="J117" s="21">
        <f t="shared" si="154"/>
        <v>129888</v>
      </c>
      <c r="K117" s="21"/>
      <c r="L117" s="21"/>
      <c r="M117" s="21">
        <f t="shared" si="173"/>
        <v>129888</v>
      </c>
      <c r="O117" s="26">
        <f t="shared" si="155"/>
        <v>129888</v>
      </c>
      <c r="P117" s="15"/>
      <c r="Q117" s="15"/>
      <c r="R117" s="15"/>
      <c r="S117" s="15"/>
      <c r="T117" s="21">
        <f t="shared" si="156"/>
        <v>129888</v>
      </c>
      <c r="U117" s="21"/>
      <c r="V117" s="26"/>
      <c r="W117" s="21">
        <f t="shared" si="174"/>
        <v>129888</v>
      </c>
      <c r="Y117" s="26">
        <f t="shared" si="157"/>
        <v>129888</v>
      </c>
      <c r="Z117" s="26">
        <v>0</v>
      </c>
      <c r="AA117" s="26">
        <v>0</v>
      </c>
      <c r="AB117" s="26">
        <v>0</v>
      </c>
      <c r="AC117" s="26">
        <v>0</v>
      </c>
      <c r="AD117" s="21">
        <f>+Y117+Z117-AA117+AB117+AC117</f>
        <v>129888</v>
      </c>
      <c r="AE117" s="21"/>
      <c r="AF117" s="26"/>
      <c r="AG117" s="21">
        <f t="shared" si="175"/>
        <v>129888</v>
      </c>
      <c r="AI117" s="26">
        <f t="shared" si="159"/>
        <v>129888</v>
      </c>
      <c r="AJ117" s="27">
        <v>0</v>
      </c>
      <c r="AK117" s="27">
        <v>0</v>
      </c>
      <c r="AL117" s="27">
        <v>0</v>
      </c>
      <c r="AM117" s="27">
        <v>0</v>
      </c>
      <c r="AN117" s="21">
        <f>+AI117+AJ117-AK117+AL117+AM117</f>
        <v>129888</v>
      </c>
      <c r="AO117" s="21"/>
      <c r="AP117" s="26"/>
      <c r="AQ117" s="21">
        <f t="shared" si="176"/>
        <v>129888</v>
      </c>
      <c r="AS117" s="26">
        <f t="shared" si="161"/>
        <v>129888</v>
      </c>
      <c r="AX117" s="21">
        <f>+AS117+AT117-AU117+AV117+AW117</f>
        <v>129888</v>
      </c>
      <c r="AZ117" s="21">
        <f t="shared" si="163"/>
        <v>0</v>
      </c>
      <c r="BA117" s="21">
        <f t="shared" si="177"/>
        <v>129888</v>
      </c>
      <c r="BC117" s="26">
        <f t="shared" si="164"/>
        <v>129888</v>
      </c>
      <c r="BH117" s="21">
        <f>+BC117+BD117-BE117+BF117+BG117</f>
        <v>129888</v>
      </c>
      <c r="BJ117" s="21">
        <f t="shared" si="166"/>
        <v>0</v>
      </c>
      <c r="BK117" s="21">
        <f t="shared" si="178"/>
        <v>129888</v>
      </c>
      <c r="BM117" s="26">
        <f t="shared" si="167"/>
        <v>129888</v>
      </c>
      <c r="BR117" s="21">
        <f>+BM117+BN117-BO117+BP117+BQ117</f>
        <v>129888</v>
      </c>
      <c r="BT117" s="21">
        <f t="shared" si="169"/>
        <v>0</v>
      </c>
      <c r="BU117" s="21">
        <f t="shared" si="179"/>
        <v>129888</v>
      </c>
      <c r="BW117" s="26">
        <f t="shared" si="170"/>
        <v>129888</v>
      </c>
      <c r="CB117" s="21">
        <f>+BW117+BX117-BY117+BZ117+CA117</f>
        <v>129888</v>
      </c>
      <c r="CD117" s="21">
        <f t="shared" si="172"/>
        <v>0</v>
      </c>
      <c r="CE117" s="21">
        <f t="shared" si="180"/>
        <v>129888</v>
      </c>
    </row>
    <row r="118" spans="1:85" ht="13.5" thickBot="1" x14ac:dyDescent="0.25">
      <c r="A118" s="14" t="str">
        <f t="shared" si="153"/>
        <v>CENTRO NACIONAL DE DESPACHO</v>
      </c>
      <c r="B118" s="16" t="s">
        <v>317</v>
      </c>
      <c r="C118" s="22">
        <f>+SUM(C111:C117)</f>
        <v>9079591.4399999995</v>
      </c>
      <c r="D118" s="22">
        <f>+SUM(D111:D117)</f>
        <v>8050576.5</v>
      </c>
      <c r="E118" s="22">
        <f>+SUM(E111:E117)</f>
        <v>1029014.9399999997</v>
      </c>
      <c r="F118" s="22">
        <f t="shared" ref="F118:M118" si="181">SUM(F111:F117)</f>
        <v>5717467</v>
      </c>
      <c r="G118" s="22">
        <f t="shared" si="181"/>
        <v>0</v>
      </c>
      <c r="H118" s="22">
        <f t="shared" si="181"/>
        <v>0</v>
      </c>
      <c r="I118" s="22">
        <f t="shared" si="181"/>
        <v>0</v>
      </c>
      <c r="J118" s="22">
        <f t="shared" si="181"/>
        <v>14797058.439999999</v>
      </c>
      <c r="K118" s="22"/>
      <c r="L118" s="22">
        <f>SUM(L111:L117)</f>
        <v>11465657</v>
      </c>
      <c r="M118" s="22">
        <f t="shared" si="181"/>
        <v>3331401.44</v>
      </c>
      <c r="O118" s="22">
        <f t="shared" ref="O118:W118" si="182">SUM(O111:O117)</f>
        <v>14797058.439999999</v>
      </c>
      <c r="P118" s="22">
        <f t="shared" si="182"/>
        <v>0</v>
      </c>
      <c r="Q118" s="22">
        <f t="shared" si="182"/>
        <v>0</v>
      </c>
      <c r="R118" s="22">
        <f t="shared" si="182"/>
        <v>0</v>
      </c>
      <c r="S118" s="22">
        <f t="shared" si="182"/>
        <v>0</v>
      </c>
      <c r="T118" s="22">
        <f t="shared" si="182"/>
        <v>14797058.439999999</v>
      </c>
      <c r="U118" s="22"/>
      <c r="V118" s="22">
        <f t="shared" si="182"/>
        <v>13379021</v>
      </c>
      <c r="W118" s="22">
        <f t="shared" si="182"/>
        <v>1418037.4399999995</v>
      </c>
      <c r="Y118" s="22">
        <f>SUM(Y111:Y117)</f>
        <v>14797058.439999999</v>
      </c>
      <c r="Z118" s="22">
        <f t="shared" ref="Z118:AG118" si="183">SUM(Z111:Z117)</f>
        <v>0</v>
      </c>
      <c r="AA118" s="22">
        <f t="shared" si="183"/>
        <v>50392</v>
      </c>
      <c r="AB118" s="22">
        <f t="shared" si="183"/>
        <v>0</v>
      </c>
      <c r="AC118" s="22">
        <f t="shared" si="183"/>
        <v>0</v>
      </c>
      <c r="AD118" s="22">
        <f t="shared" si="183"/>
        <v>14746666.439999999</v>
      </c>
      <c r="AE118" s="22"/>
      <c r="AF118" s="22">
        <f>SUM(AF111:AF117)</f>
        <v>3039409</v>
      </c>
      <c r="AG118" s="22">
        <f t="shared" si="183"/>
        <v>11707257.439999999</v>
      </c>
      <c r="AI118" s="5">
        <f>SUM(AI111:AI117)</f>
        <v>14746666.439999999</v>
      </c>
      <c r="AJ118" s="5">
        <f t="shared" ref="AJ118:AQ118" si="184">SUM(AJ111:AJ117)</f>
        <v>24825</v>
      </c>
      <c r="AK118" s="5">
        <f t="shared" si="184"/>
        <v>0</v>
      </c>
      <c r="AL118" s="5">
        <f t="shared" si="184"/>
        <v>0</v>
      </c>
      <c r="AM118" s="5">
        <f t="shared" si="184"/>
        <v>0</v>
      </c>
      <c r="AN118" s="5">
        <f t="shared" si="184"/>
        <v>14771491.439999999</v>
      </c>
      <c r="AO118" s="5"/>
      <c r="AP118" s="5">
        <f>SUM(AP111:AP117)</f>
        <v>3179634</v>
      </c>
      <c r="AQ118" s="5">
        <f t="shared" si="184"/>
        <v>11591857.439999999</v>
      </c>
      <c r="AS118" s="5">
        <f>SUM(AS111:AS117)</f>
        <v>14771491.439999999</v>
      </c>
      <c r="AT118" s="5">
        <f>SUM(AT111:AT117)</f>
        <v>12679.559999999823</v>
      </c>
      <c r="AX118" s="5">
        <f t="shared" ref="AX118:AY118" si="185">SUM(AX111:AX117)</f>
        <v>14784171</v>
      </c>
      <c r="AY118" s="5">
        <f t="shared" si="185"/>
        <v>105711.00000000105</v>
      </c>
      <c r="AZ118" s="5">
        <f>SUM(AZ111:AZ117)</f>
        <v>3285345.0000000009</v>
      </c>
      <c r="BA118" s="5">
        <f t="shared" ref="BA118" si="186">SUM(BA111:BA117)</f>
        <v>11498825.999999998</v>
      </c>
      <c r="BC118" s="5">
        <f>SUM(BC111:BC117)</f>
        <v>14784171</v>
      </c>
      <c r="BD118" s="5">
        <f>SUM(BD111:BD117)</f>
        <v>6420.440000000177</v>
      </c>
      <c r="BH118" s="5">
        <f t="shared" ref="BH118:BI118" si="187">SUM(BH111:BH117)</f>
        <v>14790591.439999999</v>
      </c>
      <c r="BI118" s="5">
        <f t="shared" si="187"/>
        <v>48998.999999998923</v>
      </c>
      <c r="BJ118" s="5">
        <f>SUM(BJ111:BJ117)</f>
        <v>3334344</v>
      </c>
      <c r="BK118" s="5">
        <f t="shared" ref="BK118" si="188">SUM(BK111:BK117)</f>
        <v>11456247.439999999</v>
      </c>
      <c r="BM118" s="5">
        <f>SUM(BM111:BM117)</f>
        <v>14790591.439999999</v>
      </c>
      <c r="BN118" s="5">
        <f>SUM(BN111:BN117)</f>
        <v>2883960.1999999997</v>
      </c>
      <c r="BR118" s="5">
        <f t="shared" ref="BR118:BS118" si="189">SUM(BR111:BR117)</f>
        <v>17674551.640000001</v>
      </c>
      <c r="BS118" s="5">
        <f t="shared" si="189"/>
        <v>1212127.550000001</v>
      </c>
      <c r="BT118" s="5">
        <f>SUM(BT111:BT117)</f>
        <v>4546471.5500000007</v>
      </c>
      <c r="BU118" s="5">
        <f t="shared" ref="BU118" si="190">SUM(BU111:BU117)</f>
        <v>13128080.089999996</v>
      </c>
      <c r="BW118" s="5">
        <f>SUM(BW111:BW117)</f>
        <v>17674551.640000001</v>
      </c>
      <c r="BX118" s="5">
        <f>SUM(BX111:BX117)</f>
        <v>6087306.8000000007</v>
      </c>
      <c r="CB118" s="5">
        <f t="shared" ref="CB118:CC118" si="191">SUM(CB111:CB117)</f>
        <v>23761858.439999998</v>
      </c>
      <c r="CC118" s="5">
        <f t="shared" si="191"/>
        <v>2730485.4499999993</v>
      </c>
      <c r="CD118" s="5">
        <f>SUM(CD111:CD117)</f>
        <v>7276957</v>
      </c>
      <c r="CE118" s="5">
        <f t="shared" ref="CE118" si="192">SUM(CE111:CE117)</f>
        <v>16484901.439999998</v>
      </c>
    </row>
    <row r="119" spans="1:85" ht="15.75" thickTop="1" x14ac:dyDescent="0.25">
      <c r="A119" s="14"/>
      <c r="B119" s="19" t="s">
        <v>278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O119" s="21"/>
      <c r="P119" s="21"/>
      <c r="Q119" s="21"/>
      <c r="R119" s="21"/>
      <c r="S119" s="21"/>
      <c r="T119" s="21"/>
      <c r="U119" s="21"/>
      <c r="V119" s="21"/>
      <c r="W119" s="21"/>
      <c r="Y119" s="21"/>
      <c r="Z119" s="21"/>
      <c r="AA119" s="21"/>
      <c r="AB119" s="21"/>
      <c r="AC119" s="21"/>
      <c r="AD119" s="21"/>
      <c r="AE119" s="21"/>
      <c r="AF119" s="21"/>
      <c r="AG119" s="21"/>
      <c r="AI119" s="4"/>
      <c r="AJ119" s="3"/>
      <c r="AK119" s="3"/>
      <c r="AL119" s="3"/>
      <c r="AM119" s="3"/>
      <c r="AN119" s="21"/>
      <c r="AO119" s="21"/>
      <c r="AP119" s="21"/>
      <c r="AQ119" s="21"/>
      <c r="AS119" s="4"/>
      <c r="AX119" s="21"/>
      <c r="AZ119" s="21"/>
      <c r="BA119" s="21"/>
      <c r="BC119" s="4"/>
      <c r="BH119" s="21"/>
      <c r="BJ119" s="21"/>
      <c r="BK119" s="21"/>
      <c r="BM119" s="4"/>
      <c r="BR119" s="21"/>
      <c r="BT119" s="21"/>
      <c r="BU119" s="21"/>
      <c r="BW119" s="4"/>
      <c r="CB119" s="21"/>
      <c r="CD119" s="21"/>
      <c r="CE119" s="21"/>
    </row>
    <row r="120" spans="1:85" x14ac:dyDescent="0.2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O120" s="21"/>
      <c r="P120" s="21"/>
      <c r="Q120" s="21"/>
      <c r="R120" s="21"/>
      <c r="S120" s="21"/>
      <c r="T120" s="21"/>
      <c r="U120" s="21"/>
      <c r="V120" s="21"/>
      <c r="W120" s="21"/>
      <c r="Y120" s="21"/>
      <c r="Z120" s="21"/>
      <c r="AA120" s="21"/>
      <c r="AB120" s="21"/>
      <c r="AC120" s="21"/>
      <c r="AD120" s="21"/>
      <c r="AE120" s="21"/>
      <c r="AF120" s="21"/>
      <c r="AG120" s="21"/>
      <c r="AI120" s="3"/>
      <c r="AJ120" s="3"/>
      <c r="AK120" s="3"/>
      <c r="AL120" s="3"/>
      <c r="AM120" s="3"/>
      <c r="AN120" s="21"/>
      <c r="AO120" s="21"/>
      <c r="AP120" s="21"/>
      <c r="AQ120" s="21"/>
      <c r="AS120" s="3"/>
      <c r="AX120" s="21"/>
      <c r="AZ120" s="21"/>
      <c r="BA120" s="21"/>
      <c r="BC120" s="3"/>
      <c r="BH120" s="21"/>
      <c r="BJ120" s="21"/>
      <c r="BK120" s="21"/>
      <c r="BM120" s="3"/>
      <c r="BR120" s="21"/>
      <c r="BT120" s="21"/>
      <c r="BU120" s="21"/>
      <c r="BW120" s="3"/>
      <c r="CB120" s="21"/>
      <c r="CD120" s="21"/>
      <c r="CE120" s="21"/>
    </row>
    <row r="121" spans="1:85" outlineLevel="1" x14ac:dyDescent="0.2">
      <c r="A121" s="14" t="str">
        <f t="shared" ref="A121:A131" si="193">+$B$119</f>
        <v>GERENCIAL APOYO</v>
      </c>
      <c r="B121" s="1" t="s">
        <v>302</v>
      </c>
      <c r="C121" s="26">
        <v>272475</v>
      </c>
      <c r="D121" s="26">
        <v>0</v>
      </c>
      <c r="E121" s="26">
        <v>272475</v>
      </c>
      <c r="F121" s="26">
        <v>0</v>
      </c>
      <c r="G121" s="26">
        <v>0</v>
      </c>
      <c r="H121" s="26">
        <v>0</v>
      </c>
      <c r="I121" s="26">
        <v>0</v>
      </c>
      <c r="J121" s="21">
        <f t="shared" ref="J121:J130" si="194">+C121+F121-G121+H121+I121</f>
        <v>272475</v>
      </c>
      <c r="K121" s="21"/>
      <c r="L121" s="21">
        <f>+D121+K121</f>
        <v>0</v>
      </c>
      <c r="M121" s="21">
        <f>+J121-L121</f>
        <v>272475</v>
      </c>
      <c r="O121" s="26">
        <f t="shared" ref="O121:O130" si="195">+J121</f>
        <v>272475</v>
      </c>
      <c r="P121" s="26"/>
      <c r="Q121" s="26">
        <v>9547</v>
      </c>
      <c r="R121" s="26"/>
      <c r="S121" s="26"/>
      <c r="T121" s="21">
        <f>+O121+P121-Q121+R121+S121</f>
        <v>262928</v>
      </c>
      <c r="U121" s="21"/>
      <c r="V121" s="21">
        <f>+L121+U121</f>
        <v>0</v>
      </c>
      <c r="W121" s="21">
        <f>+T121-V121</f>
        <v>262928</v>
      </c>
      <c r="Y121" s="26">
        <f t="shared" ref="Y121:Y130" si="196">+T121</f>
        <v>262928</v>
      </c>
      <c r="Z121" s="26"/>
      <c r="AA121" s="26">
        <v>46122</v>
      </c>
      <c r="AB121" s="26">
        <v>0</v>
      </c>
      <c r="AC121" s="26">
        <v>0</v>
      </c>
      <c r="AD121" s="21">
        <f>+Y121+Z121-AA121+AB121+AC121</f>
        <v>216806</v>
      </c>
      <c r="AE121" s="21"/>
      <c r="AF121" s="21">
        <f>+V121+AE121</f>
        <v>0</v>
      </c>
      <c r="AG121" s="21">
        <f>+AD121-AF121</f>
        <v>216806</v>
      </c>
      <c r="AI121" s="26">
        <f t="shared" ref="AI121:AI130" si="197">+AD121</f>
        <v>216806</v>
      </c>
      <c r="AJ121" s="27"/>
      <c r="AK121" s="27">
        <v>0</v>
      </c>
      <c r="AL121" s="27">
        <v>0</v>
      </c>
      <c r="AM121" s="27">
        <v>0</v>
      </c>
      <c r="AN121" s="21">
        <f t="shared" ref="AN121:AN130" si="198">+AI121+AJ121-AK121+AL121+AM121</f>
        <v>216806</v>
      </c>
      <c r="AO121" s="21"/>
      <c r="AP121" s="21">
        <f>+AF121+AO121</f>
        <v>0</v>
      </c>
      <c r="AQ121" s="14">
        <f t="shared" ref="AQ121:AQ130" si="199">+AN121-AP121</f>
        <v>216806</v>
      </c>
      <c r="AS121" s="26">
        <f t="shared" ref="AS121:AS130" si="200">+AN121</f>
        <v>216806</v>
      </c>
      <c r="AT121" s="21">
        <f>BS01_BS02!$I$23+BS01_BS02!$I$22</f>
        <v>0</v>
      </c>
      <c r="AX121" s="21">
        <f t="shared" ref="AX121:AX130" si="201">+AS121+AT121-AU121+AV121+AW121</f>
        <v>216806</v>
      </c>
      <c r="AY121" s="21">
        <f>BS01_BS02!$I$65+BS01_BS02!$I$66</f>
        <v>0</v>
      </c>
      <c r="AZ121" s="21">
        <f>+AP121+AY121</f>
        <v>0</v>
      </c>
      <c r="BA121" s="14">
        <f t="shared" ref="BA121:BA130" si="202">+AX121-AZ121</f>
        <v>216806</v>
      </c>
      <c r="BC121" s="26">
        <f t="shared" ref="BC121:BC130" si="203">+AX121</f>
        <v>216806</v>
      </c>
      <c r="BD121" s="21">
        <f>BS01_BS02!$J$23+BS01_BS02!$J$22</f>
        <v>0</v>
      </c>
      <c r="BH121" s="21">
        <f t="shared" ref="BH121:BH130" si="204">+BC121+BD121-BE121+BF121+BG121</f>
        <v>216806</v>
      </c>
      <c r="BI121" s="21">
        <f>BS01_BS02!$J$65+BS01_BS02!$J$66</f>
        <v>0</v>
      </c>
      <c r="BJ121" s="21">
        <f>+AZ121+BI121</f>
        <v>0</v>
      </c>
      <c r="BK121" s="14">
        <f t="shared" ref="BK121:BK130" si="205">+BH121-BJ121</f>
        <v>216806</v>
      </c>
      <c r="BM121" s="26">
        <f t="shared" ref="BM121:BM130" si="206">+BH121</f>
        <v>216806</v>
      </c>
      <c r="BN121" s="21">
        <f>BS01_BS02!$K$23+BS01_BS02!$K$22</f>
        <v>0</v>
      </c>
      <c r="BR121" s="21">
        <f t="shared" ref="BR121:BR130" si="207">+BM121+BN121-BO121+BP121+BQ121</f>
        <v>216806</v>
      </c>
      <c r="BS121" s="21">
        <f>BS01_BS02!$K$65+BS01_BS02!$K$66</f>
        <v>0</v>
      </c>
      <c r="BT121" s="21">
        <f>+BJ121+BS121</f>
        <v>0</v>
      </c>
      <c r="BU121" s="14">
        <f t="shared" ref="BU121:BU130" si="208">+BR121-BT121</f>
        <v>216806</v>
      </c>
      <c r="BW121" s="26">
        <f t="shared" ref="BW121:BW130" si="209">+BR121</f>
        <v>216806</v>
      </c>
      <c r="BX121" s="21">
        <f>BS01_BS02!$L$23+BS01_BS02!$L$22</f>
        <v>0</v>
      </c>
      <c r="CB121" s="21">
        <f t="shared" ref="CB121:CB130" si="210">+BW121+BX121-BY121+BZ121+CA121</f>
        <v>216806</v>
      </c>
      <c r="CC121" s="21">
        <f>BS01_BS02!$L$65+BS01_BS02!$L$66</f>
        <v>0</v>
      </c>
      <c r="CD121" s="21">
        <f>+BT121+CC121</f>
        <v>0</v>
      </c>
      <c r="CE121" s="14">
        <f t="shared" ref="CE121:CE130" si="211">+CB121-CD121</f>
        <v>216806</v>
      </c>
      <c r="CG121" s="21"/>
    </row>
    <row r="122" spans="1:85" outlineLevel="1" x14ac:dyDescent="0.2">
      <c r="A122" s="14" t="str">
        <f t="shared" si="193"/>
        <v>GERENCIAL APOYO</v>
      </c>
      <c r="B122" s="1" t="s">
        <v>303</v>
      </c>
      <c r="C122" s="26">
        <v>981996</v>
      </c>
      <c r="D122" s="26">
        <v>328336</v>
      </c>
      <c r="E122" s="26">
        <v>653660</v>
      </c>
      <c r="F122" s="26">
        <v>0</v>
      </c>
      <c r="G122" s="26">
        <v>0</v>
      </c>
      <c r="H122" s="26">
        <v>0</v>
      </c>
      <c r="I122" s="26">
        <v>0</v>
      </c>
      <c r="J122" s="21">
        <f t="shared" si="194"/>
        <v>981996</v>
      </c>
      <c r="K122" s="21">
        <v>104973</v>
      </c>
      <c r="L122" s="21">
        <f t="shared" ref="L122:L130" si="212">+D122+K122</f>
        <v>433309</v>
      </c>
      <c r="M122" s="21">
        <f t="shared" ref="M122:M130" si="213">+J122-L122</f>
        <v>548687</v>
      </c>
      <c r="O122" s="26">
        <f t="shared" si="195"/>
        <v>981996</v>
      </c>
      <c r="P122" s="320"/>
      <c r="Q122" s="26"/>
      <c r="R122" s="26"/>
      <c r="S122" s="26"/>
      <c r="T122" s="21">
        <f>+O122+P122-Q122+R122+S122</f>
        <v>981996</v>
      </c>
      <c r="U122" s="21">
        <v>136225</v>
      </c>
      <c r="V122" s="21">
        <f t="shared" ref="V122:V130" si="214">+L122+U122</f>
        <v>569534</v>
      </c>
      <c r="W122" s="21">
        <f t="shared" ref="W122:W130" si="215">+T122-V122</f>
        <v>412462</v>
      </c>
      <c r="Y122" s="26">
        <f t="shared" si="196"/>
        <v>981996</v>
      </c>
      <c r="Z122" s="26"/>
      <c r="AA122" s="26">
        <v>0</v>
      </c>
      <c r="AB122" s="26">
        <v>0</v>
      </c>
      <c r="AC122" s="26">
        <v>0</v>
      </c>
      <c r="AD122" s="21">
        <f>+Y122+Z122-AA122+AB122+AC122</f>
        <v>981996</v>
      </c>
      <c r="AE122" s="21">
        <v>95759</v>
      </c>
      <c r="AF122" s="21">
        <f t="shared" ref="AF122:AF130" si="216">+V122+AE122</f>
        <v>665293</v>
      </c>
      <c r="AG122" s="21">
        <f t="shared" ref="AG122:AG130" si="217">+AD122-AF122</f>
        <v>316703</v>
      </c>
      <c r="AI122" s="26">
        <f t="shared" si="197"/>
        <v>981996</v>
      </c>
      <c r="AJ122" s="27"/>
      <c r="AK122" s="27">
        <v>0</v>
      </c>
      <c r="AL122" s="27">
        <v>7516</v>
      </c>
      <c r="AM122" s="27">
        <v>0</v>
      </c>
      <c r="AN122" s="21">
        <f t="shared" si="198"/>
        <v>989512</v>
      </c>
      <c r="AO122" s="21">
        <v>114288</v>
      </c>
      <c r="AP122" s="21">
        <f t="shared" ref="AP122:AP130" si="218">+AF122+AO122</f>
        <v>779581</v>
      </c>
      <c r="AQ122" s="14">
        <f t="shared" si="199"/>
        <v>209931</v>
      </c>
      <c r="AS122" s="26">
        <f t="shared" si="200"/>
        <v>989512</v>
      </c>
      <c r="AT122" s="21">
        <f>BS01_BS02!$I$24</f>
        <v>17137.930000000633</v>
      </c>
      <c r="AX122" s="21">
        <f t="shared" si="201"/>
        <v>1006649.9300000006</v>
      </c>
      <c r="AY122" s="21">
        <f>BS01_BS02!$I$67</f>
        <v>116836.54000000004</v>
      </c>
      <c r="AZ122" s="21">
        <f t="shared" ref="AZ122:AZ130" si="219">+AP122+AY122</f>
        <v>896417.54</v>
      </c>
      <c r="BA122" s="14">
        <f t="shared" si="202"/>
        <v>110232.3900000006</v>
      </c>
      <c r="BC122" s="26">
        <f t="shared" si="203"/>
        <v>1006649.9300000006</v>
      </c>
      <c r="BD122" s="21">
        <f>BS01_BS02!$J$24</f>
        <v>0</v>
      </c>
      <c r="BH122" s="21">
        <f t="shared" si="204"/>
        <v>1006649.9300000006</v>
      </c>
      <c r="BI122" s="21">
        <f>BS01_BS02!$J$67</f>
        <v>49414.459999999963</v>
      </c>
      <c r="BJ122" s="21">
        <f t="shared" ref="BJ122:BJ130" si="220">+AZ122+BI122</f>
        <v>945832</v>
      </c>
      <c r="BK122" s="14">
        <f t="shared" si="205"/>
        <v>60817.930000000633</v>
      </c>
      <c r="BM122" s="26">
        <f t="shared" si="206"/>
        <v>1006649.9300000006</v>
      </c>
      <c r="BN122" s="21">
        <f>BS01_BS02!$K$24</f>
        <v>205049.45000000019</v>
      </c>
      <c r="BR122" s="21">
        <f t="shared" si="207"/>
        <v>1211699.3800000008</v>
      </c>
      <c r="BS122" s="21">
        <f>BS01_BS02!$K$67</f>
        <v>53944.709999999963</v>
      </c>
      <c r="BT122" s="21">
        <f t="shared" ref="BT122:BT130" si="221">+BJ122+BS122</f>
        <v>999776.71</v>
      </c>
      <c r="BU122" s="14">
        <f t="shared" si="208"/>
        <v>211922.67000000086</v>
      </c>
      <c r="BW122" s="26">
        <f t="shared" si="209"/>
        <v>1211699.3800000008</v>
      </c>
      <c r="BX122" s="21">
        <f>BS01_BS02!$L$24</f>
        <v>974661.61999999918</v>
      </c>
      <c r="CB122" s="21">
        <f t="shared" si="210"/>
        <v>2186361</v>
      </c>
      <c r="CC122" s="21">
        <f>BS01_BS02!$L$67</f>
        <v>68979.290000000037</v>
      </c>
      <c r="CD122" s="21">
        <f t="shared" ref="CD122:CD130" si="222">+BT122+CC122</f>
        <v>1068756</v>
      </c>
      <c r="CE122" s="14">
        <f t="shared" si="211"/>
        <v>1117605</v>
      </c>
      <c r="CG122" s="21"/>
    </row>
    <row r="123" spans="1:85" outlineLevel="1" x14ac:dyDescent="0.2">
      <c r="A123" s="14" t="str">
        <f t="shared" si="193"/>
        <v>GERENCIAL APOYO</v>
      </c>
      <c r="B123" s="1" t="s">
        <v>307</v>
      </c>
      <c r="C123" s="26">
        <v>554148</v>
      </c>
      <c r="D123" s="26">
        <v>407932</v>
      </c>
      <c r="E123" s="26">
        <v>146216</v>
      </c>
      <c r="F123" s="26">
        <v>0</v>
      </c>
      <c r="G123" s="26">
        <v>0</v>
      </c>
      <c r="H123" s="26">
        <v>0</v>
      </c>
      <c r="I123" s="26">
        <v>0</v>
      </c>
      <c r="J123" s="21">
        <f t="shared" si="194"/>
        <v>554148</v>
      </c>
      <c r="K123" s="21"/>
      <c r="L123" s="21">
        <f t="shared" si="212"/>
        <v>407932</v>
      </c>
      <c r="M123" s="21">
        <f t="shared" si="213"/>
        <v>146216</v>
      </c>
      <c r="O123" s="26">
        <f t="shared" si="195"/>
        <v>554148</v>
      </c>
      <c r="P123" s="26"/>
      <c r="Q123" s="26"/>
      <c r="R123" s="26"/>
      <c r="S123" s="26"/>
      <c r="T123" s="21">
        <f t="shared" ref="T123:T130" si="223">+O123+P123-Q123+R123+S123</f>
        <v>554148</v>
      </c>
      <c r="U123" s="21"/>
      <c r="V123" s="21">
        <f t="shared" si="214"/>
        <v>407932</v>
      </c>
      <c r="W123" s="21">
        <f t="shared" si="215"/>
        <v>146216</v>
      </c>
      <c r="Y123" s="26">
        <f t="shared" si="196"/>
        <v>554148</v>
      </c>
      <c r="Z123" s="26"/>
      <c r="AA123" s="26">
        <v>0</v>
      </c>
      <c r="AB123" s="26">
        <v>0</v>
      </c>
      <c r="AC123" s="26">
        <v>0</v>
      </c>
      <c r="AD123" s="21">
        <f t="shared" ref="AD123:AD125" si="224">+Y123+Z123-AA123+AB123+AC123</f>
        <v>554148</v>
      </c>
      <c r="AE123" s="21"/>
      <c r="AF123" s="21">
        <f t="shared" si="216"/>
        <v>407932</v>
      </c>
      <c r="AG123" s="21">
        <f t="shared" si="217"/>
        <v>146216</v>
      </c>
      <c r="AI123" s="26">
        <f t="shared" si="197"/>
        <v>554148</v>
      </c>
      <c r="AJ123" s="27"/>
      <c r="AK123" s="27">
        <v>0</v>
      </c>
      <c r="AL123" s="27">
        <v>0</v>
      </c>
      <c r="AM123" s="27">
        <v>0</v>
      </c>
      <c r="AN123" s="21">
        <f t="shared" si="198"/>
        <v>554148</v>
      </c>
      <c r="AO123" s="21"/>
      <c r="AP123" s="21">
        <f t="shared" si="218"/>
        <v>407932</v>
      </c>
      <c r="AQ123" s="14">
        <f t="shared" si="199"/>
        <v>146216</v>
      </c>
      <c r="AS123" s="26">
        <f t="shared" si="200"/>
        <v>554148</v>
      </c>
      <c r="AT123" s="21">
        <f>BS01_BS02!$I$27</f>
        <v>989444.78999999911</v>
      </c>
      <c r="AX123" s="21">
        <f t="shared" si="201"/>
        <v>1543592.7899999991</v>
      </c>
      <c r="AY123" s="21">
        <f>BS01_BS02!$I$70</f>
        <v>1505792.3900000006</v>
      </c>
      <c r="AZ123" s="21">
        <f t="shared" si="219"/>
        <v>1913724.3900000006</v>
      </c>
      <c r="BA123" s="14">
        <f t="shared" si="202"/>
        <v>-370131.60000000149</v>
      </c>
      <c r="BC123" s="26">
        <f t="shared" si="203"/>
        <v>1543592.7899999991</v>
      </c>
      <c r="BD123" s="21">
        <f>BS01_BS02!$J$27</f>
        <v>827114.71000000089</v>
      </c>
      <c r="BH123" s="21">
        <f t="shared" si="204"/>
        <v>2370707.5</v>
      </c>
      <c r="BI123" s="21">
        <f>BS01_BS02!$J$70</f>
        <v>1106133.6099999994</v>
      </c>
      <c r="BJ123" s="21">
        <f t="shared" si="220"/>
        <v>3019858</v>
      </c>
      <c r="BK123" s="14">
        <f t="shared" si="205"/>
        <v>-649150.5</v>
      </c>
      <c r="BM123" s="26">
        <f t="shared" si="206"/>
        <v>2370707.5</v>
      </c>
      <c r="BN123" s="21">
        <f>BS01_BS02!$K$27</f>
        <v>1119358.6400000006</v>
      </c>
      <c r="BR123" s="21">
        <f t="shared" si="207"/>
        <v>3490066.1400000006</v>
      </c>
      <c r="BS123" s="21">
        <f>BS01_BS02!$K$70</f>
        <v>1714483.1400000006</v>
      </c>
      <c r="BT123" s="21">
        <f t="shared" si="221"/>
        <v>4734341.1400000006</v>
      </c>
      <c r="BU123" s="14">
        <f t="shared" si="208"/>
        <v>-1244275</v>
      </c>
      <c r="BW123" s="26">
        <f t="shared" si="209"/>
        <v>3490066.1400000006</v>
      </c>
      <c r="BX123" s="21">
        <f>BS01_BS02!$L$27</f>
        <v>1222562.8599999994</v>
      </c>
      <c r="CB123" s="21">
        <f t="shared" si="210"/>
        <v>4712629</v>
      </c>
      <c r="CC123" s="21">
        <f>BS01_BS02!$L$70</f>
        <v>1665908.8599999994</v>
      </c>
      <c r="CD123" s="21">
        <f t="shared" si="222"/>
        <v>6400250</v>
      </c>
      <c r="CE123" s="14">
        <f t="shared" si="211"/>
        <v>-1687621</v>
      </c>
      <c r="CG123" s="21"/>
    </row>
    <row r="124" spans="1:85" outlineLevel="1" x14ac:dyDescent="0.2">
      <c r="A124" s="14" t="str">
        <f t="shared" si="193"/>
        <v>GERENCIAL APOYO</v>
      </c>
      <c r="B124" s="1" t="s">
        <v>323</v>
      </c>
      <c r="C124" s="26">
        <v>1286786</v>
      </c>
      <c r="D124" s="26">
        <v>1285540</v>
      </c>
      <c r="E124" s="26">
        <v>1247</v>
      </c>
      <c r="F124" s="26">
        <v>0</v>
      </c>
      <c r="G124" s="26">
        <v>0</v>
      </c>
      <c r="H124" s="26">
        <v>0</v>
      </c>
      <c r="I124" s="26">
        <v>0</v>
      </c>
      <c r="J124" s="21">
        <f t="shared" si="194"/>
        <v>1286786</v>
      </c>
      <c r="K124" s="21"/>
      <c r="L124" s="21">
        <f t="shared" si="212"/>
        <v>1285540</v>
      </c>
      <c r="M124" s="21">
        <f t="shared" si="213"/>
        <v>1246</v>
      </c>
      <c r="O124" s="26">
        <f t="shared" si="195"/>
        <v>1286786</v>
      </c>
      <c r="P124" s="26"/>
      <c r="Q124" s="26"/>
      <c r="R124" s="26"/>
      <c r="S124" s="26"/>
      <c r="T124" s="21">
        <f t="shared" si="223"/>
        <v>1286786</v>
      </c>
      <c r="U124" s="21"/>
      <c r="V124" s="21">
        <f t="shared" si="214"/>
        <v>1285540</v>
      </c>
      <c r="W124" s="21">
        <f t="shared" si="215"/>
        <v>1246</v>
      </c>
      <c r="Y124" s="26">
        <f t="shared" si="196"/>
        <v>1286786</v>
      </c>
      <c r="Z124" s="26"/>
      <c r="AA124" s="26">
        <v>0</v>
      </c>
      <c r="AB124" s="26">
        <v>0</v>
      </c>
      <c r="AC124" s="26">
        <v>0</v>
      </c>
      <c r="AD124" s="21">
        <f t="shared" si="224"/>
        <v>1286786</v>
      </c>
      <c r="AE124" s="21"/>
      <c r="AF124" s="21">
        <f t="shared" si="216"/>
        <v>1285540</v>
      </c>
      <c r="AG124" s="21">
        <f t="shared" si="217"/>
        <v>1246</v>
      </c>
      <c r="AI124" s="26">
        <f t="shared" si="197"/>
        <v>1286786</v>
      </c>
      <c r="AJ124" s="27"/>
      <c r="AK124" s="27">
        <v>0</v>
      </c>
      <c r="AL124" s="27">
        <v>0</v>
      </c>
      <c r="AM124" s="27">
        <v>0</v>
      </c>
      <c r="AN124" s="21">
        <f t="shared" si="198"/>
        <v>1286786</v>
      </c>
      <c r="AO124" s="21"/>
      <c r="AP124" s="21">
        <f t="shared" si="218"/>
        <v>1285540</v>
      </c>
      <c r="AQ124" s="14">
        <f t="shared" si="199"/>
        <v>1246</v>
      </c>
      <c r="AS124" s="26">
        <f t="shared" si="200"/>
        <v>1286786</v>
      </c>
      <c r="AX124" s="21">
        <f t="shared" si="201"/>
        <v>1286786</v>
      </c>
      <c r="AZ124" s="21">
        <f t="shared" si="219"/>
        <v>1285540</v>
      </c>
      <c r="BA124" s="14">
        <f t="shared" si="202"/>
        <v>1246</v>
      </c>
      <c r="BC124" s="26">
        <f t="shared" si="203"/>
        <v>1286786</v>
      </c>
      <c r="BH124" s="21">
        <f t="shared" si="204"/>
        <v>1286786</v>
      </c>
      <c r="BJ124" s="21">
        <f t="shared" si="220"/>
        <v>1285540</v>
      </c>
      <c r="BK124" s="14">
        <f t="shared" si="205"/>
        <v>1246</v>
      </c>
      <c r="BM124" s="26">
        <f t="shared" si="206"/>
        <v>1286786</v>
      </c>
      <c r="BR124" s="21">
        <f t="shared" si="207"/>
        <v>1286786</v>
      </c>
      <c r="BT124" s="21">
        <f t="shared" si="221"/>
        <v>1285540</v>
      </c>
      <c r="BU124" s="14">
        <f t="shared" si="208"/>
        <v>1246</v>
      </c>
      <c r="BW124" s="26">
        <f t="shared" si="209"/>
        <v>1286786</v>
      </c>
      <c r="CB124" s="21">
        <f t="shared" si="210"/>
        <v>1286786</v>
      </c>
      <c r="CD124" s="21">
        <f t="shared" si="222"/>
        <v>1285540</v>
      </c>
      <c r="CE124" s="14">
        <f t="shared" si="211"/>
        <v>1246</v>
      </c>
      <c r="CG124" s="21"/>
    </row>
    <row r="125" spans="1:85" outlineLevel="1" x14ac:dyDescent="0.2">
      <c r="A125" s="14" t="str">
        <f t="shared" si="193"/>
        <v>GERENCIAL APOYO</v>
      </c>
      <c r="B125" s="1" t="s">
        <v>311</v>
      </c>
      <c r="C125" s="26">
        <v>316816</v>
      </c>
      <c r="D125" s="26">
        <v>50471</v>
      </c>
      <c r="E125" s="26">
        <v>266345</v>
      </c>
      <c r="F125" s="26">
        <v>0</v>
      </c>
      <c r="G125" s="26">
        <v>0</v>
      </c>
      <c r="H125" s="26">
        <v>0</v>
      </c>
      <c r="I125" s="26">
        <v>0</v>
      </c>
      <c r="J125" s="21">
        <f t="shared" si="194"/>
        <v>316816</v>
      </c>
      <c r="K125" s="21"/>
      <c r="L125" s="21">
        <f t="shared" si="212"/>
        <v>50471</v>
      </c>
      <c r="M125" s="21">
        <f t="shared" si="213"/>
        <v>266345</v>
      </c>
      <c r="O125" s="26">
        <f t="shared" si="195"/>
        <v>316816</v>
      </c>
      <c r="P125" s="26"/>
      <c r="Q125" s="26"/>
      <c r="R125" s="26"/>
      <c r="S125" s="26"/>
      <c r="T125" s="21">
        <f t="shared" si="223"/>
        <v>316816</v>
      </c>
      <c r="U125" s="21"/>
      <c r="V125" s="21">
        <f t="shared" si="214"/>
        <v>50471</v>
      </c>
      <c r="W125" s="21">
        <f t="shared" si="215"/>
        <v>266345</v>
      </c>
      <c r="Y125" s="26">
        <f t="shared" si="196"/>
        <v>316816</v>
      </c>
      <c r="Z125" s="26"/>
      <c r="AA125" s="26">
        <v>0</v>
      </c>
      <c r="AB125" s="26">
        <v>0</v>
      </c>
      <c r="AC125" s="26">
        <v>0</v>
      </c>
      <c r="AD125" s="21">
        <f t="shared" si="224"/>
        <v>316816</v>
      </c>
      <c r="AE125" s="21"/>
      <c r="AF125" s="21">
        <f t="shared" si="216"/>
        <v>50471</v>
      </c>
      <c r="AG125" s="21">
        <f t="shared" si="217"/>
        <v>266345</v>
      </c>
      <c r="AI125" s="26">
        <f t="shared" si="197"/>
        <v>316816</v>
      </c>
      <c r="AJ125" s="27"/>
      <c r="AK125" s="27">
        <v>0</v>
      </c>
      <c r="AL125" s="27">
        <v>0</v>
      </c>
      <c r="AM125" s="27">
        <v>0</v>
      </c>
      <c r="AN125" s="21">
        <f t="shared" si="198"/>
        <v>316816</v>
      </c>
      <c r="AO125" s="21"/>
      <c r="AP125" s="21">
        <f t="shared" si="218"/>
        <v>50471</v>
      </c>
      <c r="AQ125" s="14">
        <f t="shared" si="199"/>
        <v>266345</v>
      </c>
      <c r="AS125" s="26">
        <f t="shared" si="200"/>
        <v>316816</v>
      </c>
      <c r="AX125" s="21">
        <f t="shared" si="201"/>
        <v>316816</v>
      </c>
      <c r="AZ125" s="21">
        <f t="shared" si="219"/>
        <v>50471</v>
      </c>
      <c r="BA125" s="14">
        <f t="shared" si="202"/>
        <v>266345</v>
      </c>
      <c r="BC125" s="26">
        <f t="shared" si="203"/>
        <v>316816</v>
      </c>
      <c r="BH125" s="21">
        <f t="shared" si="204"/>
        <v>316816</v>
      </c>
      <c r="BJ125" s="21">
        <f t="shared" si="220"/>
        <v>50471</v>
      </c>
      <c r="BK125" s="14">
        <f t="shared" si="205"/>
        <v>266345</v>
      </c>
      <c r="BM125" s="26">
        <f t="shared" si="206"/>
        <v>316816</v>
      </c>
      <c r="BR125" s="21">
        <f t="shared" si="207"/>
        <v>316816</v>
      </c>
      <c r="BT125" s="21">
        <f t="shared" si="221"/>
        <v>50471</v>
      </c>
      <c r="BU125" s="14">
        <f t="shared" si="208"/>
        <v>266345</v>
      </c>
      <c r="BW125" s="26">
        <f t="shared" si="209"/>
        <v>316816</v>
      </c>
      <c r="CB125" s="21">
        <f t="shared" si="210"/>
        <v>316816</v>
      </c>
      <c r="CD125" s="21">
        <f t="shared" si="222"/>
        <v>50471</v>
      </c>
      <c r="CE125" s="14">
        <f t="shared" si="211"/>
        <v>266345</v>
      </c>
      <c r="CG125" s="21"/>
    </row>
    <row r="126" spans="1:85" outlineLevel="1" x14ac:dyDescent="0.2">
      <c r="A126" s="14" t="str">
        <f t="shared" si="193"/>
        <v>GERENCIAL APOYO</v>
      </c>
      <c r="B126" s="1" t="s">
        <v>312</v>
      </c>
      <c r="C126" s="26">
        <v>16759306</v>
      </c>
      <c r="D126" s="26">
        <v>12498975</v>
      </c>
      <c r="E126" s="26">
        <v>4260331</v>
      </c>
      <c r="F126" s="320"/>
      <c r="G126" s="26">
        <v>0</v>
      </c>
      <c r="H126" s="26">
        <v>0</v>
      </c>
      <c r="I126" s="26">
        <v>0</v>
      </c>
      <c r="J126" s="21">
        <f t="shared" si="194"/>
        <v>16759306</v>
      </c>
      <c r="K126" s="21"/>
      <c r="L126" s="21">
        <f t="shared" si="212"/>
        <v>12498975</v>
      </c>
      <c r="M126" s="21">
        <f t="shared" si="213"/>
        <v>4260331</v>
      </c>
      <c r="O126" s="26">
        <f t="shared" si="195"/>
        <v>16759306</v>
      </c>
      <c r="P126" s="320"/>
      <c r="Q126" s="26"/>
      <c r="R126" s="26"/>
      <c r="S126" s="26"/>
      <c r="T126" s="21">
        <f t="shared" si="223"/>
        <v>16759306</v>
      </c>
      <c r="U126" s="21"/>
      <c r="V126" s="21">
        <f t="shared" si="214"/>
        <v>12498975</v>
      </c>
      <c r="W126" s="21">
        <f t="shared" si="215"/>
        <v>4260331</v>
      </c>
      <c r="Y126" s="26">
        <f t="shared" si="196"/>
        <v>16759306</v>
      </c>
      <c r="Z126" s="26"/>
      <c r="AA126" s="26">
        <v>0</v>
      </c>
      <c r="AB126" s="26">
        <v>0</v>
      </c>
      <c r="AC126" s="26">
        <v>0</v>
      </c>
      <c r="AD126" s="21">
        <f>+Y126+Z126-AA126+AB126+AC126</f>
        <v>16759306</v>
      </c>
      <c r="AE126" s="21">
        <v>1017405</v>
      </c>
      <c r="AF126" s="21">
        <f t="shared" si="216"/>
        <v>13516380</v>
      </c>
      <c r="AG126" s="21">
        <f t="shared" si="217"/>
        <v>3242926</v>
      </c>
      <c r="AI126" s="26">
        <f t="shared" si="197"/>
        <v>16759306</v>
      </c>
      <c r="AJ126" s="321"/>
      <c r="AK126" s="27">
        <v>0</v>
      </c>
      <c r="AL126" s="27">
        <v>412619</v>
      </c>
      <c r="AM126" s="27">
        <v>0</v>
      </c>
      <c r="AN126" s="21">
        <f t="shared" si="198"/>
        <v>17171925</v>
      </c>
      <c r="AO126" s="21"/>
      <c r="AP126" s="21">
        <f t="shared" si="218"/>
        <v>13516380</v>
      </c>
      <c r="AQ126" s="14">
        <f t="shared" si="199"/>
        <v>3655545</v>
      </c>
      <c r="AS126" s="26">
        <f t="shared" si="200"/>
        <v>17171925</v>
      </c>
      <c r="AX126" s="21">
        <f t="shared" si="201"/>
        <v>17171925</v>
      </c>
      <c r="AZ126" s="21">
        <f t="shared" si="219"/>
        <v>13516380</v>
      </c>
      <c r="BA126" s="14">
        <f t="shared" si="202"/>
        <v>3655545</v>
      </c>
      <c r="BC126" s="26">
        <f t="shared" si="203"/>
        <v>17171925</v>
      </c>
      <c r="BH126" s="21">
        <f t="shared" si="204"/>
        <v>17171925</v>
      </c>
      <c r="BJ126" s="21">
        <f t="shared" si="220"/>
        <v>13516380</v>
      </c>
      <c r="BK126" s="14">
        <f t="shared" si="205"/>
        <v>3655545</v>
      </c>
      <c r="BM126" s="26">
        <f t="shared" si="206"/>
        <v>17171925</v>
      </c>
      <c r="BR126" s="21">
        <f t="shared" si="207"/>
        <v>17171925</v>
      </c>
      <c r="BT126" s="21">
        <f t="shared" si="221"/>
        <v>13516380</v>
      </c>
      <c r="BU126" s="14">
        <f t="shared" si="208"/>
        <v>3655545</v>
      </c>
      <c r="BW126" s="26">
        <f t="shared" si="209"/>
        <v>17171925</v>
      </c>
      <c r="CB126" s="21">
        <f t="shared" si="210"/>
        <v>17171925</v>
      </c>
      <c r="CD126" s="21">
        <f t="shared" si="222"/>
        <v>13516380</v>
      </c>
      <c r="CE126" s="14">
        <f t="shared" si="211"/>
        <v>3655545</v>
      </c>
      <c r="CG126" s="21"/>
    </row>
    <row r="127" spans="1:85" outlineLevel="1" x14ac:dyDescent="0.2">
      <c r="A127" s="14" t="str">
        <f t="shared" si="193"/>
        <v>GERENCIAL APOYO</v>
      </c>
      <c r="B127" s="1" t="s">
        <v>324</v>
      </c>
      <c r="C127" s="26">
        <v>15851735</v>
      </c>
      <c r="D127" s="26">
        <v>13863779</v>
      </c>
      <c r="E127" s="26">
        <v>1987956</v>
      </c>
      <c r="F127" s="723">
        <v>588000</v>
      </c>
      <c r="G127" s="26">
        <v>0</v>
      </c>
      <c r="H127" s="26">
        <v>0</v>
      </c>
      <c r="I127" s="26">
        <v>0</v>
      </c>
      <c r="J127" s="21">
        <f t="shared" si="194"/>
        <v>16439735</v>
      </c>
      <c r="K127" s="21">
        <v>484205</v>
      </c>
      <c r="L127" s="21">
        <f t="shared" si="212"/>
        <v>14347984</v>
      </c>
      <c r="M127" s="21">
        <f t="shared" si="213"/>
        <v>2091751</v>
      </c>
      <c r="O127" s="26">
        <f t="shared" si="195"/>
        <v>16439735</v>
      </c>
      <c r="P127" s="723">
        <v>1806000</v>
      </c>
      <c r="Q127" s="320">
        <v>14820768</v>
      </c>
      <c r="R127" s="26"/>
      <c r="S127" s="30"/>
      <c r="T127" s="21">
        <f t="shared" si="223"/>
        <v>3424967</v>
      </c>
      <c r="U127" s="21">
        <v>942949</v>
      </c>
      <c r="V127" s="320">
        <f>+L127+U127-14820768</f>
        <v>470165</v>
      </c>
      <c r="W127" s="21">
        <f t="shared" si="215"/>
        <v>2954802</v>
      </c>
      <c r="Y127" s="26">
        <f t="shared" si="196"/>
        <v>3424967</v>
      </c>
      <c r="Z127" s="26">
        <f>+Z45</f>
        <v>1701000</v>
      </c>
      <c r="AA127" s="26">
        <v>0</v>
      </c>
      <c r="AB127" s="26">
        <v>0</v>
      </c>
      <c r="AC127" s="26">
        <v>0</v>
      </c>
      <c r="AD127" s="21">
        <f t="shared" ref="AD127:AD130" si="225">+Y127+Z127-AA127+AB127+AC127</f>
        <v>5125967</v>
      </c>
      <c r="AE127" s="21">
        <v>748277</v>
      </c>
      <c r="AF127" s="21">
        <f t="shared" si="216"/>
        <v>1218442</v>
      </c>
      <c r="AG127" s="21">
        <f t="shared" si="217"/>
        <v>3907525</v>
      </c>
      <c r="AI127" s="26">
        <f t="shared" si="197"/>
        <v>5125967</v>
      </c>
      <c r="AJ127" s="27">
        <f>+AJ45</f>
        <v>764701</v>
      </c>
      <c r="AK127" s="27">
        <v>0</v>
      </c>
      <c r="AL127" s="27">
        <v>-94</v>
      </c>
      <c r="AM127" s="27">
        <v>0</v>
      </c>
      <c r="AN127" s="21">
        <f t="shared" si="198"/>
        <v>5890574</v>
      </c>
      <c r="AO127" s="21">
        <v>1304839</v>
      </c>
      <c r="AP127" s="21">
        <f t="shared" si="218"/>
        <v>2523281</v>
      </c>
      <c r="AQ127" s="14">
        <f t="shared" si="199"/>
        <v>3367293</v>
      </c>
      <c r="AS127" s="26">
        <f t="shared" si="200"/>
        <v>5890574</v>
      </c>
      <c r="AT127" s="21">
        <f>BS01_BS02!$I$25</f>
        <v>2452806.2899999991</v>
      </c>
      <c r="AX127" s="21">
        <f t="shared" si="201"/>
        <v>8343380.2899999991</v>
      </c>
      <c r="AY127" s="21">
        <f>BS01_BS02!$I$68</f>
        <v>2674120.7300000004</v>
      </c>
      <c r="AZ127" s="21">
        <f t="shared" si="219"/>
        <v>5197401.7300000004</v>
      </c>
      <c r="BA127" s="14">
        <f t="shared" si="202"/>
        <v>3145978.5599999987</v>
      </c>
      <c r="BC127" s="26">
        <f t="shared" si="203"/>
        <v>8343380.2899999991</v>
      </c>
      <c r="BD127" s="21">
        <f>BS01_BS02!$J$25</f>
        <v>340123.71000000089</v>
      </c>
      <c r="BH127" s="21">
        <f t="shared" si="204"/>
        <v>8683504</v>
      </c>
      <c r="BI127" s="21">
        <f>BS01_BS02!$J$68</f>
        <v>1529337.2699999996</v>
      </c>
      <c r="BJ127" s="21">
        <f t="shared" si="220"/>
        <v>6726739</v>
      </c>
      <c r="BK127" s="14">
        <f t="shared" si="205"/>
        <v>1956765</v>
      </c>
      <c r="BM127" s="26">
        <f t="shared" si="206"/>
        <v>8683504</v>
      </c>
      <c r="BN127" s="21">
        <f>BS01_BS02!$K$25</f>
        <v>733119.15000000037</v>
      </c>
      <c r="BR127" s="21">
        <f t="shared" si="207"/>
        <v>9416623.1500000004</v>
      </c>
      <c r="BS127" s="21">
        <f>BS01_BS02!$K$68</f>
        <v>1070670.9000000004</v>
      </c>
      <c r="BT127" s="21">
        <f t="shared" si="221"/>
        <v>7797409.9000000004</v>
      </c>
      <c r="BU127" s="14">
        <f t="shared" si="208"/>
        <v>1619213.25</v>
      </c>
      <c r="BW127" s="26">
        <f t="shared" si="209"/>
        <v>9416623.1500000004</v>
      </c>
      <c r="BX127" s="21">
        <f>BS01_BS02!$L$25</f>
        <v>4796554.8499999996</v>
      </c>
      <c r="CB127" s="21">
        <f t="shared" si="210"/>
        <v>14213178</v>
      </c>
      <c r="CC127" s="21">
        <f>BS01_BS02!$L$68</f>
        <v>1995065.0999999996</v>
      </c>
      <c r="CD127" s="21">
        <f t="shared" si="222"/>
        <v>9792475</v>
      </c>
      <c r="CE127" s="14">
        <f t="shared" si="211"/>
        <v>4420703</v>
      </c>
      <c r="CG127" s="21"/>
    </row>
    <row r="128" spans="1:85" outlineLevel="1" x14ac:dyDescent="0.2">
      <c r="A128" s="14" t="str">
        <f t="shared" si="193"/>
        <v>GERENCIAL APOYO</v>
      </c>
      <c r="B128" s="1" t="s">
        <v>321</v>
      </c>
      <c r="C128" s="26">
        <v>2994646</v>
      </c>
      <c r="D128" s="26">
        <v>2657833</v>
      </c>
      <c r="E128" s="26">
        <v>336813</v>
      </c>
      <c r="F128" s="723"/>
      <c r="G128" s="26">
        <v>0</v>
      </c>
      <c r="H128" s="26">
        <v>0</v>
      </c>
      <c r="I128" s="26">
        <v>0</v>
      </c>
      <c r="J128" s="21">
        <f t="shared" si="194"/>
        <v>2994646</v>
      </c>
      <c r="K128" s="21">
        <v>37775</v>
      </c>
      <c r="L128" s="21">
        <f t="shared" si="212"/>
        <v>2695608</v>
      </c>
      <c r="M128" s="21">
        <f t="shared" si="213"/>
        <v>299038</v>
      </c>
      <c r="O128" s="26">
        <f t="shared" si="195"/>
        <v>2994646</v>
      </c>
      <c r="P128" s="723"/>
      <c r="Q128" s="26"/>
      <c r="R128" s="26"/>
      <c r="S128" s="26"/>
      <c r="T128" s="21">
        <f t="shared" si="223"/>
        <v>2994646</v>
      </c>
      <c r="U128" s="21">
        <v>34378</v>
      </c>
      <c r="V128" s="21">
        <f t="shared" si="214"/>
        <v>2729986</v>
      </c>
      <c r="W128" s="21">
        <f t="shared" si="215"/>
        <v>264660</v>
      </c>
      <c r="Y128" s="26">
        <f t="shared" si="196"/>
        <v>2994646</v>
      </c>
      <c r="AA128" s="26">
        <v>0</v>
      </c>
      <c r="AB128" s="26">
        <v>0</v>
      </c>
      <c r="AC128" s="26">
        <v>0</v>
      </c>
      <c r="AD128" s="21">
        <f t="shared" si="225"/>
        <v>2994646</v>
      </c>
      <c r="AE128" s="21">
        <v>42201</v>
      </c>
      <c r="AF128" s="21">
        <f t="shared" si="216"/>
        <v>2772187</v>
      </c>
      <c r="AG128" s="21">
        <f t="shared" si="217"/>
        <v>222459</v>
      </c>
      <c r="AI128" s="26">
        <f t="shared" si="197"/>
        <v>2994646</v>
      </c>
      <c r="AJ128" s="27"/>
      <c r="AK128" s="27">
        <v>2515</v>
      </c>
      <c r="AL128" s="27">
        <v>-7422</v>
      </c>
      <c r="AM128" s="27">
        <v>0</v>
      </c>
      <c r="AN128" s="21">
        <f t="shared" si="198"/>
        <v>2984709</v>
      </c>
      <c r="AO128" s="21">
        <v>51647</v>
      </c>
      <c r="AP128" s="21">
        <f t="shared" si="218"/>
        <v>2823834</v>
      </c>
      <c r="AQ128" s="14">
        <f t="shared" si="199"/>
        <v>160875</v>
      </c>
      <c r="AS128" s="26">
        <f t="shared" si="200"/>
        <v>2984709</v>
      </c>
      <c r="AT128" s="21">
        <f>BS01_BS02!$I$26</f>
        <v>212784.12000000011</v>
      </c>
      <c r="AX128" s="21">
        <f t="shared" si="201"/>
        <v>3197493.12</v>
      </c>
      <c r="AY128" s="21">
        <f>BS01_BS02!$I$69</f>
        <v>127236.33999999985</v>
      </c>
      <c r="AZ128" s="21">
        <f t="shared" si="219"/>
        <v>2951070.34</v>
      </c>
      <c r="BA128" s="14">
        <f t="shared" si="202"/>
        <v>246422.78000000026</v>
      </c>
      <c r="BC128" s="26">
        <f t="shared" si="203"/>
        <v>3197493.12</v>
      </c>
      <c r="BD128" s="21">
        <f>BS01_BS02!$J$26</f>
        <v>232659.87999999989</v>
      </c>
      <c r="BH128" s="21">
        <f t="shared" si="204"/>
        <v>3430153</v>
      </c>
      <c r="BI128" s="21">
        <f>BS01_BS02!$J$69</f>
        <v>171333.66000000015</v>
      </c>
      <c r="BJ128" s="21">
        <f t="shared" si="220"/>
        <v>3122404</v>
      </c>
      <c r="BK128" s="14">
        <f t="shared" si="205"/>
        <v>307749</v>
      </c>
      <c r="BM128" s="26">
        <f t="shared" si="206"/>
        <v>3430153</v>
      </c>
      <c r="BN128" s="21">
        <f>BS01_BS02!$K$26</f>
        <v>29459.979999999516</v>
      </c>
      <c r="BR128" s="21">
        <f t="shared" si="207"/>
        <v>3459612.9799999995</v>
      </c>
      <c r="BS128" s="21">
        <f>BS01_BS02!$K$69</f>
        <v>153042.99000000022</v>
      </c>
      <c r="BT128" s="21">
        <f t="shared" si="221"/>
        <v>3275446.99</v>
      </c>
      <c r="BU128" s="14">
        <f t="shared" si="208"/>
        <v>184165.98999999929</v>
      </c>
      <c r="BW128" s="26">
        <f t="shared" si="209"/>
        <v>3459612.9799999995</v>
      </c>
      <c r="BX128" s="21">
        <f>BS01_BS02!$L$26</f>
        <v>932648.02000000048</v>
      </c>
      <c r="CB128" s="21">
        <f t="shared" si="210"/>
        <v>4392261</v>
      </c>
      <c r="CC128" s="21">
        <f>BS01_BS02!$L$69</f>
        <v>223709.00999999978</v>
      </c>
      <c r="CD128" s="21">
        <f t="shared" si="222"/>
        <v>3499156</v>
      </c>
      <c r="CE128" s="14">
        <f t="shared" si="211"/>
        <v>893105</v>
      </c>
      <c r="CG128" s="21"/>
    </row>
    <row r="129" spans="1:85" outlineLevel="1" x14ac:dyDescent="0.2">
      <c r="A129" s="14" t="str">
        <f t="shared" si="193"/>
        <v>GERENCIAL APOYO</v>
      </c>
      <c r="B129" s="1" t="s">
        <v>322</v>
      </c>
      <c r="C129" s="26">
        <v>4797535</v>
      </c>
      <c r="D129" s="26">
        <v>3861637</v>
      </c>
      <c r="E129" s="26">
        <v>935898</v>
      </c>
      <c r="F129" s="723">
        <v>773000</v>
      </c>
      <c r="G129" s="26">
        <v>0</v>
      </c>
      <c r="H129" s="26">
        <v>0</v>
      </c>
      <c r="I129" s="26">
        <v>0</v>
      </c>
      <c r="J129" s="21">
        <f t="shared" si="194"/>
        <v>5570535</v>
      </c>
      <c r="K129" s="21">
        <v>847172</v>
      </c>
      <c r="L129" s="21">
        <f t="shared" si="212"/>
        <v>4708809</v>
      </c>
      <c r="M129" s="21">
        <f t="shared" si="213"/>
        <v>861726</v>
      </c>
      <c r="O129" s="26">
        <f t="shared" si="195"/>
        <v>5570535</v>
      </c>
      <c r="P129" s="723">
        <v>1526000</v>
      </c>
      <c r="Q129" s="26"/>
      <c r="R129" s="26"/>
      <c r="S129" s="26"/>
      <c r="T129" s="21">
        <f t="shared" si="223"/>
        <v>7096535</v>
      </c>
      <c r="U129" s="21">
        <v>640407</v>
      </c>
      <c r="V129" s="21">
        <f t="shared" si="214"/>
        <v>5349216</v>
      </c>
      <c r="W129" s="21">
        <f t="shared" si="215"/>
        <v>1747319</v>
      </c>
      <c r="Y129" s="26">
        <f t="shared" si="196"/>
        <v>7096535</v>
      </c>
      <c r="Z129" s="26">
        <f>+Z46</f>
        <v>442000</v>
      </c>
      <c r="AA129" s="26">
        <v>0</v>
      </c>
      <c r="AB129" s="26">
        <v>0</v>
      </c>
      <c r="AC129" s="26">
        <v>0</v>
      </c>
      <c r="AD129" s="21">
        <f>+Y129+Z129-AA129+AB129+AC129</f>
        <v>7538535</v>
      </c>
      <c r="AE129" s="21"/>
      <c r="AF129" s="21">
        <f t="shared" si="216"/>
        <v>5349216</v>
      </c>
      <c r="AG129" s="21">
        <f t="shared" si="217"/>
        <v>2189319</v>
      </c>
      <c r="AI129" s="26">
        <f t="shared" si="197"/>
        <v>7538535</v>
      </c>
      <c r="AJ129" s="27">
        <f>+AJ46</f>
        <v>582248.77</v>
      </c>
      <c r="AK129" s="27">
        <v>0</v>
      </c>
      <c r="AL129" s="27">
        <v>0</v>
      </c>
      <c r="AM129" s="27">
        <v>0</v>
      </c>
      <c r="AN129" s="21">
        <f t="shared" si="198"/>
        <v>8120783.7699999996</v>
      </c>
      <c r="AO129" s="21">
        <v>948081</v>
      </c>
      <c r="AP129" s="21">
        <f t="shared" si="218"/>
        <v>6297297</v>
      </c>
      <c r="AQ129" s="14">
        <f t="shared" si="199"/>
        <v>1823486.7699999996</v>
      </c>
      <c r="AS129" s="26">
        <f t="shared" si="200"/>
        <v>8120783.7699999996</v>
      </c>
      <c r="AX129" s="21">
        <f t="shared" si="201"/>
        <v>8120783.7699999996</v>
      </c>
      <c r="AY129" s="21"/>
      <c r="AZ129" s="21">
        <f t="shared" si="219"/>
        <v>6297297</v>
      </c>
      <c r="BA129" s="14">
        <f t="shared" si="202"/>
        <v>1823486.7699999996</v>
      </c>
      <c r="BC129" s="26">
        <f t="shared" si="203"/>
        <v>8120783.7699999996</v>
      </c>
      <c r="BH129" s="21">
        <f t="shared" si="204"/>
        <v>8120783.7699999996</v>
      </c>
      <c r="BI129" s="21"/>
      <c r="BJ129" s="21">
        <f t="shared" si="220"/>
        <v>6297297</v>
      </c>
      <c r="BK129" s="14">
        <f t="shared" si="205"/>
        <v>1823486.7699999996</v>
      </c>
      <c r="BM129" s="26">
        <f t="shared" si="206"/>
        <v>8120783.7699999996</v>
      </c>
      <c r="BR129" s="21">
        <f t="shared" si="207"/>
        <v>8120783.7699999996</v>
      </c>
      <c r="BS129" s="21"/>
      <c r="BT129" s="21">
        <f t="shared" si="221"/>
        <v>6297297</v>
      </c>
      <c r="BU129" s="14">
        <f t="shared" si="208"/>
        <v>1823486.7699999996</v>
      </c>
      <c r="BW129" s="26">
        <f t="shared" si="209"/>
        <v>8120783.7699999996</v>
      </c>
      <c r="CB129" s="21">
        <f t="shared" si="210"/>
        <v>8120783.7699999996</v>
      </c>
      <c r="CC129" s="21"/>
      <c r="CD129" s="21">
        <f t="shared" si="222"/>
        <v>6297297</v>
      </c>
      <c r="CE129" s="14">
        <f t="shared" si="211"/>
        <v>1823486.7699999996</v>
      </c>
      <c r="CG129" s="21"/>
    </row>
    <row r="130" spans="1:85" outlineLevel="1" x14ac:dyDescent="0.2">
      <c r="A130" s="14" t="str">
        <f t="shared" si="193"/>
        <v>GERENCIAL APOYO</v>
      </c>
      <c r="B130" s="1" t="s">
        <v>316</v>
      </c>
      <c r="C130" s="26">
        <v>1828909</v>
      </c>
      <c r="D130" s="26">
        <v>1634507</v>
      </c>
      <c r="E130" s="26">
        <v>194402</v>
      </c>
      <c r="F130" s="26">
        <v>0</v>
      </c>
      <c r="G130" s="26">
        <v>0</v>
      </c>
      <c r="H130" s="26">
        <v>0</v>
      </c>
      <c r="I130" s="26">
        <v>0</v>
      </c>
      <c r="J130" s="21">
        <f t="shared" si="194"/>
        <v>1828909</v>
      </c>
      <c r="K130" s="21"/>
      <c r="L130" s="21">
        <f t="shared" si="212"/>
        <v>1634507</v>
      </c>
      <c r="M130" s="21">
        <f t="shared" si="213"/>
        <v>194402</v>
      </c>
      <c r="O130" s="26">
        <f t="shared" si="195"/>
        <v>1828909</v>
      </c>
      <c r="P130" s="26"/>
      <c r="Q130" s="26"/>
      <c r="R130" s="26"/>
      <c r="S130" s="26"/>
      <c r="T130" s="21">
        <f t="shared" si="223"/>
        <v>1828909</v>
      </c>
      <c r="U130" s="21"/>
      <c r="V130" s="21">
        <f t="shared" si="214"/>
        <v>1634507</v>
      </c>
      <c r="W130" s="21">
        <f t="shared" si="215"/>
        <v>194402</v>
      </c>
      <c r="Y130" s="26">
        <f t="shared" si="196"/>
        <v>1828909</v>
      </c>
      <c r="Z130" s="26"/>
      <c r="AA130" s="26">
        <v>0</v>
      </c>
      <c r="AB130" s="26">
        <v>0</v>
      </c>
      <c r="AC130" s="26">
        <v>0</v>
      </c>
      <c r="AD130" s="21">
        <f t="shared" si="225"/>
        <v>1828909</v>
      </c>
      <c r="AE130" s="21"/>
      <c r="AF130" s="21">
        <f t="shared" si="216"/>
        <v>1634507</v>
      </c>
      <c r="AG130" s="21">
        <f t="shared" si="217"/>
        <v>194402</v>
      </c>
      <c r="AI130" s="26">
        <f t="shared" si="197"/>
        <v>1828909</v>
      </c>
      <c r="AJ130" s="27"/>
      <c r="AK130" s="27">
        <v>0</v>
      </c>
      <c r="AL130" s="27">
        <v>0</v>
      </c>
      <c r="AM130" s="27">
        <v>0</v>
      </c>
      <c r="AN130" s="21">
        <f t="shared" si="198"/>
        <v>1828909</v>
      </c>
      <c r="AO130" s="21"/>
      <c r="AP130" s="21">
        <f t="shared" si="218"/>
        <v>1634507</v>
      </c>
      <c r="AQ130" s="14">
        <f t="shared" si="199"/>
        <v>194402</v>
      </c>
      <c r="AS130" s="26">
        <f t="shared" si="200"/>
        <v>1828909</v>
      </c>
      <c r="AX130" s="21">
        <f t="shared" si="201"/>
        <v>1828909</v>
      </c>
      <c r="AZ130" s="21">
        <f t="shared" si="219"/>
        <v>1634507</v>
      </c>
      <c r="BA130" s="14">
        <f t="shared" si="202"/>
        <v>194402</v>
      </c>
      <c r="BC130" s="26">
        <f t="shared" si="203"/>
        <v>1828909</v>
      </c>
      <c r="BH130" s="21">
        <f t="shared" si="204"/>
        <v>1828909</v>
      </c>
      <c r="BJ130" s="21">
        <f t="shared" si="220"/>
        <v>1634507</v>
      </c>
      <c r="BK130" s="14">
        <f t="shared" si="205"/>
        <v>194402</v>
      </c>
      <c r="BM130" s="26">
        <f t="shared" si="206"/>
        <v>1828909</v>
      </c>
      <c r="BR130" s="21">
        <f t="shared" si="207"/>
        <v>1828909</v>
      </c>
      <c r="BT130" s="21">
        <f t="shared" si="221"/>
        <v>1634507</v>
      </c>
      <c r="BU130" s="14">
        <f t="shared" si="208"/>
        <v>194402</v>
      </c>
      <c r="BW130" s="26">
        <f t="shared" si="209"/>
        <v>1828909</v>
      </c>
      <c r="CB130" s="21">
        <f t="shared" si="210"/>
        <v>1828909</v>
      </c>
      <c r="CD130" s="21">
        <f t="shared" si="222"/>
        <v>1634507</v>
      </c>
      <c r="CE130" s="14">
        <f t="shared" si="211"/>
        <v>194402</v>
      </c>
      <c r="CG130" s="21"/>
    </row>
    <row r="131" spans="1:85" ht="13.5" thickBot="1" x14ac:dyDescent="0.25">
      <c r="A131" s="14" t="str">
        <f t="shared" si="193"/>
        <v>GERENCIAL APOYO</v>
      </c>
      <c r="B131" s="16" t="s">
        <v>317</v>
      </c>
      <c r="C131" s="22">
        <f>+SUM(C121:C130)</f>
        <v>45644352</v>
      </c>
      <c r="D131" s="22">
        <f>+SUM(D121:D130)</f>
        <v>36589010</v>
      </c>
      <c r="E131" s="22">
        <f>+SUM(E121:E130)</f>
        <v>9055343</v>
      </c>
      <c r="F131" s="22">
        <f t="shared" ref="F131:M131" si="226">SUM(F121:F130)</f>
        <v>1361000</v>
      </c>
      <c r="G131" s="22">
        <f t="shared" si="226"/>
        <v>0</v>
      </c>
      <c r="H131" s="22">
        <f t="shared" si="226"/>
        <v>0</v>
      </c>
      <c r="I131" s="22">
        <f t="shared" si="226"/>
        <v>0</v>
      </c>
      <c r="J131" s="22">
        <f t="shared" si="226"/>
        <v>47005352</v>
      </c>
      <c r="K131" s="22">
        <f t="shared" si="226"/>
        <v>1474125</v>
      </c>
      <c r="L131" s="22">
        <f t="shared" si="226"/>
        <v>38063135</v>
      </c>
      <c r="M131" s="22">
        <f t="shared" si="226"/>
        <v>8942217</v>
      </c>
      <c r="O131" s="22">
        <f>SUM(O121:O130)</f>
        <v>47005352</v>
      </c>
      <c r="P131" s="22">
        <f t="shared" ref="P131:W131" si="227">SUM(P121:P130)</f>
        <v>3332000</v>
      </c>
      <c r="Q131" s="22">
        <f t="shared" si="227"/>
        <v>14830315</v>
      </c>
      <c r="R131" s="22">
        <f t="shared" si="227"/>
        <v>0</v>
      </c>
      <c r="S131" s="22">
        <f t="shared" si="227"/>
        <v>0</v>
      </c>
      <c r="T131" s="22">
        <f t="shared" si="227"/>
        <v>35507037</v>
      </c>
      <c r="U131" s="22">
        <f t="shared" si="227"/>
        <v>1753959</v>
      </c>
      <c r="V131" s="22">
        <f>SUM(V121:V130)</f>
        <v>24996326</v>
      </c>
      <c r="W131" s="22">
        <f t="shared" si="227"/>
        <v>10510711</v>
      </c>
      <c r="Y131" s="22">
        <f t="shared" ref="Y131:AG131" si="228">SUM(Y121:Y130)</f>
        <v>35507037</v>
      </c>
      <c r="Z131" s="22">
        <f>SUM(Z121:Z130)</f>
        <v>2143000</v>
      </c>
      <c r="AA131" s="22">
        <f t="shared" si="228"/>
        <v>46122</v>
      </c>
      <c r="AB131" s="22">
        <f t="shared" si="228"/>
        <v>0</v>
      </c>
      <c r="AC131" s="22">
        <f t="shared" si="228"/>
        <v>0</v>
      </c>
      <c r="AD131" s="22">
        <f t="shared" si="228"/>
        <v>37603915</v>
      </c>
      <c r="AE131" s="22">
        <f t="shared" si="228"/>
        <v>1903642</v>
      </c>
      <c r="AF131" s="22">
        <f t="shared" si="228"/>
        <v>26899968</v>
      </c>
      <c r="AG131" s="22">
        <f t="shared" si="228"/>
        <v>10703947</v>
      </c>
      <c r="AI131" s="5">
        <f t="shared" ref="AI131:AQ131" si="229">SUM(AI121:AI130)</f>
        <v>37603915</v>
      </c>
      <c r="AJ131" s="5">
        <f t="shared" si="229"/>
        <v>1346949.77</v>
      </c>
      <c r="AK131" s="5">
        <f t="shared" si="229"/>
        <v>2515</v>
      </c>
      <c r="AL131" s="5">
        <f t="shared" si="229"/>
        <v>412619</v>
      </c>
      <c r="AM131" s="5">
        <f t="shared" si="229"/>
        <v>0</v>
      </c>
      <c r="AN131" s="5">
        <f t="shared" si="229"/>
        <v>39360968.769999996</v>
      </c>
      <c r="AO131" s="5">
        <f t="shared" si="229"/>
        <v>2418855</v>
      </c>
      <c r="AP131" s="5">
        <f t="shared" si="229"/>
        <v>29318823</v>
      </c>
      <c r="AQ131" s="5">
        <f t="shared" si="229"/>
        <v>10042145.77</v>
      </c>
      <c r="AS131" s="5">
        <f t="shared" ref="AS131:AT131" si="230">SUM(AS121:AS130)</f>
        <v>39360968.769999996</v>
      </c>
      <c r="AT131" s="5">
        <f t="shared" si="230"/>
        <v>3672173.129999999</v>
      </c>
      <c r="AX131" s="5">
        <f t="shared" ref="AX131:AY131" si="231">SUM(AX121:AX130)</f>
        <v>43033141.899999999</v>
      </c>
      <c r="AY131" s="5">
        <f t="shared" si="231"/>
        <v>4423986.0000000009</v>
      </c>
      <c r="AZ131" s="5">
        <f t="shared" ref="AZ131:BA131" si="232">SUM(AZ121:AZ130)</f>
        <v>33742809</v>
      </c>
      <c r="BA131" s="5">
        <f t="shared" si="232"/>
        <v>9290332.8999999985</v>
      </c>
      <c r="BC131" s="5">
        <f t="shared" ref="BC131:BD131" si="233">SUM(BC121:BC130)</f>
        <v>43033141.899999999</v>
      </c>
      <c r="BD131" s="5">
        <f t="shared" si="233"/>
        <v>1399898.3000000017</v>
      </c>
      <c r="BH131" s="5">
        <f t="shared" ref="BH131:BI131" si="234">SUM(BH121:BH130)</f>
        <v>44433040.200000003</v>
      </c>
      <c r="BI131" s="5">
        <f t="shared" si="234"/>
        <v>2856218.9999999991</v>
      </c>
      <c r="BJ131" s="5">
        <f t="shared" ref="BJ131:BK131" si="235">SUM(BJ121:BJ130)</f>
        <v>36599028</v>
      </c>
      <c r="BK131" s="5">
        <f t="shared" si="235"/>
        <v>7834012.2000000002</v>
      </c>
      <c r="BM131" s="5">
        <f t="shared" ref="BM131:BN131" si="236">SUM(BM121:BM130)</f>
        <v>44433040.200000003</v>
      </c>
      <c r="BN131" s="5">
        <f t="shared" si="236"/>
        <v>2086987.2200000007</v>
      </c>
      <c r="BR131" s="5">
        <f t="shared" ref="BR131:BS131" si="237">SUM(BR121:BR130)</f>
        <v>46520027.420000002</v>
      </c>
      <c r="BS131" s="5">
        <f t="shared" si="237"/>
        <v>2992141.7400000012</v>
      </c>
      <c r="BT131" s="5">
        <f t="shared" ref="BT131:BU131" si="238">SUM(BT121:BT130)</f>
        <v>39591169.740000002</v>
      </c>
      <c r="BU131" s="5">
        <f t="shared" si="238"/>
        <v>6928857.6799999997</v>
      </c>
      <c r="BW131" s="5">
        <f t="shared" ref="BW131:BX131" si="239">SUM(BW121:BW130)</f>
        <v>46520027.420000002</v>
      </c>
      <c r="BX131" s="5">
        <f t="shared" si="239"/>
        <v>7926427.3499999987</v>
      </c>
      <c r="CB131" s="5">
        <f t="shared" ref="CB131:CC131" si="240">SUM(CB121:CB130)</f>
        <v>54446454.769999996</v>
      </c>
      <c r="CC131" s="5">
        <f t="shared" si="240"/>
        <v>3953662.2599999988</v>
      </c>
      <c r="CD131" s="5">
        <f t="shared" ref="CD131:CE131" si="241">SUM(CD121:CD130)</f>
        <v>43544832</v>
      </c>
      <c r="CE131" s="5">
        <f t="shared" si="241"/>
        <v>10901622.77</v>
      </c>
      <c r="CG131" s="31"/>
    </row>
    <row r="132" spans="1:85" ht="15.75" thickTop="1" x14ac:dyDescent="0.25">
      <c r="A132" s="14"/>
      <c r="B132" s="19" t="s">
        <v>287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O132" s="21"/>
      <c r="P132" s="21"/>
      <c r="Q132" s="21"/>
      <c r="R132" s="21"/>
      <c r="S132" s="21"/>
      <c r="T132" s="21"/>
      <c r="U132" s="21"/>
      <c r="V132" s="21"/>
      <c r="W132" s="21"/>
      <c r="Y132" s="21"/>
      <c r="Z132" s="21"/>
      <c r="AA132" s="21"/>
      <c r="AB132" s="21"/>
      <c r="AC132" s="21"/>
      <c r="AD132" s="21"/>
      <c r="AE132" s="21"/>
      <c r="AF132" s="21"/>
      <c r="AG132" s="21"/>
      <c r="AI132" s="4"/>
      <c r="AJ132" s="3"/>
      <c r="AK132" s="3"/>
      <c r="AL132" s="3"/>
      <c r="AM132" s="3"/>
      <c r="AN132" s="3"/>
      <c r="AO132" s="3"/>
      <c r="AP132" s="3"/>
      <c r="AQ132" s="21"/>
      <c r="AS132" s="4"/>
      <c r="AX132" s="3"/>
      <c r="AZ132" s="3"/>
      <c r="BA132" s="21"/>
      <c r="BC132" s="4"/>
      <c r="BH132" s="3"/>
      <c r="BJ132" s="3"/>
      <c r="BK132" s="21"/>
      <c r="BM132" s="4"/>
      <c r="BR132" s="3"/>
      <c r="BT132" s="3"/>
      <c r="BU132" s="21"/>
      <c r="BW132" s="4"/>
      <c r="CB132" s="3"/>
      <c r="CD132" s="3"/>
      <c r="CE132" s="21"/>
      <c r="CG132" s="21"/>
    </row>
    <row r="133" spans="1:85" ht="15" x14ac:dyDescent="0.25">
      <c r="A133" s="14"/>
      <c r="C133" s="21"/>
      <c r="D133" s="21"/>
      <c r="E133" s="21"/>
      <c r="F133" s="14"/>
      <c r="G133" s="14"/>
      <c r="H133" s="14"/>
      <c r="I133" s="14"/>
      <c r="J133" s="21"/>
      <c r="K133" s="21"/>
      <c r="L133" s="21"/>
      <c r="M133" s="21"/>
      <c r="O133" s="21"/>
      <c r="P133" s="21"/>
      <c r="Q133" s="21"/>
      <c r="R133" s="21"/>
      <c r="S133" s="21"/>
      <c r="T133" s="21"/>
      <c r="U133" s="21"/>
      <c r="V133" s="21"/>
      <c r="W133" s="21"/>
      <c r="Y133" s="21"/>
      <c r="Z133" s="21"/>
      <c r="AA133" s="21"/>
      <c r="AB133" s="21"/>
      <c r="AC133" s="21"/>
      <c r="AD133" s="21"/>
      <c r="AE133" s="21"/>
      <c r="AF133" s="21"/>
      <c r="AG133" s="21"/>
      <c r="AI133" s="4"/>
      <c r="AJ133" s="4"/>
      <c r="AK133" s="4"/>
      <c r="AL133" s="4"/>
      <c r="AM133" s="4"/>
      <c r="AN133" s="21"/>
      <c r="AO133" s="21"/>
      <c r="AP133" s="21"/>
      <c r="AQ133" s="21"/>
      <c r="AS133" s="4"/>
      <c r="AX133" s="21"/>
      <c r="AZ133" s="21"/>
      <c r="BA133" s="21"/>
      <c r="BC133" s="4"/>
      <c r="BH133" s="21"/>
      <c r="BJ133" s="21"/>
      <c r="BK133" s="21"/>
      <c r="BM133" s="4"/>
      <c r="BR133" s="21"/>
      <c r="BT133" s="21"/>
      <c r="BU133" s="21"/>
      <c r="BW133" s="4"/>
      <c r="CB133" s="21"/>
      <c r="CD133" s="21"/>
      <c r="CE133" s="21"/>
      <c r="CG133" s="21"/>
    </row>
    <row r="134" spans="1:85" outlineLevel="1" x14ac:dyDescent="0.2">
      <c r="A134" s="14" t="str">
        <f>+$B$132</f>
        <v>GERENCIAL APOYO NO PRODUCTIVO</v>
      </c>
      <c r="B134" s="1" t="s">
        <v>303</v>
      </c>
      <c r="C134" s="28">
        <v>6366084.5300000003</v>
      </c>
      <c r="D134" s="26">
        <v>5544926</v>
      </c>
      <c r="E134" s="26">
        <v>821158.53000000026</v>
      </c>
      <c r="F134" s="26">
        <v>0</v>
      </c>
      <c r="G134" s="26">
        <v>0</v>
      </c>
      <c r="H134" s="26">
        <v>0</v>
      </c>
      <c r="I134" s="26">
        <v>0</v>
      </c>
      <c r="J134" s="23">
        <f>+C134+F134-G134+H134+I134</f>
        <v>6366084.5300000003</v>
      </c>
      <c r="K134" s="23"/>
      <c r="L134" s="23">
        <v>0</v>
      </c>
      <c r="M134" s="21">
        <f>+J134-L134</f>
        <v>6366084.5300000003</v>
      </c>
      <c r="O134" s="26">
        <f>+J134</f>
        <v>6366084.5300000003</v>
      </c>
      <c r="P134" s="28"/>
      <c r="Q134" s="28"/>
      <c r="R134" s="28"/>
      <c r="S134" s="28"/>
      <c r="T134" s="23">
        <f>+O134+P134-Q134+R134+S134</f>
        <v>6366084.5300000003</v>
      </c>
      <c r="U134" s="23"/>
      <c r="V134" s="28">
        <v>0</v>
      </c>
      <c r="W134" s="21">
        <f>+T134-V134</f>
        <v>6366084.5300000003</v>
      </c>
      <c r="Y134" s="26">
        <f>+T134</f>
        <v>6366084.5300000003</v>
      </c>
      <c r="Z134" s="28">
        <v>0</v>
      </c>
      <c r="AA134" s="28">
        <v>0</v>
      </c>
      <c r="AB134" s="28">
        <v>0</v>
      </c>
      <c r="AC134" s="28">
        <v>0</v>
      </c>
      <c r="AD134" s="23">
        <f>+Y134+Z134-AA134+AB134+AC134</f>
        <v>6366084.5300000003</v>
      </c>
      <c r="AE134" s="23"/>
      <c r="AF134" s="28">
        <v>0</v>
      </c>
      <c r="AG134" s="23">
        <f>+AD134-AF134</f>
        <v>6366084.5300000003</v>
      </c>
      <c r="AI134" s="26">
        <f t="shared" ref="AI134" si="242">+AD134</f>
        <v>6366084.5300000003</v>
      </c>
      <c r="AJ134" s="29">
        <v>0</v>
      </c>
      <c r="AK134" s="29">
        <v>0</v>
      </c>
      <c r="AL134" s="29">
        <v>0</v>
      </c>
      <c r="AM134" s="29">
        <v>0</v>
      </c>
      <c r="AN134" s="23">
        <f>+AI134+AJ134-AK134+AL134+AM134</f>
        <v>6366084.5300000003</v>
      </c>
      <c r="AO134" s="23"/>
      <c r="AP134" s="28">
        <v>0</v>
      </c>
      <c r="AQ134" s="23">
        <f>+AN134-AP134</f>
        <v>6366084.5300000003</v>
      </c>
      <c r="AS134" s="26">
        <f t="shared" ref="AS134" si="243">+AN134</f>
        <v>6366084.5300000003</v>
      </c>
      <c r="AX134" s="23">
        <f>+AS134+AT134-AU134+AV134+AW134</f>
        <v>6366084.5300000003</v>
      </c>
      <c r="AZ134" s="28">
        <v>0</v>
      </c>
      <c r="BA134" s="23">
        <f>+AX134-AZ134</f>
        <v>6366084.5300000003</v>
      </c>
      <c r="BC134" s="26">
        <f t="shared" ref="BC134" si="244">+AX134</f>
        <v>6366084.5300000003</v>
      </c>
      <c r="BH134" s="23">
        <f>+BC134+BD134-BE134+BF134+BG134</f>
        <v>6366084.5300000003</v>
      </c>
      <c r="BJ134" s="28">
        <v>0</v>
      </c>
      <c r="BK134" s="23">
        <f>+BH134-BJ134</f>
        <v>6366084.5300000003</v>
      </c>
      <c r="BM134" s="26">
        <f t="shared" ref="BM134" si="245">+BH134</f>
        <v>6366084.5300000003</v>
      </c>
      <c r="BR134" s="23">
        <f>+BM134+BN134-BO134+BP134+BQ134</f>
        <v>6366084.5300000003</v>
      </c>
      <c r="BT134" s="28">
        <v>0</v>
      </c>
      <c r="BU134" s="23">
        <f>+BR134-BT134</f>
        <v>6366084.5300000003</v>
      </c>
      <c r="BW134" s="26">
        <f t="shared" ref="BW134" si="246">+BR134</f>
        <v>6366084.5300000003</v>
      </c>
      <c r="CB134" s="23">
        <f>+BW134+BX134-BY134+BZ134+CA134</f>
        <v>6366084.5300000003</v>
      </c>
      <c r="CD134" s="28">
        <v>0</v>
      </c>
      <c r="CE134" s="23">
        <f>+CB134-CD134</f>
        <v>6366084.5300000003</v>
      </c>
      <c r="CG134" s="21"/>
    </row>
    <row r="135" spans="1:85" ht="13.5" thickBot="1" x14ac:dyDescent="0.25">
      <c r="A135" s="14" t="str">
        <f>+$B$132</f>
        <v>GERENCIAL APOYO NO PRODUCTIVO</v>
      </c>
      <c r="B135" s="16" t="s">
        <v>317</v>
      </c>
      <c r="C135" s="24">
        <f>+C134</f>
        <v>6366084.5300000003</v>
      </c>
      <c r="D135" s="24">
        <f>+D134</f>
        <v>5544926</v>
      </c>
      <c r="E135" s="24">
        <f>+E134</f>
        <v>821158.53000000026</v>
      </c>
      <c r="F135" s="17">
        <f t="shared" ref="F135:M135" si="247">SUM(F134)</f>
        <v>0</v>
      </c>
      <c r="G135" s="17">
        <f t="shared" si="247"/>
        <v>0</v>
      </c>
      <c r="H135" s="17">
        <f t="shared" si="247"/>
        <v>0</v>
      </c>
      <c r="I135" s="17">
        <f t="shared" si="247"/>
        <v>0</v>
      </c>
      <c r="J135" s="22">
        <f t="shared" si="247"/>
        <v>6366084.5300000003</v>
      </c>
      <c r="K135" s="22"/>
      <c r="L135" s="22">
        <f t="shared" si="247"/>
        <v>0</v>
      </c>
      <c r="M135" s="22">
        <f t="shared" si="247"/>
        <v>6366084.5300000003</v>
      </c>
      <c r="O135" s="24">
        <f>SUM(O134)</f>
        <v>6366084.5300000003</v>
      </c>
      <c r="P135" s="24">
        <f t="shared" ref="P135:W135" si="248">SUM(P134)</f>
        <v>0</v>
      </c>
      <c r="Q135" s="24">
        <f t="shared" si="248"/>
        <v>0</v>
      </c>
      <c r="R135" s="24">
        <f t="shared" si="248"/>
        <v>0</v>
      </c>
      <c r="S135" s="24">
        <f t="shared" si="248"/>
        <v>0</v>
      </c>
      <c r="T135" s="22">
        <f t="shared" si="248"/>
        <v>6366084.5300000003</v>
      </c>
      <c r="U135" s="22"/>
      <c r="V135" s="22">
        <f t="shared" si="248"/>
        <v>0</v>
      </c>
      <c r="W135" s="22">
        <f t="shared" si="248"/>
        <v>6366084.5300000003</v>
      </c>
      <c r="Y135" s="22">
        <f>SUM(Y134:Y134)</f>
        <v>6366084.5300000003</v>
      </c>
      <c r="Z135" s="22">
        <f>SUM(Z134)</f>
        <v>0</v>
      </c>
      <c r="AA135" s="22">
        <f>SUM(AA134)</f>
        <v>0</v>
      </c>
      <c r="AB135" s="22">
        <f>SUM(AB134)</f>
        <v>0</v>
      </c>
      <c r="AC135" s="22">
        <f>SUM(AC134)</f>
        <v>0</v>
      </c>
      <c r="AD135" s="22">
        <f>SUM(AD134)</f>
        <v>6366084.5300000003</v>
      </c>
      <c r="AE135" s="22"/>
      <c r="AF135" s="22">
        <f>+AF134</f>
        <v>0</v>
      </c>
      <c r="AG135" s="22">
        <f>+AG134</f>
        <v>6366084.5300000003</v>
      </c>
      <c r="AI135" s="5">
        <f>SUM(AI134:AI134)</f>
        <v>6366084.5300000003</v>
      </c>
      <c r="AJ135" s="5">
        <f>SUM(AJ134)</f>
        <v>0</v>
      </c>
      <c r="AK135" s="5">
        <f>SUM(AK134)</f>
        <v>0</v>
      </c>
      <c r="AL135" s="5">
        <f>SUM(AL134)</f>
        <v>0</v>
      </c>
      <c r="AM135" s="5">
        <f>SUM(AM134)</f>
        <v>0</v>
      </c>
      <c r="AN135" s="5">
        <f>SUM(AN134)</f>
        <v>6366084.5300000003</v>
      </c>
      <c r="AO135" s="5"/>
      <c r="AP135" s="5">
        <f>+AP134</f>
        <v>0</v>
      </c>
      <c r="AQ135" s="5">
        <f>+AQ134</f>
        <v>6366084.5300000003</v>
      </c>
      <c r="AS135" s="5">
        <f>SUM(AS134:AS134)</f>
        <v>6366084.5300000003</v>
      </c>
      <c r="AX135" s="5">
        <f>SUM(AX134)</f>
        <v>6366084.5300000003</v>
      </c>
      <c r="AZ135" s="5">
        <f>+AZ134</f>
        <v>0</v>
      </c>
      <c r="BA135" s="5">
        <f>+BA134</f>
        <v>6366084.5300000003</v>
      </c>
      <c r="BC135" s="5">
        <f>SUM(BC134:BC134)</f>
        <v>6366084.5300000003</v>
      </c>
      <c r="BH135" s="5">
        <f>SUM(BH134)</f>
        <v>6366084.5300000003</v>
      </c>
      <c r="BJ135" s="5">
        <f>+BJ134</f>
        <v>0</v>
      </c>
      <c r="BK135" s="5">
        <f>+BK134</f>
        <v>6366084.5300000003</v>
      </c>
      <c r="BM135" s="5">
        <f>SUM(BM134:BM134)</f>
        <v>6366084.5300000003</v>
      </c>
      <c r="BR135" s="5">
        <f>SUM(BR134)</f>
        <v>6366084.5300000003</v>
      </c>
      <c r="BT135" s="5">
        <f>+BT134</f>
        <v>0</v>
      </c>
      <c r="BU135" s="5">
        <f>+BU134</f>
        <v>6366084.5300000003</v>
      </c>
      <c r="BW135" s="5">
        <f>SUM(BW134:BW134)</f>
        <v>6366084.5300000003</v>
      </c>
      <c r="CB135" s="5">
        <f>SUM(CB134)</f>
        <v>6366084.5300000003</v>
      </c>
      <c r="CD135" s="5">
        <f>+CD134</f>
        <v>0</v>
      </c>
      <c r="CE135" s="5">
        <f>+CE134</f>
        <v>6366084.5300000003</v>
      </c>
      <c r="CG135" s="21"/>
    </row>
    <row r="136" spans="1:85" ht="15.75" thickTop="1" x14ac:dyDescent="0.25">
      <c r="A136" s="14"/>
      <c r="B136" s="16"/>
      <c r="C136" s="21"/>
      <c r="D136" s="21"/>
      <c r="E136" s="21"/>
      <c r="F136" s="14"/>
      <c r="G136" s="14"/>
      <c r="H136" s="14"/>
      <c r="I136" s="14"/>
      <c r="J136" s="21"/>
      <c r="K136" s="21"/>
      <c r="L136" s="21"/>
      <c r="M136" s="21"/>
      <c r="O136" s="21"/>
      <c r="P136" s="21"/>
      <c r="Q136" s="21"/>
      <c r="R136" s="21"/>
      <c r="S136" s="21"/>
      <c r="T136" s="21"/>
      <c r="U136" s="21"/>
      <c r="V136" s="21"/>
      <c r="W136" s="21"/>
      <c r="Y136" s="21"/>
      <c r="Z136" s="21"/>
      <c r="AA136" s="21"/>
      <c r="AB136" s="21"/>
      <c r="AC136" s="21"/>
      <c r="AD136" s="21"/>
      <c r="AE136" s="21"/>
      <c r="AF136" s="21"/>
      <c r="AG136" s="21"/>
      <c r="AI136" s="4"/>
      <c r="AJ136" s="4"/>
      <c r="AK136" s="4"/>
      <c r="AL136" s="4"/>
      <c r="AM136" s="4"/>
      <c r="AN136" s="21"/>
      <c r="AO136" s="21"/>
      <c r="AP136" s="21"/>
      <c r="AQ136" s="21"/>
      <c r="AS136" s="4"/>
      <c r="AX136" s="21"/>
      <c r="AZ136" s="21"/>
      <c r="BA136" s="21"/>
      <c r="BC136" s="4"/>
      <c r="BH136" s="21"/>
      <c r="BJ136" s="21"/>
      <c r="BK136" s="21"/>
      <c r="BM136" s="4"/>
      <c r="BR136" s="21"/>
      <c r="BT136" s="21"/>
      <c r="BU136" s="21"/>
      <c r="BW136" s="4"/>
      <c r="CB136" s="21"/>
      <c r="CD136" s="21"/>
      <c r="CE136" s="21"/>
    </row>
    <row r="137" spans="1:85" ht="13.5" thickBot="1" x14ac:dyDescent="0.25">
      <c r="A137" s="14"/>
      <c r="B137" s="16" t="s">
        <v>325</v>
      </c>
      <c r="C137" s="25">
        <f>+C77+C109+C118+C131+C135</f>
        <v>459261755.48903382</v>
      </c>
      <c r="D137" s="25">
        <f>+D77+D109+D118+D131+D135</f>
        <v>238384797.41</v>
      </c>
      <c r="E137" s="25">
        <f>+E77+E109+E118+E131+E135</f>
        <v>220876959.07903388</v>
      </c>
      <c r="F137" s="25">
        <f t="shared" ref="F137:M137" si="249">+F77+F109+F118+F131+F135</f>
        <v>9254842.3599999994</v>
      </c>
      <c r="G137" s="25">
        <f t="shared" si="249"/>
        <v>0</v>
      </c>
      <c r="H137" s="25">
        <f t="shared" si="249"/>
        <v>1323437</v>
      </c>
      <c r="I137" s="25">
        <f t="shared" si="249"/>
        <v>0</v>
      </c>
      <c r="J137" s="25">
        <f t="shared" si="249"/>
        <v>469840034.84903383</v>
      </c>
      <c r="K137" s="25"/>
      <c r="L137" s="25">
        <f t="shared" si="249"/>
        <v>253553675.68772835</v>
      </c>
      <c r="M137" s="25">
        <f t="shared" si="249"/>
        <v>216286359.16130552</v>
      </c>
      <c r="O137" s="25">
        <f t="shared" ref="O137:W137" si="250">+O77+O109+O118+O131+O135</f>
        <v>469840034.84903383</v>
      </c>
      <c r="P137" s="25">
        <f t="shared" si="250"/>
        <v>19160462.09</v>
      </c>
      <c r="Q137" s="25">
        <f t="shared" si="250"/>
        <v>14830315</v>
      </c>
      <c r="R137" s="25">
        <f t="shared" si="250"/>
        <v>0</v>
      </c>
      <c r="S137" s="25">
        <f t="shared" si="250"/>
        <v>0</v>
      </c>
      <c r="T137" s="25">
        <f t="shared" si="250"/>
        <v>474170181.93903387</v>
      </c>
      <c r="U137" s="25"/>
      <c r="V137" s="25">
        <f t="shared" si="250"/>
        <v>255395215.68772835</v>
      </c>
      <c r="W137" s="25">
        <f t="shared" si="250"/>
        <v>218774966.25130552</v>
      </c>
      <c r="Y137" s="25">
        <f t="shared" ref="Y137:AG137" si="251">+Y77+Y109+Y118+Y131+Y135</f>
        <v>474170181.93903387</v>
      </c>
      <c r="Z137" s="25">
        <f t="shared" si="251"/>
        <v>15026310.890000001</v>
      </c>
      <c r="AA137" s="25">
        <f t="shared" si="251"/>
        <v>96514</v>
      </c>
      <c r="AB137" s="25">
        <f t="shared" si="251"/>
        <v>0</v>
      </c>
      <c r="AC137" s="25">
        <f t="shared" si="251"/>
        <v>0</v>
      </c>
      <c r="AD137" s="25">
        <f t="shared" si="251"/>
        <v>489099978.82903385</v>
      </c>
      <c r="AE137" s="25"/>
      <c r="AF137" s="25">
        <f t="shared" si="251"/>
        <v>259030169.68772835</v>
      </c>
      <c r="AG137" s="25">
        <f t="shared" si="251"/>
        <v>230069809.14130554</v>
      </c>
      <c r="AI137" s="25">
        <f t="shared" ref="AI137:AQ137" si="252">+AI77+AI109+AI118+AI131+AI135</f>
        <v>489099978.82903385</v>
      </c>
      <c r="AJ137" s="25">
        <f t="shared" si="252"/>
        <v>46376059.149999999</v>
      </c>
      <c r="AK137" s="25">
        <f t="shared" si="252"/>
        <v>6768427</v>
      </c>
      <c r="AL137" s="25">
        <f t="shared" si="252"/>
        <v>0</v>
      </c>
      <c r="AM137" s="25">
        <f t="shared" si="252"/>
        <v>-1157</v>
      </c>
      <c r="AN137" s="25">
        <f t="shared" si="252"/>
        <v>914621624.04903388</v>
      </c>
      <c r="AO137" s="25"/>
      <c r="AP137" s="25">
        <f t="shared" si="252"/>
        <v>305651045.00272834</v>
      </c>
      <c r="AQ137" s="25">
        <f t="shared" si="252"/>
        <v>608970579.04630566</v>
      </c>
      <c r="AS137" s="25">
        <f t="shared" ref="AS137" si="253">+AS77+AS109+AS118+AS131+AS135</f>
        <v>914621624.04903388</v>
      </c>
      <c r="AX137" s="25">
        <f t="shared" ref="AX137" si="254">+AX77+AX109+AX118+AX131+AX135</f>
        <v>989226660.30903113</v>
      </c>
      <c r="AZ137" s="25">
        <f t="shared" ref="AZ137:BA137" si="255">+AZ77+AZ109+AZ118+AZ131+AZ135</f>
        <v>337872771.65272838</v>
      </c>
      <c r="BA137" s="25">
        <f t="shared" si="255"/>
        <v>651353888.65630293</v>
      </c>
      <c r="BC137" s="25">
        <f t="shared" ref="BC137" si="256">+BC77+BC109+BC118+BC131+BC135</f>
        <v>989226660.30903113</v>
      </c>
      <c r="BH137" s="25">
        <f t="shared" ref="BH137" si="257">+BH77+BH109+BH118+BH131+BH135</f>
        <v>1099503364.9990311</v>
      </c>
      <c r="BJ137" s="25">
        <f t="shared" ref="BJ137:BK137" si="258">+BJ77+BJ109+BJ118+BJ131+BJ135</f>
        <v>355681684.00272834</v>
      </c>
      <c r="BK137" s="25">
        <f t="shared" si="258"/>
        <v>743821680.99630284</v>
      </c>
      <c r="BM137" s="25">
        <f t="shared" ref="BM137" si="259">+BM77+BM109+BM118+BM131+BM135</f>
        <v>1099503364.9990311</v>
      </c>
      <c r="BR137" s="25">
        <f t="shared" ref="BR137" si="260">+BR77+BR109+BR118+BR131+BR135</f>
        <v>1121332905.4590309</v>
      </c>
      <c r="BT137" s="25">
        <f t="shared" ref="BT137:BU137" si="261">+BT77+BT109+BT118+BT131+BT135</f>
        <v>413368056.64272845</v>
      </c>
      <c r="BU137" s="25">
        <f t="shared" si="261"/>
        <v>707964848.81630278</v>
      </c>
      <c r="BW137" s="25">
        <f t="shared" ref="BW137" si="262">+BW77+BW109+BW118+BW131+BW135</f>
        <v>1121332905.4590309</v>
      </c>
      <c r="CB137" s="25">
        <f t="shared" ref="CB137" si="263">+CB77+CB109+CB118+CB131+CB135</f>
        <v>1260855824.809031</v>
      </c>
      <c r="CD137" s="25">
        <f t="shared" ref="CD137:CE137" si="264">+CD77+CD109+CD118+CD131+CD135</f>
        <v>456337173.0027284</v>
      </c>
      <c r="CE137" s="25">
        <f t="shared" si="264"/>
        <v>804518651.80630279</v>
      </c>
    </row>
    <row r="138" spans="1:85" ht="15" outlineLevel="1" x14ac:dyDescent="0.25">
      <c r="A138" s="14"/>
      <c r="C138" s="21"/>
      <c r="D138" s="21"/>
      <c r="E138" s="21"/>
      <c r="F138" s="14"/>
      <c r="G138" s="14"/>
      <c r="H138" s="14"/>
      <c r="I138" s="14"/>
      <c r="J138" s="21"/>
      <c r="K138" s="21"/>
      <c r="L138" s="319"/>
      <c r="M138" s="21"/>
      <c r="O138" s="21"/>
      <c r="P138" s="21"/>
      <c r="Q138" s="21"/>
      <c r="R138" s="21"/>
      <c r="S138" s="21"/>
      <c r="T138" s="21"/>
      <c r="U138" s="21"/>
      <c r="V138" s="21"/>
      <c r="W138" s="21"/>
      <c r="Y138" s="21"/>
      <c r="Z138" s="21"/>
      <c r="AA138" s="21"/>
      <c r="AB138" s="21"/>
      <c r="AC138" s="21"/>
      <c r="AD138" s="21"/>
      <c r="AE138" s="21"/>
      <c r="AF138" s="21"/>
      <c r="AG138" s="21"/>
      <c r="AI138" s="4"/>
      <c r="AJ138" s="4"/>
      <c r="AK138" s="4"/>
      <c r="AL138" s="4"/>
      <c r="AM138" s="4"/>
      <c r="AN138" s="21"/>
      <c r="AO138" s="21"/>
      <c r="AP138" s="21"/>
      <c r="AQ138" s="21"/>
      <c r="AS138" s="4"/>
      <c r="AX138" s="21"/>
      <c r="AZ138" s="21"/>
      <c r="BA138" s="21"/>
      <c r="BC138" s="4"/>
      <c r="BH138" s="21"/>
      <c r="BJ138" s="21"/>
      <c r="BK138" s="21"/>
      <c r="BM138" s="4"/>
      <c r="BR138" s="21"/>
      <c r="BT138" s="21"/>
      <c r="BU138" s="21"/>
      <c r="BW138" s="4"/>
      <c r="CB138" s="21"/>
      <c r="CD138" s="21"/>
      <c r="CE138" s="21"/>
    </row>
    <row r="139" spans="1:85" outlineLevel="1" x14ac:dyDescent="0.2">
      <c r="A139" s="14"/>
      <c r="B139" s="1" t="s">
        <v>326</v>
      </c>
      <c r="C139" s="26">
        <v>7770.96</v>
      </c>
      <c r="D139" s="26">
        <v>2017</v>
      </c>
      <c r="E139" s="26">
        <v>5753.96</v>
      </c>
      <c r="F139" s="26">
        <v>0</v>
      </c>
      <c r="G139" s="26">
        <v>0</v>
      </c>
      <c r="H139" s="26">
        <v>0</v>
      </c>
      <c r="I139" s="26">
        <v>0</v>
      </c>
      <c r="J139" s="21">
        <f>+C139+F139-G139+H139+I139</f>
        <v>7770.96</v>
      </c>
      <c r="K139" s="21"/>
      <c r="L139" s="21">
        <v>2239</v>
      </c>
      <c r="M139" s="21">
        <f>+J139-L139</f>
        <v>5531.96</v>
      </c>
      <c r="O139" s="26">
        <f>+J139</f>
        <v>7770.96</v>
      </c>
      <c r="P139" s="26"/>
      <c r="Q139" s="26"/>
      <c r="R139" s="26"/>
      <c r="S139" s="26"/>
      <c r="T139" s="21">
        <f>+O139+P139-Q139+R139+S139</f>
        <v>7770.96</v>
      </c>
      <c r="U139" s="21"/>
      <c r="V139" s="26">
        <v>2350</v>
      </c>
      <c r="W139" s="21">
        <f>+T139-V139</f>
        <v>5420.96</v>
      </c>
      <c r="Y139" s="26">
        <f t="shared" ref="Y139:Y141" si="265">+T139</f>
        <v>7770.96</v>
      </c>
      <c r="Z139" s="26">
        <v>0</v>
      </c>
      <c r="AA139" s="26">
        <v>0</v>
      </c>
      <c r="AB139" s="26">
        <v>0</v>
      </c>
      <c r="AC139" s="26">
        <v>0</v>
      </c>
      <c r="AD139" s="21">
        <f>+Y139+Z139-AA139+AB139+AC139</f>
        <v>7770.96</v>
      </c>
      <c r="AE139" s="21"/>
      <c r="AF139" s="26">
        <f>2683*(1-I56)</f>
        <v>2683</v>
      </c>
      <c r="AG139" s="21">
        <f>+AD139-AF139</f>
        <v>5087.96</v>
      </c>
      <c r="AI139" s="26">
        <f t="shared" ref="AI139:AI141" si="266">+AD139</f>
        <v>7770.96</v>
      </c>
      <c r="AJ139" s="27">
        <v>0</v>
      </c>
      <c r="AK139" s="27">
        <v>0</v>
      </c>
      <c r="AL139" s="27">
        <v>0</v>
      </c>
      <c r="AM139" s="27">
        <v>0</v>
      </c>
      <c r="AN139" s="21">
        <f>+AI139+AJ139-AK139+AL139+AM139</f>
        <v>7770.96</v>
      </c>
      <c r="AO139" s="21"/>
      <c r="AP139" s="26">
        <f>2905*(1-I56)</f>
        <v>2905</v>
      </c>
      <c r="AQ139" s="21">
        <f>+AN139-AP139</f>
        <v>4865.96</v>
      </c>
      <c r="AS139" s="26">
        <f t="shared" ref="AS139:AS141" si="267">+AN139</f>
        <v>7770.96</v>
      </c>
      <c r="AX139" s="21">
        <f>+AS139+AT139-AU139+AV139+AW139</f>
        <v>7770.96</v>
      </c>
      <c r="AZ139" s="26">
        <f>2905*(1-S56)</f>
        <v>2905</v>
      </c>
      <c r="BA139" s="21">
        <f>+AX139-AZ139</f>
        <v>4865.96</v>
      </c>
      <c r="BC139" s="26">
        <f t="shared" ref="BC139:BC141" si="268">+AX139</f>
        <v>7770.96</v>
      </c>
      <c r="BH139" s="21">
        <f>+BC139+BD139-BE139+BF139+BG139</f>
        <v>7770.96</v>
      </c>
      <c r="BJ139" s="26">
        <f>2905*(1-AC56)</f>
        <v>2905</v>
      </c>
      <c r="BK139" s="21">
        <f>+BH139-BJ139</f>
        <v>4865.96</v>
      </c>
      <c r="BM139" s="26">
        <f t="shared" ref="BM139:BM141" si="269">+BH139</f>
        <v>7770.96</v>
      </c>
      <c r="BR139" s="21">
        <f>+BM139+BN139-BO139+BP139+BQ139</f>
        <v>7770.96</v>
      </c>
      <c r="BT139" s="26">
        <f>2905*(1-AM56)</f>
        <v>2905</v>
      </c>
      <c r="BU139" s="21">
        <f>+BR139-BT139</f>
        <v>4865.96</v>
      </c>
      <c r="BW139" s="26">
        <f t="shared" ref="BW139:BW141" si="270">+BR139</f>
        <v>7770.96</v>
      </c>
      <c r="CB139" s="21">
        <f>+BW139+BX139-BY139+BZ139+CA139</f>
        <v>7770.96</v>
      </c>
      <c r="CD139" s="26">
        <f>2905*(1-AW56)</f>
        <v>2905</v>
      </c>
      <c r="CE139" s="21">
        <f>+CB139-CD139</f>
        <v>4865.96</v>
      </c>
    </row>
    <row r="140" spans="1:85" outlineLevel="1" x14ac:dyDescent="0.2">
      <c r="A140" s="14"/>
      <c r="B140" s="1" t="s">
        <v>327</v>
      </c>
      <c r="C140" s="26">
        <v>1918331.77</v>
      </c>
      <c r="D140" s="26">
        <v>129486</v>
      </c>
      <c r="E140" s="26">
        <v>1788845.77</v>
      </c>
      <c r="F140" s="26">
        <v>0</v>
      </c>
      <c r="G140" s="26">
        <v>0</v>
      </c>
      <c r="H140" s="320">
        <v>1323437</v>
      </c>
      <c r="I140" s="26">
        <v>0</v>
      </c>
      <c r="J140" s="21">
        <f>+C140+F140-G140+H140+I140</f>
        <v>3241768.77</v>
      </c>
      <c r="K140" s="21"/>
      <c r="L140" s="21">
        <v>117739</v>
      </c>
      <c r="M140" s="21">
        <f t="shared" ref="M140:M141" si="271">+J140-L140</f>
        <v>3124029.77</v>
      </c>
      <c r="O140" s="26">
        <f t="shared" ref="O140:O141" si="272">+J140</f>
        <v>3241768.77</v>
      </c>
      <c r="P140" s="26"/>
      <c r="Q140" s="26"/>
      <c r="R140" s="26"/>
      <c r="S140" s="26"/>
      <c r="T140" s="21">
        <f>+O140+P140-Q140+R140+S140</f>
        <v>3241768.77</v>
      </c>
      <c r="U140" s="21"/>
      <c r="V140" s="26">
        <v>132612</v>
      </c>
      <c r="W140" s="21">
        <f>+T140-V140</f>
        <v>3109156.77</v>
      </c>
      <c r="Y140" s="26">
        <f t="shared" si="265"/>
        <v>3241768.77</v>
      </c>
      <c r="Z140" s="26">
        <v>0</v>
      </c>
      <c r="AA140" s="26">
        <v>0</v>
      </c>
      <c r="AB140" s="26">
        <v>0</v>
      </c>
      <c r="AC140" s="26">
        <v>0</v>
      </c>
      <c r="AD140" s="21">
        <f>+Y140+Z140-AA140+AB140+AC140</f>
        <v>3241768.77</v>
      </c>
      <c r="AE140" s="21"/>
      <c r="AF140" s="26">
        <f>147484*(1-I56)</f>
        <v>147484</v>
      </c>
      <c r="AG140" s="21">
        <f>+AD140-AF140</f>
        <v>3094284.77</v>
      </c>
      <c r="AI140" s="26">
        <f t="shared" si="266"/>
        <v>3241768.77</v>
      </c>
      <c r="AJ140" s="27">
        <v>0</v>
      </c>
      <c r="AK140" s="27">
        <v>0</v>
      </c>
      <c r="AL140" s="27">
        <v>0</v>
      </c>
      <c r="AM140" s="27">
        <v>0</v>
      </c>
      <c r="AN140" s="21">
        <f>+AI140+AJ140-AK140+AL140+AM140</f>
        <v>3241768.77</v>
      </c>
      <c r="AO140" s="21"/>
      <c r="AP140" s="26">
        <f>162356*(1-I56)</f>
        <v>162356</v>
      </c>
      <c r="AQ140" s="21">
        <f>+AN140-AP140</f>
        <v>3079412.77</v>
      </c>
      <c r="AS140" s="26">
        <f t="shared" si="267"/>
        <v>3241768.77</v>
      </c>
      <c r="AX140" s="21">
        <f>+AS140+AT140-AU140+AV140+AW140</f>
        <v>3241768.77</v>
      </c>
      <c r="AZ140" s="26">
        <f>162356*(1-S56)</f>
        <v>162356</v>
      </c>
      <c r="BA140" s="21">
        <f>+AX140-AZ140</f>
        <v>3079412.77</v>
      </c>
      <c r="BC140" s="26">
        <f t="shared" si="268"/>
        <v>3241768.77</v>
      </c>
      <c r="BH140" s="21">
        <f>+BC140+BD140-BE140+BF140+BG140</f>
        <v>3241768.77</v>
      </c>
      <c r="BJ140" s="26">
        <f>162356*(1-AC56)</f>
        <v>162356</v>
      </c>
      <c r="BK140" s="21">
        <f>+BH140-BJ140</f>
        <v>3079412.77</v>
      </c>
      <c r="BM140" s="26">
        <f t="shared" si="269"/>
        <v>3241768.77</v>
      </c>
      <c r="BR140" s="21">
        <f>+BM140+BN140-BO140+BP140+BQ140</f>
        <v>3241768.77</v>
      </c>
      <c r="BT140" s="26">
        <f>162356*(1-AM56)</f>
        <v>162356</v>
      </c>
      <c r="BU140" s="21">
        <f>+BR140-BT140</f>
        <v>3079412.77</v>
      </c>
      <c r="BW140" s="26">
        <f t="shared" si="270"/>
        <v>3241768.77</v>
      </c>
      <c r="CB140" s="21">
        <f>+BW140+BX140-BY140+BZ140+CA140</f>
        <v>3241768.77</v>
      </c>
      <c r="CD140" s="26">
        <f>162356*(1-AW56)</f>
        <v>162356</v>
      </c>
      <c r="CE140" s="21">
        <f>+CB140-CD140</f>
        <v>3079412.77</v>
      </c>
    </row>
    <row r="141" spans="1:85" outlineLevel="1" x14ac:dyDescent="0.2">
      <c r="A141" s="14"/>
      <c r="B141" s="1" t="s">
        <v>328</v>
      </c>
      <c r="C141" s="26">
        <v>504105.23</v>
      </c>
      <c r="D141" s="26">
        <v>99621</v>
      </c>
      <c r="E141" s="26">
        <v>404484.23</v>
      </c>
      <c r="F141" s="26">
        <v>0</v>
      </c>
      <c r="G141" s="26">
        <v>0</v>
      </c>
      <c r="H141" s="26">
        <v>0</v>
      </c>
      <c r="I141" s="26">
        <v>0</v>
      </c>
      <c r="J141" s="21">
        <f>+C141+F141-G141+H141+I141</f>
        <v>504105.23</v>
      </c>
      <c r="K141" s="21"/>
      <c r="L141" s="21">
        <v>114025</v>
      </c>
      <c r="M141" s="21">
        <f t="shared" si="271"/>
        <v>390080.23</v>
      </c>
      <c r="O141" s="26">
        <f t="shared" si="272"/>
        <v>504105.23</v>
      </c>
      <c r="P141" s="26"/>
      <c r="Q141" s="26"/>
      <c r="R141" s="26"/>
      <c r="S141" s="26"/>
      <c r="T141" s="21">
        <f>+O141+P141-Q141+R141+S141</f>
        <v>504105.23</v>
      </c>
      <c r="U141" s="21"/>
      <c r="V141" s="26">
        <v>128427</v>
      </c>
      <c r="W141" s="21">
        <f>+T141-V141</f>
        <v>375678.23</v>
      </c>
      <c r="Y141" s="26">
        <f t="shared" si="265"/>
        <v>504105.23</v>
      </c>
      <c r="Z141" s="26">
        <v>0</v>
      </c>
      <c r="AA141" s="26">
        <v>0</v>
      </c>
      <c r="AB141" s="26">
        <v>0</v>
      </c>
      <c r="AC141" s="26">
        <v>0</v>
      </c>
      <c r="AD141" s="21">
        <f>+Y141+Z141-AA141+AB141+AC141</f>
        <v>504105.23</v>
      </c>
      <c r="AE141" s="21"/>
      <c r="AF141" s="26">
        <f>142830*(1-I56)</f>
        <v>142830</v>
      </c>
      <c r="AG141" s="21">
        <f>+AD141-AF141</f>
        <v>361275.23</v>
      </c>
      <c r="AI141" s="26">
        <f t="shared" si="266"/>
        <v>504105.23</v>
      </c>
      <c r="AJ141" s="27">
        <v>0</v>
      </c>
      <c r="AK141" s="27">
        <v>0</v>
      </c>
      <c r="AL141" s="27">
        <v>0</v>
      </c>
      <c r="AM141" s="27">
        <v>0</v>
      </c>
      <c r="AN141" s="21">
        <f>+AI141+AJ141-AK141+AL141+AM141</f>
        <v>504105.23</v>
      </c>
      <c r="AO141" s="21"/>
      <c r="AP141" s="26">
        <f>157233*(1-I56)</f>
        <v>157233</v>
      </c>
      <c r="AQ141" s="21">
        <f>+AN141-AP141</f>
        <v>346872.23</v>
      </c>
      <c r="AS141" s="26">
        <f t="shared" si="267"/>
        <v>504105.23</v>
      </c>
      <c r="AX141" s="21">
        <f>+AS141+AT141-AU141+AV141+AW141</f>
        <v>504105.23</v>
      </c>
      <c r="AZ141" s="26">
        <f>157233*(1-S56)</f>
        <v>157233</v>
      </c>
      <c r="BA141" s="21">
        <f>+AX141-AZ141</f>
        <v>346872.23</v>
      </c>
      <c r="BC141" s="26">
        <f t="shared" si="268"/>
        <v>504105.23</v>
      </c>
      <c r="BH141" s="21">
        <f>+BC141+BD141-BE141+BF141+BG141</f>
        <v>504105.23</v>
      </c>
      <c r="BJ141" s="26">
        <f>157233*(1-AC56)</f>
        <v>157233</v>
      </c>
      <c r="BK141" s="21">
        <f>+BH141-BJ141</f>
        <v>346872.23</v>
      </c>
      <c r="BM141" s="26">
        <f t="shared" si="269"/>
        <v>504105.23</v>
      </c>
      <c r="BR141" s="21">
        <f>+BM141+BN141-BO141+BP141+BQ141</f>
        <v>504105.23</v>
      </c>
      <c r="BT141" s="26">
        <f>157233*(1-AM56)</f>
        <v>157233</v>
      </c>
      <c r="BU141" s="21">
        <f>+BR141-BT141</f>
        <v>346872.23</v>
      </c>
      <c r="BW141" s="26">
        <f t="shared" si="270"/>
        <v>504105.23</v>
      </c>
      <c r="CB141" s="21">
        <f>+BW141+BX141-BY141+BZ141+CA141</f>
        <v>504105.23</v>
      </c>
      <c r="CD141" s="26">
        <f>157233*(1-AW56)</f>
        <v>157233</v>
      </c>
      <c r="CE141" s="21">
        <f>+CB141-CD141</f>
        <v>346872.23</v>
      </c>
    </row>
    <row r="142" spans="1:85" ht="13.5" thickBot="1" x14ac:dyDescent="0.25">
      <c r="A142" s="14"/>
      <c r="C142" s="22">
        <f>+SUM(C139:C141)</f>
        <v>2430207.96</v>
      </c>
      <c r="D142" s="22">
        <f>+SUM(D139:D141)</f>
        <v>231124</v>
      </c>
      <c r="E142" s="22">
        <f>+SUM(E139:E141)</f>
        <v>2199083.96</v>
      </c>
      <c r="F142" s="22">
        <f t="shared" ref="F142:M142" si="273">SUM(F139:F141)</f>
        <v>0</v>
      </c>
      <c r="G142" s="22">
        <f t="shared" si="273"/>
        <v>0</v>
      </c>
      <c r="H142" s="22">
        <f t="shared" si="273"/>
        <v>1323437</v>
      </c>
      <c r="I142" s="22">
        <f t="shared" si="273"/>
        <v>0</v>
      </c>
      <c r="J142" s="22">
        <f t="shared" si="273"/>
        <v>3753644.96</v>
      </c>
      <c r="K142" s="22"/>
      <c r="L142" s="22">
        <f t="shared" si="273"/>
        <v>234003</v>
      </c>
      <c r="M142" s="22">
        <f t="shared" si="273"/>
        <v>3519641.96</v>
      </c>
      <c r="O142" s="22">
        <f>SUM(O139:O141)</f>
        <v>3753644.96</v>
      </c>
      <c r="P142" s="22">
        <f t="shared" ref="P142:W142" si="274">SUM(P139:P141)</f>
        <v>0</v>
      </c>
      <c r="Q142" s="22">
        <f t="shared" si="274"/>
        <v>0</v>
      </c>
      <c r="R142" s="22">
        <f t="shared" si="274"/>
        <v>0</v>
      </c>
      <c r="S142" s="22">
        <f t="shared" si="274"/>
        <v>0</v>
      </c>
      <c r="T142" s="22">
        <f t="shared" si="274"/>
        <v>3753644.96</v>
      </c>
      <c r="U142" s="22"/>
      <c r="V142" s="22">
        <f t="shared" si="274"/>
        <v>263389</v>
      </c>
      <c r="W142" s="22">
        <f t="shared" si="274"/>
        <v>3490255.96</v>
      </c>
      <c r="Y142" s="22">
        <f>SUM(Y139:Y141)</f>
        <v>3753644.96</v>
      </c>
      <c r="Z142" s="22">
        <f t="shared" ref="Z142:AG142" si="275">SUM(Z139:Z141)</f>
        <v>0</v>
      </c>
      <c r="AA142" s="22">
        <f t="shared" si="275"/>
        <v>0</v>
      </c>
      <c r="AB142" s="22">
        <f t="shared" si="275"/>
        <v>0</v>
      </c>
      <c r="AC142" s="22">
        <f t="shared" si="275"/>
        <v>0</v>
      </c>
      <c r="AD142" s="22">
        <f t="shared" si="275"/>
        <v>3753644.96</v>
      </c>
      <c r="AE142" s="22"/>
      <c r="AF142" s="22">
        <f t="shared" si="275"/>
        <v>292997</v>
      </c>
      <c r="AG142" s="22">
        <f t="shared" si="275"/>
        <v>3460647.96</v>
      </c>
      <c r="AI142" s="5">
        <f>SUM(AI139:AI141)</f>
        <v>3753644.96</v>
      </c>
      <c r="AJ142" s="5">
        <f t="shared" ref="AJ142:AQ142" si="276">SUM(AJ139:AJ141)</f>
        <v>0</v>
      </c>
      <c r="AK142" s="5">
        <f t="shared" si="276"/>
        <v>0</v>
      </c>
      <c r="AL142" s="5">
        <f t="shared" si="276"/>
        <v>0</v>
      </c>
      <c r="AM142" s="5">
        <f t="shared" si="276"/>
        <v>0</v>
      </c>
      <c r="AN142" s="5">
        <f t="shared" si="276"/>
        <v>3753644.96</v>
      </c>
      <c r="AO142" s="5"/>
      <c r="AP142" s="5">
        <f t="shared" si="276"/>
        <v>322494</v>
      </c>
      <c r="AQ142" s="5">
        <f t="shared" si="276"/>
        <v>3431150.96</v>
      </c>
      <c r="AS142" s="5">
        <f>SUM(AS139:AS141)</f>
        <v>3753644.96</v>
      </c>
      <c r="AX142" s="5">
        <f t="shared" ref="AX142" si="277">SUM(AX139:AX141)</f>
        <v>3753644.96</v>
      </c>
      <c r="AZ142" s="5">
        <f t="shared" ref="AZ142:BA142" si="278">SUM(AZ139:AZ141)</f>
        <v>322494</v>
      </c>
      <c r="BA142" s="5">
        <f t="shared" si="278"/>
        <v>3431150.96</v>
      </c>
      <c r="BC142" s="5">
        <f>SUM(BC139:BC141)</f>
        <v>3753644.96</v>
      </c>
      <c r="BH142" s="5">
        <f t="shared" ref="BH142" si="279">SUM(BH139:BH141)</f>
        <v>3753644.96</v>
      </c>
      <c r="BJ142" s="5">
        <f t="shared" ref="BJ142:BK142" si="280">SUM(BJ139:BJ141)</f>
        <v>322494</v>
      </c>
      <c r="BK142" s="5">
        <f t="shared" si="280"/>
        <v>3431150.96</v>
      </c>
      <c r="BM142" s="5">
        <f>SUM(BM139:BM141)</f>
        <v>3753644.96</v>
      </c>
      <c r="BR142" s="5">
        <f t="shared" ref="BR142" si="281">SUM(BR139:BR141)</f>
        <v>3753644.96</v>
      </c>
      <c r="BT142" s="5">
        <f t="shared" ref="BT142:BU142" si="282">SUM(BT139:BT141)</f>
        <v>322494</v>
      </c>
      <c r="BU142" s="5">
        <f t="shared" si="282"/>
        <v>3431150.96</v>
      </c>
      <c r="BW142" s="5">
        <f>SUM(BW139:BW141)</f>
        <v>3753644.96</v>
      </c>
      <c r="CB142" s="5">
        <f t="shared" ref="CB142" si="283">SUM(CB139:CB141)</f>
        <v>3753644.96</v>
      </c>
      <c r="CD142" s="5">
        <f t="shared" ref="CD142:CE142" si="284">SUM(CD139:CD141)</f>
        <v>322494</v>
      </c>
      <c r="CE142" s="5">
        <f t="shared" si="284"/>
        <v>3431150.96</v>
      </c>
    </row>
    <row r="143" spans="1:85" ht="15.75" thickTop="1" x14ac:dyDescent="0.25">
      <c r="A143" s="14"/>
      <c r="C143" s="21"/>
      <c r="D143" s="21"/>
      <c r="E143" s="21"/>
      <c r="F143" s="14"/>
      <c r="G143" s="14"/>
      <c r="H143" s="14"/>
      <c r="I143" s="14"/>
      <c r="J143" s="21"/>
      <c r="K143" s="21"/>
      <c r="L143" s="21"/>
      <c r="M143" s="21"/>
      <c r="O143" s="21"/>
      <c r="P143" s="21"/>
      <c r="Q143" s="21"/>
      <c r="R143" s="21"/>
      <c r="S143" s="21"/>
      <c r="T143" s="21"/>
      <c r="U143" s="21"/>
      <c r="V143" s="21"/>
      <c r="W143" s="21"/>
      <c r="Y143" s="21"/>
      <c r="Z143" s="21"/>
      <c r="AA143" s="21"/>
      <c r="AB143" s="21"/>
      <c r="AC143" s="31"/>
      <c r="AD143" s="21"/>
      <c r="AE143" s="21"/>
      <c r="AF143" s="21"/>
      <c r="AG143" s="21"/>
      <c r="AI143" s="4"/>
      <c r="AJ143" s="4"/>
      <c r="AK143" s="4"/>
      <c r="AL143" s="4"/>
      <c r="AM143" s="6"/>
      <c r="AN143" s="21"/>
      <c r="AO143" s="21"/>
      <c r="AP143" s="21"/>
      <c r="AQ143" s="21"/>
      <c r="AS143" s="4"/>
      <c r="AX143" s="21"/>
      <c r="AZ143" s="21"/>
      <c r="BA143" s="21"/>
      <c r="BC143" s="4"/>
      <c r="BH143" s="21"/>
      <c r="BJ143" s="21"/>
      <c r="BK143" s="21"/>
      <c r="BM143" s="4"/>
      <c r="BR143" s="21"/>
      <c r="BT143" s="21"/>
      <c r="BU143" s="21"/>
      <c r="BW143" s="4"/>
      <c r="CB143" s="21"/>
      <c r="CD143" s="21"/>
      <c r="CE143" s="21"/>
    </row>
    <row r="144" spans="1:85" ht="15.75" thickBot="1" x14ac:dyDescent="0.3">
      <c r="A144" s="14"/>
      <c r="B144" s="16" t="s">
        <v>329</v>
      </c>
      <c r="C144" s="25">
        <f>+C137+C142</f>
        <v>461691963.4490338</v>
      </c>
      <c r="D144" s="25">
        <f>+D137+D142</f>
        <v>238615921.41</v>
      </c>
      <c r="E144" s="25">
        <f>+E137+E142</f>
        <v>223076043.03903389</v>
      </c>
      <c r="F144" s="25">
        <f t="shared" ref="F144:M144" si="285">+F137+F142</f>
        <v>9254842.3599999994</v>
      </c>
      <c r="G144" s="25">
        <f t="shared" si="285"/>
        <v>0</v>
      </c>
      <c r="H144" s="25">
        <f>+H137+H142</f>
        <v>2646874</v>
      </c>
      <c r="I144" s="25">
        <f t="shared" si="285"/>
        <v>0</v>
      </c>
      <c r="J144" s="25">
        <f t="shared" si="285"/>
        <v>473593679.80903381</v>
      </c>
      <c r="K144" s="25"/>
      <c r="L144" s="25">
        <f t="shared" si="285"/>
        <v>253787678.68772835</v>
      </c>
      <c r="M144" s="25">
        <f t="shared" si="285"/>
        <v>219806001.12130553</v>
      </c>
      <c r="O144" s="25">
        <f t="shared" ref="O144:W144" si="286">+O137+O142</f>
        <v>473593679.80903381</v>
      </c>
      <c r="P144" s="25">
        <f t="shared" si="286"/>
        <v>19160462.09</v>
      </c>
      <c r="Q144" s="25">
        <f t="shared" si="286"/>
        <v>14830315</v>
      </c>
      <c r="R144" s="25">
        <f t="shared" si="286"/>
        <v>0</v>
      </c>
      <c r="S144" s="25">
        <f t="shared" si="286"/>
        <v>0</v>
      </c>
      <c r="T144" s="25">
        <f t="shared" si="286"/>
        <v>477923826.89903384</v>
      </c>
      <c r="U144" s="25"/>
      <c r="V144" s="25">
        <f t="shared" si="286"/>
        <v>255658604.68772835</v>
      </c>
      <c r="W144" s="25">
        <f t="shared" si="286"/>
        <v>222265222.21130553</v>
      </c>
      <c r="Y144" s="25">
        <f t="shared" ref="Y144:AG144" si="287">+Y137+Y142</f>
        <v>477923826.89903384</v>
      </c>
      <c r="Z144" s="25">
        <f t="shared" si="287"/>
        <v>15026310.890000001</v>
      </c>
      <c r="AA144" s="25">
        <f t="shared" si="287"/>
        <v>96514</v>
      </c>
      <c r="AB144" s="25">
        <f t="shared" si="287"/>
        <v>0</v>
      </c>
      <c r="AC144" s="25">
        <f t="shared" si="287"/>
        <v>0</v>
      </c>
      <c r="AD144" s="25">
        <f t="shared" si="287"/>
        <v>492853623.78903383</v>
      </c>
      <c r="AE144" s="25"/>
      <c r="AF144" s="25">
        <f t="shared" si="287"/>
        <v>259323166.68772835</v>
      </c>
      <c r="AG144" s="25">
        <f t="shared" si="287"/>
        <v>233530457.10130554</v>
      </c>
      <c r="AI144" s="25">
        <f t="shared" ref="AI144:AQ144" si="288">+AI137+AI142</f>
        <v>492853623.78903383</v>
      </c>
      <c r="AJ144" s="25">
        <f t="shared" si="288"/>
        <v>46376059.149999999</v>
      </c>
      <c r="AK144" s="7">
        <f t="shared" si="288"/>
        <v>6768427</v>
      </c>
      <c r="AL144" s="7">
        <f t="shared" si="288"/>
        <v>0</v>
      </c>
      <c r="AM144" s="7">
        <f t="shared" si="288"/>
        <v>-1157</v>
      </c>
      <c r="AN144" s="25">
        <f>+AN137+AN142</f>
        <v>918375269.00903392</v>
      </c>
      <c r="AO144" s="25"/>
      <c r="AP144" s="25">
        <f t="shared" si="288"/>
        <v>305973539.00272834</v>
      </c>
      <c r="AQ144" s="25">
        <f t="shared" si="288"/>
        <v>612401730.00630569</v>
      </c>
      <c r="AS144" s="25">
        <f t="shared" ref="AS144" si="289">+AS137+AS142</f>
        <v>918375269.00903392</v>
      </c>
      <c r="AX144" s="25">
        <f>+AX137+AX142</f>
        <v>992980305.26903117</v>
      </c>
      <c r="AZ144" s="25">
        <f t="shared" ref="AZ144:BA144" si="290">+AZ137+AZ142</f>
        <v>338195265.65272838</v>
      </c>
      <c r="BA144" s="25">
        <f t="shared" si="290"/>
        <v>654785039.61630297</v>
      </c>
      <c r="BC144" s="25">
        <f t="shared" ref="BC144" si="291">+BC137+BC142</f>
        <v>992980305.26903117</v>
      </c>
      <c r="BH144" s="25">
        <f>+BH137+BH142</f>
        <v>1103257009.9590311</v>
      </c>
      <c r="BJ144" s="25">
        <f t="shared" ref="BJ144:BK144" si="292">+BJ137+BJ142</f>
        <v>356004178.00272834</v>
      </c>
      <c r="BK144" s="25">
        <f t="shared" si="292"/>
        <v>747252831.95630288</v>
      </c>
      <c r="BM144" s="25">
        <f t="shared" ref="BM144" si="293">+BM137+BM142</f>
        <v>1103257009.9590311</v>
      </c>
      <c r="BR144" s="25">
        <f>+BR137+BR142</f>
        <v>1125086550.4190309</v>
      </c>
      <c r="BT144" s="25">
        <f t="shared" ref="BT144:BU144" si="294">+BT137+BT142</f>
        <v>413690550.64272845</v>
      </c>
      <c r="BU144" s="25">
        <f t="shared" si="294"/>
        <v>711395999.77630281</v>
      </c>
      <c r="BW144" s="25">
        <f t="shared" ref="BW144" si="295">+BW137+BW142</f>
        <v>1125086550.4190309</v>
      </c>
      <c r="CB144" s="25">
        <f>+CB137+CB142</f>
        <v>1264609469.769031</v>
      </c>
      <c r="CD144" s="25">
        <f t="shared" ref="CD144:CE144" si="296">+CD137+CD142</f>
        <v>456659667.0027284</v>
      </c>
      <c r="CE144" s="25">
        <f t="shared" si="296"/>
        <v>807949802.76630282</v>
      </c>
      <c r="CG144" s="21"/>
    </row>
    <row r="145" spans="2:85" x14ac:dyDescent="0.2">
      <c r="C145" s="1"/>
    </row>
    <row r="146" spans="2:85" x14ac:dyDescent="0.2">
      <c r="B146" s="1136" t="s">
        <v>1618</v>
      </c>
      <c r="C146" s="1137"/>
      <c r="D146" s="1137"/>
      <c r="E146" s="1137"/>
      <c r="F146" s="1136"/>
      <c r="G146" s="1136"/>
      <c r="H146" s="1136"/>
      <c r="I146" s="1136"/>
      <c r="J146" s="1136"/>
      <c r="K146" s="1136"/>
      <c r="L146" s="1136"/>
      <c r="M146" s="1136"/>
      <c r="N146" s="1136"/>
      <c r="O146" s="1136"/>
      <c r="P146" s="1136"/>
      <c r="Q146" s="1136"/>
      <c r="R146" s="1136"/>
      <c r="S146" s="1136"/>
      <c r="T146" s="1136"/>
      <c r="U146" s="1136"/>
      <c r="V146" s="1136"/>
      <c r="W146" s="1136"/>
      <c r="X146" s="1136"/>
      <c r="Y146" s="1136"/>
      <c r="Z146" s="1136"/>
      <c r="AA146" s="1136"/>
      <c r="AB146" s="1136"/>
      <c r="AC146" s="1136"/>
      <c r="AD146" s="1136"/>
      <c r="AE146" s="1136"/>
      <c r="AF146" s="1136"/>
      <c r="AG146" s="1136"/>
      <c r="AH146" s="1136"/>
      <c r="AI146" s="1136"/>
      <c r="AJ146" s="1136"/>
      <c r="AK146" s="1136"/>
      <c r="AL146" s="1136"/>
      <c r="AM146" s="1136"/>
      <c r="AN146" s="1136"/>
      <c r="AO146" s="1136"/>
      <c r="AP146" s="1136"/>
      <c r="AQ146" s="1136"/>
      <c r="AR146" s="1136"/>
      <c r="AS146" s="1136"/>
      <c r="AT146" s="1136"/>
      <c r="AU146" s="1136"/>
      <c r="AV146" s="1136"/>
      <c r="AW146" s="1136"/>
      <c r="AX146" s="1138"/>
      <c r="AY146" s="1136"/>
      <c r="AZ146" s="1136"/>
      <c r="BA146" s="1136"/>
      <c r="BB146" s="1136"/>
      <c r="BC146" s="1136"/>
      <c r="BD146" s="1136"/>
      <c r="BE146" s="1136"/>
      <c r="BF146" s="1136"/>
      <c r="BG146" s="1136"/>
      <c r="BH146" s="1138"/>
      <c r="BI146" s="1136"/>
      <c r="BJ146" s="1136"/>
      <c r="BK146" s="1136"/>
      <c r="BL146" s="1136"/>
      <c r="BM146" s="1136"/>
      <c r="BN146" s="1136"/>
      <c r="BO146" s="1136"/>
      <c r="BP146" s="1136"/>
      <c r="BQ146" s="1136"/>
      <c r="BR146" s="1138"/>
      <c r="BS146" s="1136"/>
      <c r="BT146" s="1136"/>
      <c r="BU146" s="1136"/>
      <c r="BV146" s="1136"/>
      <c r="BW146" s="1136"/>
      <c r="BX146" s="1136"/>
      <c r="BY146" s="1136"/>
      <c r="BZ146" s="1136"/>
      <c r="CA146" s="1136"/>
      <c r="CB146" s="1138">
        <f>SUM(BS01_BS02!I57:L57)</f>
        <v>0</v>
      </c>
      <c r="CC146" s="1136"/>
      <c r="CD146" s="1136"/>
      <c r="CE146" s="1136"/>
    </row>
    <row r="147" spans="2:85" x14ac:dyDescent="0.2">
      <c r="B147" s="1136" t="s">
        <v>1621</v>
      </c>
      <c r="C147" s="1137"/>
      <c r="D147" s="1137"/>
      <c r="E147" s="1137"/>
      <c r="F147" s="1136"/>
      <c r="G147" s="1136"/>
      <c r="H147" s="1136"/>
      <c r="I147" s="1136"/>
      <c r="J147" s="1136"/>
      <c r="K147" s="1136"/>
      <c r="L147" s="1136"/>
      <c r="M147" s="1136"/>
      <c r="N147" s="1136"/>
      <c r="O147" s="1136"/>
      <c r="P147" s="1136"/>
      <c r="Q147" s="1136"/>
      <c r="R147" s="1136"/>
      <c r="S147" s="1136"/>
      <c r="T147" s="1136"/>
      <c r="U147" s="1136"/>
      <c r="V147" s="1136"/>
      <c r="W147" s="1136"/>
      <c r="X147" s="1136"/>
      <c r="Y147" s="1136"/>
      <c r="Z147" s="1136"/>
      <c r="AA147" s="1136"/>
      <c r="AB147" s="1136"/>
      <c r="AC147" s="1136"/>
      <c r="AD147" s="1136"/>
      <c r="AE147" s="1136"/>
      <c r="AF147" s="1136"/>
      <c r="AG147" s="1136"/>
      <c r="AH147" s="1136"/>
      <c r="AI147" s="1136"/>
      <c r="AJ147" s="1136"/>
      <c r="AK147" s="1136"/>
      <c r="AL147" s="1136"/>
      <c r="AM147" s="1136"/>
      <c r="AN147" s="1136"/>
      <c r="AO147" s="1136"/>
      <c r="AP147" s="1136"/>
      <c r="AQ147" s="1136"/>
      <c r="AR147" s="1136"/>
      <c r="AS147" s="1136"/>
      <c r="AT147" s="1136"/>
      <c r="AU147" s="1136"/>
      <c r="AV147" s="1136"/>
      <c r="AW147" s="1136"/>
      <c r="AX147" s="1138"/>
      <c r="AY147" s="1136"/>
      <c r="AZ147" s="1136"/>
      <c r="BA147" s="1136"/>
      <c r="BB147" s="1136"/>
      <c r="BC147" s="1136"/>
      <c r="BD147" s="1136"/>
      <c r="BE147" s="1136"/>
      <c r="BF147" s="1136"/>
      <c r="BG147" s="1136"/>
      <c r="BH147" s="1138"/>
      <c r="BI147" s="1136"/>
      <c r="BJ147" s="1136"/>
      <c r="BK147" s="1136"/>
      <c r="BL147" s="1136"/>
      <c r="BM147" s="1136"/>
      <c r="BN147" s="1136"/>
      <c r="BO147" s="1136"/>
      <c r="BP147" s="1136"/>
      <c r="BQ147" s="1136"/>
      <c r="BR147" s="1138"/>
      <c r="BS147" s="1136"/>
      <c r="BT147" s="1136"/>
      <c r="BU147" s="1136"/>
      <c r="BV147" s="1136"/>
      <c r="BW147" s="1136"/>
      <c r="BX147" s="1136"/>
      <c r="BY147" s="1136"/>
      <c r="BZ147" s="1136"/>
      <c r="CA147" s="1136"/>
      <c r="CB147" s="1138">
        <f>SUM(BS01_BS02!I56:L56)</f>
        <v>52147284.980000004</v>
      </c>
      <c r="CC147" s="1136"/>
      <c r="CD147" s="1136"/>
      <c r="CE147" s="1136"/>
      <c r="CG147" s="21"/>
    </row>
    <row r="148" spans="2:85" x14ac:dyDescent="0.2">
      <c r="D148" s="14"/>
      <c r="E148" s="14"/>
    </row>
    <row r="149" spans="2:85" x14ac:dyDescent="0.2">
      <c r="B149" s="1136" t="s">
        <v>1616</v>
      </c>
      <c r="C149" s="1137"/>
      <c r="D149" s="1137"/>
      <c r="E149" s="1137"/>
      <c r="F149" s="1136"/>
      <c r="G149" s="1136"/>
      <c r="H149" s="1136"/>
      <c r="I149" s="1136"/>
      <c r="J149" s="1136"/>
      <c r="K149" s="1136"/>
      <c r="L149" s="1136"/>
      <c r="M149" s="1136"/>
      <c r="N149" s="1136"/>
      <c r="O149" s="1136"/>
      <c r="P149" s="1136"/>
      <c r="Q149" s="1136"/>
      <c r="R149" s="1136"/>
      <c r="S149" s="1136"/>
      <c r="T149" s="1136"/>
      <c r="U149" s="1136"/>
      <c r="V149" s="1136"/>
      <c r="W149" s="1136"/>
      <c r="X149" s="1136"/>
      <c r="Y149" s="1136"/>
      <c r="Z149" s="1136"/>
      <c r="AA149" s="1136"/>
      <c r="AB149" s="1136"/>
      <c r="AC149" s="1136"/>
      <c r="AD149" s="1136"/>
      <c r="AE149" s="1136"/>
      <c r="AF149" s="1136"/>
      <c r="AG149" s="1136"/>
      <c r="AH149" s="1136"/>
      <c r="AI149" s="1136"/>
      <c r="AJ149" s="1136"/>
      <c r="AK149" s="1136"/>
      <c r="AL149" s="1136"/>
      <c r="AM149" s="1136"/>
      <c r="AN149" s="1136"/>
      <c r="AO149" s="1136"/>
      <c r="AP149" s="1136"/>
      <c r="AQ149" s="1136"/>
      <c r="AR149" s="1136"/>
      <c r="AS149" s="1136"/>
      <c r="AT149" s="1136"/>
      <c r="AU149" s="1136"/>
      <c r="AV149" s="1136"/>
      <c r="AW149" s="1136"/>
      <c r="AX149" s="1138"/>
      <c r="AY149" s="1136"/>
      <c r="AZ149" s="1136"/>
      <c r="BA149" s="1136"/>
      <c r="BB149" s="1136"/>
      <c r="BC149" s="1136"/>
      <c r="BD149" s="1136"/>
      <c r="BE149" s="1136"/>
      <c r="BF149" s="1136"/>
      <c r="BG149" s="1136"/>
      <c r="BH149" s="1138"/>
      <c r="BI149" s="1136"/>
      <c r="BJ149" s="1136"/>
      <c r="BK149" s="1136"/>
      <c r="BL149" s="1136"/>
      <c r="BM149" s="1136"/>
      <c r="BN149" s="1136"/>
      <c r="BO149" s="1136"/>
      <c r="BP149" s="1136"/>
      <c r="BQ149" s="1136"/>
      <c r="BR149" s="1138"/>
      <c r="BS149" s="1136"/>
      <c r="BT149" s="1136"/>
      <c r="BU149" s="1136"/>
      <c r="BV149" s="1136"/>
      <c r="BW149" s="1136"/>
      <c r="BX149" s="1136"/>
      <c r="BY149" s="1136"/>
      <c r="BZ149" s="1136"/>
      <c r="CA149" s="1136"/>
      <c r="CB149" s="1138">
        <f>SUM(AX150:CB151)</f>
        <v>0</v>
      </c>
      <c r="CC149" s="1136"/>
      <c r="CD149" s="1136"/>
      <c r="CE149" s="1136"/>
    </row>
    <row r="150" spans="2:85" x14ac:dyDescent="0.2">
      <c r="D150" s="14"/>
      <c r="E150" s="14"/>
      <c r="AX150" s="21"/>
    </row>
    <row r="151" spans="2:85" x14ac:dyDescent="0.2">
      <c r="D151" s="14"/>
      <c r="E151" s="14"/>
    </row>
    <row r="152" spans="2:85" x14ac:dyDescent="0.2">
      <c r="B152" s="1136" t="s">
        <v>1617</v>
      </c>
      <c r="C152" s="1137"/>
      <c r="D152" s="1137"/>
      <c r="E152" s="1137"/>
      <c r="F152" s="1136"/>
      <c r="G152" s="1136"/>
      <c r="H152" s="1136"/>
      <c r="I152" s="1136"/>
      <c r="J152" s="1136"/>
      <c r="K152" s="1136"/>
      <c r="L152" s="1136"/>
      <c r="M152" s="1136"/>
      <c r="N152" s="1136"/>
      <c r="O152" s="1136"/>
      <c r="P152" s="1136"/>
      <c r="Q152" s="1136"/>
      <c r="R152" s="1136"/>
      <c r="S152" s="1136"/>
      <c r="T152" s="1136"/>
      <c r="U152" s="1136"/>
      <c r="V152" s="1136"/>
      <c r="W152" s="1136"/>
      <c r="X152" s="1136"/>
      <c r="Y152" s="1136"/>
      <c r="Z152" s="1136"/>
      <c r="AA152" s="1136"/>
      <c r="AB152" s="1136"/>
      <c r="AC152" s="1136"/>
      <c r="AD152" s="1136"/>
      <c r="AE152" s="1136"/>
      <c r="AF152" s="1136"/>
      <c r="AG152" s="1136"/>
      <c r="AH152" s="1136"/>
      <c r="AI152" s="1136"/>
      <c r="AJ152" s="1136"/>
      <c r="AK152" s="1136"/>
      <c r="AL152" s="1136"/>
      <c r="AM152" s="1136"/>
      <c r="AN152" s="1136"/>
      <c r="AO152" s="1136"/>
      <c r="AP152" s="1136"/>
      <c r="AQ152" s="1136"/>
      <c r="AR152" s="1136"/>
      <c r="AS152" s="1136"/>
      <c r="AT152" s="1136"/>
      <c r="AU152" s="1136"/>
      <c r="AV152" s="1136"/>
      <c r="AW152" s="1136"/>
      <c r="AX152" s="1138"/>
      <c r="AY152" s="1136"/>
      <c r="AZ152" s="1136"/>
      <c r="BA152" s="1136"/>
      <c r="BB152" s="1136"/>
      <c r="BC152" s="1136"/>
      <c r="BD152" s="1136"/>
      <c r="BE152" s="1136"/>
      <c r="BF152" s="1136"/>
      <c r="BG152" s="1136"/>
      <c r="BH152" s="1138"/>
      <c r="BI152" s="1136"/>
      <c r="BJ152" s="1136"/>
      <c r="BK152" s="1136"/>
      <c r="BL152" s="1136"/>
      <c r="BM152" s="1136"/>
      <c r="BN152" s="1136"/>
      <c r="BO152" s="1136"/>
      <c r="BP152" s="1136"/>
      <c r="BQ152" s="1136"/>
      <c r="BR152" s="1138"/>
      <c r="BS152" s="1136"/>
      <c r="BT152" s="1136"/>
      <c r="BU152" s="1136"/>
      <c r="BV152" s="1136"/>
      <c r="BW152" s="1136"/>
      <c r="BX152" s="1136"/>
      <c r="BY152" s="1136"/>
      <c r="BZ152" s="1136"/>
      <c r="CA152" s="1136"/>
      <c r="CB152" s="1138">
        <f>SUM(AX153:CB157)</f>
        <v>2828856.1684000012</v>
      </c>
      <c r="CC152" s="1136"/>
      <c r="CD152" s="1136"/>
      <c r="CE152" s="1136"/>
    </row>
    <row r="153" spans="2:85" x14ac:dyDescent="0.2">
      <c r="D153" s="14"/>
      <c r="E153" s="14"/>
      <c r="AX153" s="21"/>
    </row>
    <row r="154" spans="2:85" x14ac:dyDescent="0.2">
      <c r="B154" s="1" t="s">
        <v>1627</v>
      </c>
      <c r="D154" s="14"/>
      <c r="E154" s="14"/>
      <c r="AX154" s="21">
        <f>[3]Resumen!B35</f>
        <v>2100102.5176000008</v>
      </c>
      <c r="BH154" s="21">
        <f>[3]Resumen!C35</f>
        <v>0</v>
      </c>
      <c r="BR154" s="21">
        <f>[3]Resumen!D35</f>
        <v>109617.22880000016</v>
      </c>
      <c r="CB154" s="21">
        <f>[3]Resumen!E35</f>
        <v>0</v>
      </c>
    </row>
    <row r="155" spans="2:85" x14ac:dyDescent="0.2">
      <c r="B155" s="1" t="s">
        <v>1628</v>
      </c>
      <c r="D155" s="14"/>
      <c r="E155" s="14"/>
      <c r="AX155" s="21">
        <f>[3]Resumen!B36</f>
        <v>406819.24000000057</v>
      </c>
      <c r="BH155" s="21">
        <f>[3]Resumen!C36</f>
        <v>0</v>
      </c>
      <c r="BR155" s="21">
        <f>[3]Resumen!D36</f>
        <v>0</v>
      </c>
      <c r="CB155" s="21">
        <f>[3]Resumen!E36</f>
        <v>0</v>
      </c>
    </row>
    <row r="156" spans="2:85" x14ac:dyDescent="0.2">
      <c r="B156" s="1" t="s">
        <v>1629</v>
      </c>
      <c r="D156" s="14"/>
      <c r="E156" s="14"/>
      <c r="AX156" s="21">
        <f>[3]Resumen!B37</f>
        <v>0</v>
      </c>
      <c r="BH156" s="21">
        <f>[3]Resumen!C37</f>
        <v>212317.18199999956</v>
      </c>
      <c r="BR156" s="21">
        <f>[3]Resumen!D37</f>
        <v>0</v>
      </c>
      <c r="CB156" s="21">
        <f>[3]Resumen!E37</f>
        <v>0</v>
      </c>
    </row>
    <row r="157" spans="2:85" x14ac:dyDescent="0.2">
      <c r="D157" s="14"/>
      <c r="E157" s="14"/>
      <c r="BH157" s="21"/>
    </row>
    <row r="158" spans="2:85" x14ac:dyDescent="0.2">
      <c r="D158" s="14"/>
      <c r="E158" s="14"/>
      <c r="BH158" s="21"/>
    </row>
    <row r="159" spans="2:85" x14ac:dyDescent="0.2">
      <c r="B159" s="1136" t="s">
        <v>1739</v>
      </c>
      <c r="C159" s="1137"/>
      <c r="D159" s="1137"/>
      <c r="E159" s="1137"/>
      <c r="F159" s="1136"/>
      <c r="G159" s="1136"/>
      <c r="H159" s="1136"/>
      <c r="I159" s="1136"/>
      <c r="J159" s="1136"/>
      <c r="K159" s="1136"/>
      <c r="L159" s="1136"/>
      <c r="M159" s="1136"/>
      <c r="N159" s="1136"/>
      <c r="O159" s="1136"/>
      <c r="P159" s="1136"/>
      <c r="Q159" s="1136"/>
      <c r="R159" s="1136"/>
      <c r="S159" s="1136"/>
      <c r="T159" s="1136"/>
      <c r="U159" s="1136"/>
      <c r="V159" s="1136"/>
      <c r="W159" s="1136"/>
      <c r="X159" s="1136"/>
      <c r="Y159" s="1136"/>
      <c r="Z159" s="1136"/>
      <c r="AA159" s="1136"/>
      <c r="AB159" s="1136"/>
      <c r="AC159" s="1136"/>
      <c r="AD159" s="1136"/>
      <c r="AE159" s="1136"/>
      <c r="AF159" s="1136"/>
      <c r="AG159" s="1136"/>
      <c r="AH159" s="1136"/>
      <c r="AI159" s="1136"/>
      <c r="AJ159" s="1136"/>
      <c r="AK159" s="1136"/>
      <c r="AL159" s="1136"/>
      <c r="AM159" s="1136"/>
      <c r="AN159" s="1136"/>
      <c r="AO159" s="1136"/>
      <c r="AP159" s="1136"/>
      <c r="AQ159" s="1136"/>
      <c r="AR159" s="1136"/>
      <c r="AS159" s="1136"/>
      <c r="AT159" s="1136"/>
      <c r="AU159" s="1136"/>
      <c r="AV159" s="1136"/>
      <c r="AW159" s="1136"/>
      <c r="AX159" s="1138"/>
      <c r="AY159" s="1136"/>
      <c r="AZ159" s="1136"/>
      <c r="BA159" s="1136"/>
      <c r="BB159" s="1136"/>
      <c r="BC159" s="1136"/>
      <c r="BD159" s="1136"/>
      <c r="BE159" s="1136"/>
      <c r="BF159" s="1136"/>
      <c r="BG159" s="1136"/>
      <c r="BH159" s="1138"/>
      <c r="BI159" s="1136"/>
      <c r="BJ159" s="1136"/>
      <c r="BK159" s="1136"/>
      <c r="BL159" s="1136"/>
      <c r="BM159" s="1136"/>
      <c r="BN159" s="1136"/>
      <c r="BO159" s="1136"/>
      <c r="BP159" s="1136"/>
      <c r="BQ159" s="1136"/>
      <c r="BR159" s="1138"/>
      <c r="BS159" s="1136"/>
      <c r="BT159" s="1136"/>
      <c r="BU159" s="1136"/>
      <c r="BV159" s="1136"/>
      <c r="BW159" s="1136"/>
      <c r="BX159" s="1136"/>
      <c r="BY159" s="1136"/>
      <c r="BZ159" s="1136"/>
      <c r="CA159" s="1136"/>
      <c r="CB159" s="1138">
        <f>SUM(AX160:CB166)</f>
        <v>0</v>
      </c>
      <c r="CC159" s="1136"/>
      <c r="CD159" s="1136"/>
      <c r="CE159" s="1136"/>
    </row>
    <row r="160" spans="2:85" x14ac:dyDescent="0.2">
      <c r="B160" s="1" t="s">
        <v>1705</v>
      </c>
      <c r="D160" s="14"/>
      <c r="E160" s="14"/>
      <c r="BH160" s="21"/>
      <c r="CB160" s="21"/>
    </row>
    <row r="161" spans="2:83" x14ac:dyDescent="0.2">
      <c r="B161" s="1" t="s">
        <v>1704</v>
      </c>
      <c r="D161" s="14"/>
      <c r="E161" s="14"/>
      <c r="BH161" s="21"/>
      <c r="CB161" s="21"/>
    </row>
    <row r="162" spans="2:83" x14ac:dyDescent="0.2">
      <c r="B162" s="1" t="s">
        <v>1741</v>
      </c>
      <c r="D162" s="14"/>
      <c r="E162" s="14"/>
      <c r="BH162" s="21"/>
      <c r="CB162" s="21"/>
    </row>
    <row r="163" spans="2:83" x14ac:dyDescent="0.2">
      <c r="B163" s="1" t="s">
        <v>1742</v>
      </c>
      <c r="D163" s="14"/>
      <c r="E163" s="14"/>
      <c r="BH163" s="21"/>
      <c r="CB163" s="21"/>
    </row>
    <row r="164" spans="2:83" x14ac:dyDescent="0.2">
      <c r="D164" s="14"/>
      <c r="E164" s="14"/>
      <c r="BH164" s="21"/>
      <c r="CB164" s="21"/>
    </row>
    <row r="165" spans="2:83" x14ac:dyDescent="0.2">
      <c r="D165" s="14"/>
      <c r="E165" s="14"/>
      <c r="BH165" s="21"/>
    </row>
    <row r="166" spans="2:83" x14ac:dyDescent="0.2">
      <c r="D166" s="14"/>
      <c r="E166" s="14"/>
      <c r="BH166" s="21"/>
    </row>
    <row r="167" spans="2:83" x14ac:dyDescent="0.2">
      <c r="B167" s="1136" t="s">
        <v>1669</v>
      </c>
      <c r="C167" s="1137"/>
      <c r="D167" s="1137"/>
      <c r="E167" s="1137"/>
      <c r="F167" s="1136"/>
      <c r="G167" s="1136"/>
      <c r="H167" s="1136"/>
      <c r="I167" s="1136"/>
      <c r="J167" s="1136"/>
      <c r="K167" s="1136"/>
      <c r="L167" s="1136"/>
      <c r="M167" s="1136"/>
      <c r="N167" s="1136"/>
      <c r="O167" s="1136"/>
      <c r="P167" s="1136"/>
      <c r="Q167" s="1136"/>
      <c r="R167" s="1136"/>
      <c r="S167" s="1136"/>
      <c r="T167" s="1136"/>
      <c r="U167" s="1136"/>
      <c r="V167" s="1136"/>
      <c r="W167" s="1136"/>
      <c r="X167" s="1136"/>
      <c r="Y167" s="1136"/>
      <c r="Z167" s="1136"/>
      <c r="AA167" s="1136"/>
      <c r="AB167" s="1136"/>
      <c r="AC167" s="1136"/>
      <c r="AD167" s="1136"/>
      <c r="AE167" s="1136"/>
      <c r="AF167" s="1136"/>
      <c r="AG167" s="1136"/>
      <c r="AH167" s="1136"/>
      <c r="AI167" s="1136"/>
      <c r="AJ167" s="1136"/>
      <c r="AK167" s="1136"/>
      <c r="AL167" s="1136"/>
      <c r="AM167" s="1136"/>
      <c r="AN167" s="1136"/>
      <c r="AO167" s="1136"/>
      <c r="AP167" s="1136"/>
      <c r="AQ167" s="1136"/>
      <c r="AR167" s="1136"/>
      <c r="AS167" s="1136"/>
      <c r="AT167" s="1136"/>
      <c r="AU167" s="1136"/>
      <c r="AV167" s="1136"/>
      <c r="AW167" s="1136"/>
      <c r="AX167" s="1138"/>
      <c r="AY167" s="1136"/>
      <c r="AZ167" s="1136"/>
      <c r="BA167" s="1136"/>
      <c r="BB167" s="1136"/>
      <c r="BC167" s="1136"/>
      <c r="BD167" s="1136"/>
      <c r="BE167" s="1136"/>
      <c r="BF167" s="1136"/>
      <c r="BG167" s="1136"/>
      <c r="BH167" s="1138"/>
      <c r="BI167" s="1136"/>
      <c r="BJ167" s="1136"/>
      <c r="BK167" s="1136"/>
      <c r="BL167" s="1136"/>
      <c r="BM167" s="1136"/>
      <c r="BN167" s="1136"/>
      <c r="BO167" s="1136"/>
      <c r="BP167" s="1136"/>
      <c r="BQ167" s="1136"/>
      <c r="BR167" s="1138"/>
      <c r="BS167" s="1136"/>
      <c r="BT167" s="1136"/>
      <c r="BU167" s="1136"/>
      <c r="BV167" s="1136"/>
      <c r="BW167" s="1136"/>
      <c r="BX167" s="1136"/>
      <c r="BY167" s="1136"/>
      <c r="BZ167" s="1136"/>
      <c r="CA167" s="1136"/>
      <c r="CB167" s="1138">
        <f>SUM(AX168:CB170)</f>
        <v>0</v>
      </c>
      <c r="CC167" s="1136"/>
      <c r="CD167" s="1136"/>
      <c r="CE167" s="1136"/>
    </row>
    <row r="168" spans="2:83" x14ac:dyDescent="0.2">
      <c r="B168" s="1" t="s">
        <v>1740</v>
      </c>
      <c r="D168" s="14"/>
      <c r="E168" s="14"/>
      <c r="BX168" s="21"/>
    </row>
    <row r="171" spans="2:83" ht="13.5" thickBot="1" x14ac:dyDescent="0.25">
      <c r="B171" s="1" t="s">
        <v>330</v>
      </c>
      <c r="E171" s="21"/>
      <c r="F171" s="21"/>
      <c r="G171" s="21"/>
      <c r="H171" s="21"/>
    </row>
    <row r="172" spans="2:83" ht="15" x14ac:dyDescent="0.25">
      <c r="C172" s="739" t="s">
        <v>331</v>
      </c>
      <c r="D172" s="1142">
        <v>2020</v>
      </c>
      <c r="E172" s="1142">
        <f>D172+1</f>
        <v>2021</v>
      </c>
      <c r="F172" s="1142">
        <f t="shared" ref="F172:H172" si="297">E172+1</f>
        <v>2022</v>
      </c>
      <c r="G172" s="1142">
        <f t="shared" si="297"/>
        <v>2023</v>
      </c>
      <c r="H172" s="1143">
        <f t="shared" si="297"/>
        <v>2024</v>
      </c>
    </row>
    <row r="173" spans="2:83" ht="15" x14ac:dyDescent="0.25">
      <c r="C173" s="733" t="s">
        <v>301</v>
      </c>
      <c r="D173" s="4">
        <f>+AS77</f>
        <v>818481689.53403389</v>
      </c>
      <c r="E173" s="4">
        <f>AX77</f>
        <v>885191695.16403115</v>
      </c>
      <c r="F173" s="4">
        <f>BH77</f>
        <v>937198614.564031</v>
      </c>
      <c r="G173" s="4">
        <f>BR77</f>
        <v>952059804.80403101</v>
      </c>
      <c r="H173" s="734">
        <f>CB77+CB159-CB147-CB152</f>
        <v>1014736933.6356308</v>
      </c>
      <c r="I173" s="21"/>
    </row>
    <row r="174" spans="2:83" ht="15" x14ac:dyDescent="0.25">
      <c r="C174" s="733" t="s">
        <v>318</v>
      </c>
      <c r="D174" s="4">
        <f>AS95</f>
        <v>0</v>
      </c>
      <c r="E174" s="4">
        <f>AX95</f>
        <v>0</v>
      </c>
      <c r="F174" s="4">
        <f>BH95</f>
        <v>0</v>
      </c>
      <c r="G174" s="4">
        <f>BR95</f>
        <v>0</v>
      </c>
      <c r="H174" s="734">
        <f>CB95</f>
        <v>0</v>
      </c>
    </row>
    <row r="175" spans="2:83" ht="15" x14ac:dyDescent="0.25">
      <c r="C175" s="733" t="s">
        <v>228</v>
      </c>
      <c r="D175" s="4">
        <f>AS131</f>
        <v>39360968.769999996</v>
      </c>
      <c r="E175" s="4">
        <f>AX131</f>
        <v>43033141.899999999</v>
      </c>
      <c r="F175" s="4">
        <f>BH131</f>
        <v>44433040.200000003</v>
      </c>
      <c r="G175" s="4">
        <f>BR131</f>
        <v>46520027.420000002</v>
      </c>
      <c r="H175" s="734">
        <f>CB131</f>
        <v>54446454.769999996</v>
      </c>
      <c r="I175" s="21"/>
    </row>
    <row r="176" spans="2:83" ht="15" x14ac:dyDescent="0.25">
      <c r="C176" s="1146" t="s">
        <v>28</v>
      </c>
      <c r="D176" s="1147">
        <f>+SUM(D173:D175)</f>
        <v>857842658.30403388</v>
      </c>
      <c r="E176" s="1147">
        <f>+SUM(E173:E175)</f>
        <v>928224837.06403112</v>
      </c>
      <c r="F176" s="1147">
        <f t="shared" ref="F176:H176" si="298">+SUM(F173:F175)</f>
        <v>981631654.76403105</v>
      </c>
      <c r="G176" s="1147">
        <f t="shared" si="298"/>
        <v>998579832.22403097</v>
      </c>
      <c r="H176" s="1148">
        <f t="shared" si="298"/>
        <v>1069183388.4056308</v>
      </c>
    </row>
    <row r="177" spans="3:9" ht="15" x14ac:dyDescent="0.25">
      <c r="C177" s="742" t="s">
        <v>332</v>
      </c>
      <c r="D177" s="1144">
        <f>D172</f>
        <v>2020</v>
      </c>
      <c r="E177" s="1144">
        <f t="shared" ref="E177:H177" si="299">E172</f>
        <v>2021</v>
      </c>
      <c r="F177" s="1144">
        <f t="shared" si="299"/>
        <v>2022</v>
      </c>
      <c r="G177" s="1144">
        <f t="shared" si="299"/>
        <v>2023</v>
      </c>
      <c r="H177" s="1145">
        <f t="shared" si="299"/>
        <v>2024</v>
      </c>
    </row>
    <row r="178" spans="3:9" ht="15" x14ac:dyDescent="0.25">
      <c r="C178" s="733" t="s">
        <v>301</v>
      </c>
      <c r="D178" s="4">
        <f>AQ77</f>
        <v>562652093.6013056</v>
      </c>
      <c r="E178" s="4">
        <f>BA77</f>
        <v>602180371.30130303</v>
      </c>
      <c r="F178" s="4">
        <f>BK77</f>
        <v>640109240.63130271</v>
      </c>
      <c r="G178" s="4">
        <f>BU77</f>
        <v>602393393.08130276</v>
      </c>
      <c r="H178" s="734">
        <f>CE77</f>
        <v>684739260.85130274</v>
      </c>
      <c r="I178" s="21"/>
    </row>
    <row r="179" spans="3:9" ht="15" x14ac:dyDescent="0.25">
      <c r="C179" s="733" t="s">
        <v>318</v>
      </c>
      <c r="D179" s="4">
        <f>AQ95</f>
        <v>0</v>
      </c>
      <c r="E179" s="4">
        <f>BA95</f>
        <v>0</v>
      </c>
      <c r="F179" s="4">
        <f>BK95</f>
        <v>0</v>
      </c>
      <c r="G179" s="4">
        <f>BU95</f>
        <v>0</v>
      </c>
      <c r="H179" s="734">
        <f>CE95</f>
        <v>0</v>
      </c>
    </row>
    <row r="180" spans="3:9" ht="15" x14ac:dyDescent="0.25">
      <c r="C180" s="733" t="s">
        <v>228</v>
      </c>
      <c r="D180" s="4">
        <f>AQ131</f>
        <v>10042145.77</v>
      </c>
      <c r="E180" s="4">
        <f>BA131</f>
        <v>9290332.8999999985</v>
      </c>
      <c r="F180" s="4">
        <f>BK131</f>
        <v>7834012.2000000002</v>
      </c>
      <c r="G180" s="4">
        <f>BU131</f>
        <v>6928857.6799999997</v>
      </c>
      <c r="H180" s="734">
        <f>CE131</f>
        <v>10901622.77</v>
      </c>
      <c r="I180" s="21"/>
    </row>
    <row r="181" spans="3:9" ht="15.75" thickBot="1" x14ac:dyDescent="0.3">
      <c r="C181" s="1149" t="s">
        <v>28</v>
      </c>
      <c r="D181" s="1150">
        <f>+SUM(D178:D180)</f>
        <v>572694239.37130558</v>
      </c>
      <c r="E181" s="1150">
        <f t="shared" ref="E181:H181" si="300">+SUM(E178:E180)</f>
        <v>611470704.20130301</v>
      </c>
      <c r="F181" s="1150">
        <f t="shared" si="300"/>
        <v>647943252.83130276</v>
      </c>
      <c r="G181" s="1150">
        <f t="shared" si="300"/>
        <v>609322250.76130271</v>
      </c>
      <c r="H181" s="1151">
        <f t="shared" si="300"/>
        <v>695640883.62130272</v>
      </c>
    </row>
    <row r="182" spans="3:9" ht="15" x14ac:dyDescent="0.25">
      <c r="C182" s="162"/>
      <c r="D182" s="162"/>
      <c r="E182" s="162"/>
      <c r="F182" s="162"/>
      <c r="G182" s="162"/>
      <c r="H182" s="162"/>
    </row>
    <row r="183" spans="3:9" ht="15.75" thickBot="1" x14ac:dyDescent="0.3">
      <c r="C183" s="162"/>
      <c r="D183" s="162"/>
      <c r="E183" s="162"/>
      <c r="F183" s="162"/>
      <c r="G183" s="162"/>
      <c r="H183" s="162"/>
    </row>
    <row r="184" spans="3:9" ht="15" x14ac:dyDescent="0.25">
      <c r="C184" s="744" t="s">
        <v>333</v>
      </c>
      <c r="D184" s="740">
        <v>2017</v>
      </c>
      <c r="E184" s="740">
        <v>2018</v>
      </c>
      <c r="F184" s="740">
        <v>2019</v>
      </c>
      <c r="G184" s="741">
        <v>2020</v>
      </c>
      <c r="H184" s="162"/>
    </row>
    <row r="185" spans="3:9" ht="15" x14ac:dyDescent="0.25">
      <c r="C185" s="733" t="s">
        <v>301</v>
      </c>
      <c r="D185" s="4">
        <f>+F77</f>
        <v>2176375.36</v>
      </c>
      <c r="E185" s="4">
        <f>+P77</f>
        <v>15250445.959999999</v>
      </c>
      <c r="F185" s="4">
        <f>+Z77</f>
        <v>12883310.890000001</v>
      </c>
      <c r="G185" s="734">
        <f>+AJ77</f>
        <v>40436713.289999999</v>
      </c>
      <c r="H185" s="162"/>
    </row>
    <row r="186" spans="3:9" ht="15" x14ac:dyDescent="0.25">
      <c r="C186" s="733" t="s">
        <v>318</v>
      </c>
      <c r="D186" s="4">
        <f>+F95</f>
        <v>341353661</v>
      </c>
      <c r="E186" s="4">
        <f>P95</f>
        <v>32770663.75</v>
      </c>
      <c r="F186" s="4">
        <f>+Z95</f>
        <v>0</v>
      </c>
      <c r="G186" s="734">
        <f>AJ95</f>
        <v>11790845.32</v>
      </c>
      <c r="H186" s="162"/>
    </row>
    <row r="187" spans="3:9" ht="15" x14ac:dyDescent="0.25">
      <c r="C187" s="733" t="s">
        <v>228</v>
      </c>
      <c r="D187" s="4">
        <f>+F131</f>
        <v>1361000</v>
      </c>
      <c r="E187" s="4">
        <f>P131</f>
        <v>3332000</v>
      </c>
      <c r="F187" s="4">
        <f>+Z131</f>
        <v>2143000</v>
      </c>
      <c r="G187" s="734">
        <f>AJ131</f>
        <v>1346949.77</v>
      </c>
      <c r="H187" s="162"/>
    </row>
    <row r="188" spans="3:9" ht="15" x14ac:dyDescent="0.25">
      <c r="C188" s="737" t="s">
        <v>28</v>
      </c>
      <c r="D188" s="4">
        <f t="shared" ref="D188:G188" si="301">+SUM(D185:D187)</f>
        <v>344891036.36000001</v>
      </c>
      <c r="E188" s="4">
        <f t="shared" si="301"/>
        <v>51353109.710000001</v>
      </c>
      <c r="F188" s="4">
        <f t="shared" si="301"/>
        <v>15026310.890000001</v>
      </c>
      <c r="G188" s="734">
        <f t="shared" si="301"/>
        <v>53574508.380000003</v>
      </c>
      <c r="H188" s="162"/>
    </row>
    <row r="189" spans="3:9" ht="15" x14ac:dyDescent="0.25">
      <c r="C189" s="745" t="s">
        <v>148</v>
      </c>
      <c r="D189" s="566">
        <v>2017</v>
      </c>
      <c r="E189" s="566">
        <v>2018</v>
      </c>
      <c r="F189" s="566">
        <v>2019</v>
      </c>
      <c r="G189" s="743">
        <v>2020</v>
      </c>
      <c r="H189" s="162"/>
    </row>
    <row r="190" spans="3:9" ht="15" x14ac:dyDescent="0.25">
      <c r="C190" s="733" t="s">
        <v>301</v>
      </c>
      <c r="D190" s="4">
        <f>+G77</f>
        <v>0</v>
      </c>
      <c r="E190" s="4">
        <f>+Q77</f>
        <v>0</v>
      </c>
      <c r="F190" s="4">
        <f>AA77</f>
        <v>0</v>
      </c>
      <c r="G190" s="734">
        <f>AK77</f>
        <v>6765912</v>
      </c>
      <c r="H190" s="162"/>
    </row>
    <row r="191" spans="3:9" ht="15" x14ac:dyDescent="0.25">
      <c r="C191" s="733" t="s">
        <v>318</v>
      </c>
      <c r="D191" s="4">
        <f>+G95</f>
        <v>0</v>
      </c>
      <c r="E191" s="4">
        <f>+Q95</f>
        <v>0</v>
      </c>
      <c r="F191" s="4">
        <f>AAI95</f>
        <v>0</v>
      </c>
      <c r="G191" s="734">
        <f>AK95</f>
        <v>0</v>
      </c>
      <c r="H191" s="162"/>
    </row>
    <row r="192" spans="3:9" ht="15" x14ac:dyDescent="0.25">
      <c r="C192" s="733" t="s">
        <v>228</v>
      </c>
      <c r="D192" s="4">
        <f>+G131</f>
        <v>0</v>
      </c>
      <c r="E192" s="4">
        <f>+Q131</f>
        <v>14830315</v>
      </c>
      <c r="F192" s="4">
        <f>AA131</f>
        <v>46122</v>
      </c>
      <c r="G192" s="734">
        <f>AK131</f>
        <v>2515</v>
      </c>
      <c r="H192" s="162"/>
    </row>
    <row r="193" spans="3:9" ht="15.75" thickBot="1" x14ac:dyDescent="0.3">
      <c r="C193" s="738" t="s">
        <v>28</v>
      </c>
      <c r="D193" s="735">
        <f t="shared" ref="D193" si="302">+SUM(D190:D192)</f>
        <v>0</v>
      </c>
      <c r="E193" s="735">
        <f t="shared" ref="E193" si="303">+SUM(E190:E192)</f>
        <v>14830315</v>
      </c>
      <c r="F193" s="735">
        <f t="shared" ref="F193" si="304">+SUM(F190:F192)</f>
        <v>46122</v>
      </c>
      <c r="G193" s="736">
        <f t="shared" ref="G193" si="305">+SUM(G190:G192)</f>
        <v>6768427</v>
      </c>
      <c r="H193" s="162"/>
    </row>
    <row r="195" spans="3:9" ht="13.5" thickBot="1" x14ac:dyDescent="0.25">
      <c r="C195" s="14" t="s">
        <v>229</v>
      </c>
    </row>
    <row r="196" spans="3:9" ht="15.75" thickBot="1" x14ac:dyDescent="0.3">
      <c r="D196" s="748" t="s">
        <v>334</v>
      </c>
      <c r="E196" s="749"/>
      <c r="F196" s="749" t="s">
        <v>335</v>
      </c>
      <c r="G196" s="749"/>
      <c r="H196" s="749"/>
      <c r="I196" s="750" t="s">
        <v>336</v>
      </c>
    </row>
    <row r="197" spans="3:9" ht="15" x14ac:dyDescent="0.25">
      <c r="D197" s="751">
        <v>2017</v>
      </c>
      <c r="E197" s="752" t="s">
        <v>271</v>
      </c>
      <c r="F197" s="752"/>
      <c r="G197" s="752"/>
      <c r="H197" s="753"/>
      <c r="I197" s="754">
        <v>341353661</v>
      </c>
    </row>
    <row r="198" spans="3:9" ht="15" x14ac:dyDescent="0.25">
      <c r="D198" s="751">
        <v>2017</v>
      </c>
      <c r="E198" s="752" t="s">
        <v>259</v>
      </c>
      <c r="F198" s="752"/>
      <c r="G198" s="752"/>
      <c r="H198" s="753"/>
      <c r="I198" s="754">
        <v>2176375.36</v>
      </c>
    </row>
    <row r="199" spans="3:9" ht="15" x14ac:dyDescent="0.25">
      <c r="D199" s="751">
        <v>2018</v>
      </c>
      <c r="E199" s="752" t="s">
        <v>272</v>
      </c>
      <c r="F199" s="752"/>
      <c r="G199" s="752"/>
      <c r="H199" s="753"/>
      <c r="I199" s="754">
        <v>41168546.750000007</v>
      </c>
    </row>
    <row r="200" spans="3:9" ht="15" x14ac:dyDescent="0.25">
      <c r="D200" s="751">
        <v>2018</v>
      </c>
      <c r="E200" s="752" t="s">
        <v>260</v>
      </c>
      <c r="F200" s="752"/>
      <c r="G200" s="752"/>
      <c r="H200" s="753"/>
      <c r="I200" s="754">
        <v>14147444.039999999</v>
      </c>
    </row>
    <row r="201" spans="3:9" ht="15" x14ac:dyDescent="0.25">
      <c r="D201" s="751">
        <v>2018</v>
      </c>
      <c r="E201" s="752" t="s">
        <v>263</v>
      </c>
      <c r="F201" s="752"/>
      <c r="G201" s="752"/>
      <c r="H201" s="753"/>
      <c r="I201" s="754">
        <v>873515.24</v>
      </c>
    </row>
    <row r="202" spans="3:9" ht="15" x14ac:dyDescent="0.25">
      <c r="D202" s="751">
        <v>2018</v>
      </c>
      <c r="E202" s="752" t="s">
        <v>266</v>
      </c>
      <c r="F202" s="752"/>
      <c r="G202" s="752"/>
      <c r="H202" s="753"/>
      <c r="I202" s="754">
        <v>229486.68</v>
      </c>
    </row>
    <row r="203" spans="3:9" ht="15" x14ac:dyDescent="0.25">
      <c r="D203" s="751">
        <v>2019</v>
      </c>
      <c r="E203" s="752" t="s">
        <v>261</v>
      </c>
      <c r="F203" s="752"/>
      <c r="G203" s="752"/>
      <c r="H203" s="753"/>
      <c r="I203" s="754">
        <v>7922683.1600000001</v>
      </c>
    </row>
    <row r="204" spans="3:9" ht="15" x14ac:dyDescent="0.25">
      <c r="D204" s="751">
        <v>2019</v>
      </c>
      <c r="E204" s="752" t="s">
        <v>264</v>
      </c>
      <c r="F204" s="752"/>
      <c r="G204" s="752"/>
      <c r="H204" s="753"/>
      <c r="I204" s="754">
        <v>4096387.34</v>
      </c>
    </row>
    <row r="205" spans="3:9" ht="15" x14ac:dyDescent="0.25">
      <c r="D205" s="751">
        <v>2019</v>
      </c>
      <c r="E205" s="752" t="s">
        <v>337</v>
      </c>
      <c r="F205" s="752"/>
      <c r="G205" s="752"/>
      <c r="H205" s="753"/>
      <c r="I205" s="754">
        <v>714240.39</v>
      </c>
    </row>
    <row r="206" spans="3:9" ht="15" x14ac:dyDescent="0.25">
      <c r="D206" s="751">
        <v>2019</v>
      </c>
      <c r="E206" s="752" t="s">
        <v>268</v>
      </c>
      <c r="F206" s="752"/>
      <c r="G206" s="752"/>
      <c r="H206" s="753"/>
      <c r="I206" s="754">
        <v>150000</v>
      </c>
    </row>
    <row r="207" spans="3:9" ht="15" x14ac:dyDescent="0.25">
      <c r="D207" s="751">
        <v>2020</v>
      </c>
      <c r="E207" s="752" t="s">
        <v>273</v>
      </c>
      <c r="F207" s="752"/>
      <c r="G207" s="752"/>
      <c r="H207" s="753"/>
      <c r="I207" s="754">
        <v>7869022</v>
      </c>
    </row>
    <row r="208" spans="3:9" ht="15" x14ac:dyDescent="0.25">
      <c r="D208" s="751">
        <v>2020</v>
      </c>
      <c r="E208" s="752" t="s">
        <v>274</v>
      </c>
      <c r="F208" s="752"/>
      <c r="G208" s="752"/>
      <c r="H208" s="753"/>
      <c r="I208" s="754">
        <v>3921823.32</v>
      </c>
    </row>
    <row r="209" spans="3:9" ht="15" x14ac:dyDescent="0.25">
      <c r="D209" s="751">
        <v>2020</v>
      </c>
      <c r="E209" s="752" t="s">
        <v>338</v>
      </c>
      <c r="F209" s="752"/>
      <c r="G209" s="752"/>
      <c r="H209" s="753"/>
      <c r="I209" s="754">
        <v>29600584.809999999</v>
      </c>
    </row>
    <row r="210" spans="3:9" ht="15.75" thickBot="1" x14ac:dyDescent="0.3">
      <c r="D210" s="755">
        <v>2020</v>
      </c>
      <c r="E210" s="756" t="s">
        <v>265</v>
      </c>
      <c r="F210" s="756"/>
      <c r="G210" s="756"/>
      <c r="H210" s="757"/>
      <c r="I210" s="758">
        <v>10836128.48</v>
      </c>
    </row>
    <row r="211" spans="3:9" ht="15" x14ac:dyDescent="0.25">
      <c r="D211" s="13"/>
      <c r="H211" s="4"/>
      <c r="I211" s="4"/>
    </row>
    <row r="212" spans="3:9" x14ac:dyDescent="0.2">
      <c r="I212" s="21">
        <f>+SUM(I197:I210)</f>
        <v>465059898.57000005</v>
      </c>
    </row>
    <row r="213" spans="3:9" x14ac:dyDescent="0.2">
      <c r="C213" s="14" t="s">
        <v>52</v>
      </c>
    </row>
    <row r="214" spans="3:9" ht="13.5" thickBot="1" x14ac:dyDescent="0.25"/>
    <row r="215" spans="3:9" ht="15.75" thickBot="1" x14ac:dyDescent="0.3">
      <c r="D215" s="748" t="s">
        <v>334</v>
      </c>
      <c r="E215" s="749"/>
      <c r="F215" s="749" t="s">
        <v>335</v>
      </c>
      <c r="G215" s="749"/>
      <c r="H215" s="749"/>
      <c r="I215" s="750" t="s">
        <v>336</v>
      </c>
    </row>
    <row r="216" spans="3:9" ht="15" x14ac:dyDescent="0.25">
      <c r="D216" s="763">
        <v>2018</v>
      </c>
      <c r="E216" s="760" t="s">
        <v>275</v>
      </c>
      <c r="F216" s="760"/>
      <c r="G216" s="760"/>
      <c r="H216" s="760"/>
      <c r="I216" s="759">
        <v>578016.13</v>
      </c>
    </row>
    <row r="217" spans="3:9" ht="15" x14ac:dyDescent="0.25">
      <c r="D217" s="764">
        <v>2020</v>
      </c>
      <c r="E217" s="761" t="s">
        <v>339</v>
      </c>
      <c r="F217" s="761"/>
      <c r="G217" s="761"/>
      <c r="H217" s="761"/>
      <c r="I217" s="754">
        <v>754639.09</v>
      </c>
    </row>
    <row r="218" spans="3:9" ht="15" x14ac:dyDescent="0.25">
      <c r="D218" s="764">
        <v>2020</v>
      </c>
      <c r="E218" s="761" t="s">
        <v>276</v>
      </c>
      <c r="F218" s="761"/>
      <c r="G218" s="761"/>
      <c r="H218" s="761"/>
      <c r="I218" s="754">
        <v>4567571.09</v>
      </c>
    </row>
    <row r="219" spans="3:9" ht="15" x14ac:dyDescent="0.25">
      <c r="D219" s="764">
        <v>2020</v>
      </c>
      <c r="E219" s="761" t="s">
        <v>340</v>
      </c>
      <c r="F219" s="761"/>
      <c r="G219" s="761"/>
      <c r="H219" s="761"/>
      <c r="I219" s="754">
        <v>3646237.32</v>
      </c>
    </row>
    <row r="220" spans="3:9" ht="15" x14ac:dyDescent="0.25">
      <c r="D220" s="764">
        <v>2020</v>
      </c>
      <c r="E220" s="761" t="s">
        <v>341</v>
      </c>
      <c r="F220" s="761"/>
      <c r="G220" s="761"/>
      <c r="H220" s="761"/>
      <c r="I220" s="754">
        <v>4586731.87</v>
      </c>
    </row>
    <row r="221" spans="3:9" ht="15.75" thickBot="1" x14ac:dyDescent="0.3">
      <c r="D221" s="765">
        <v>2020</v>
      </c>
      <c r="E221" s="762" t="s">
        <v>342</v>
      </c>
      <c r="F221" s="762"/>
      <c r="G221" s="762"/>
      <c r="H221" s="762"/>
      <c r="I221" s="758">
        <v>784131.47</v>
      </c>
    </row>
    <row r="223" spans="3:9" x14ac:dyDescent="0.2">
      <c r="I223" s="21">
        <f>+SUM(I216:I221)</f>
        <v>14917326.970000001</v>
      </c>
    </row>
    <row r="225" spans="1:6" x14ac:dyDescent="0.2">
      <c r="E225" s="1">
        <v>754639.09</v>
      </c>
      <c r="F225" s="1" t="s">
        <v>339</v>
      </c>
    </row>
    <row r="226" spans="1:6" x14ac:dyDescent="0.2">
      <c r="E226" s="1">
        <v>4567571.09</v>
      </c>
      <c r="F226" s="1" t="s">
        <v>276</v>
      </c>
    </row>
    <row r="227" spans="1:6" x14ac:dyDescent="0.2">
      <c r="E227" s="1">
        <v>3646237.32</v>
      </c>
      <c r="F227" s="1" t="s">
        <v>340</v>
      </c>
    </row>
    <row r="228" spans="1:6" x14ac:dyDescent="0.2">
      <c r="E228" s="1">
        <v>4586731.87</v>
      </c>
      <c r="F228" s="1" t="s">
        <v>341</v>
      </c>
    </row>
    <row r="229" spans="1:6" x14ac:dyDescent="0.2">
      <c r="E229" s="1">
        <v>784131.47</v>
      </c>
      <c r="F229" s="1" t="s">
        <v>342</v>
      </c>
    </row>
    <row r="230" spans="1:6" ht="13.5" thickBot="1" x14ac:dyDescent="0.25">
      <c r="A230" s="761"/>
      <c r="B230" s="761"/>
    </row>
    <row r="231" spans="1:6" ht="15.75" thickBot="1" x14ac:dyDescent="0.3">
      <c r="A231" s="761"/>
      <c r="B231" s="761"/>
      <c r="C231" s="1586" t="s">
        <v>301</v>
      </c>
      <c r="D231" s="1587"/>
      <c r="E231" s="1586" t="s">
        <v>318</v>
      </c>
      <c r="F231" s="1588"/>
    </row>
    <row r="232" spans="1:6" ht="15.75" thickBot="1" x14ac:dyDescent="0.3">
      <c r="A232" s="761"/>
      <c r="B232" s="761"/>
      <c r="C232" s="748" t="s">
        <v>331</v>
      </c>
      <c r="D232" s="766" t="s">
        <v>332</v>
      </c>
      <c r="E232" s="748" t="s">
        <v>331</v>
      </c>
      <c r="F232" s="750" t="s">
        <v>332</v>
      </c>
    </row>
    <row r="233" spans="1:6" ht="15" x14ac:dyDescent="0.25">
      <c r="B233" s="767" t="s">
        <v>302</v>
      </c>
      <c r="C233" s="768">
        <f t="shared" ref="C233:C247" si="306">CB62</f>
        <v>4457611.5500000007</v>
      </c>
      <c r="D233" s="768">
        <f t="shared" ref="D233:D247" si="307">CE62</f>
        <v>4457611.5500000007</v>
      </c>
      <c r="E233" s="775">
        <f t="shared" ref="E233:E247" si="308">CB80</f>
        <v>0</v>
      </c>
      <c r="F233" s="769">
        <f t="shared" ref="F233:F247" si="309">CE80</f>
        <v>0</v>
      </c>
    </row>
    <row r="234" spans="1:6" ht="15" x14ac:dyDescent="0.25">
      <c r="B234" s="770" t="s">
        <v>303</v>
      </c>
      <c r="C234" s="4">
        <f t="shared" si="306"/>
        <v>15954394.84</v>
      </c>
      <c r="D234" s="4">
        <f t="shared" si="307"/>
        <v>8879256.2922716551</v>
      </c>
      <c r="E234" s="776">
        <f t="shared" si="308"/>
        <v>0</v>
      </c>
      <c r="F234" s="734">
        <f t="shared" si="309"/>
        <v>0</v>
      </c>
    </row>
    <row r="235" spans="1:6" ht="15" x14ac:dyDescent="0.25">
      <c r="B235" s="770" t="s">
        <v>304</v>
      </c>
      <c r="C235" s="4">
        <f t="shared" si="306"/>
        <v>758817.52</v>
      </c>
      <c r="D235" s="4">
        <f t="shared" si="307"/>
        <v>586961.65</v>
      </c>
      <c r="E235" s="776">
        <f t="shared" si="308"/>
        <v>0</v>
      </c>
      <c r="F235" s="734">
        <f t="shared" si="309"/>
        <v>0</v>
      </c>
    </row>
    <row r="236" spans="1:6" ht="15" x14ac:dyDescent="0.25">
      <c r="B236" s="770" t="s">
        <v>305</v>
      </c>
      <c r="C236" s="4">
        <f>CB65-CB147</f>
        <v>31938344.219999999</v>
      </c>
      <c r="D236" s="4">
        <f t="shared" si="307"/>
        <v>45387487.329999998</v>
      </c>
      <c r="E236" s="776">
        <f t="shared" si="308"/>
        <v>0</v>
      </c>
      <c r="F236" s="734">
        <f t="shared" si="309"/>
        <v>0</v>
      </c>
    </row>
    <row r="237" spans="1:6" ht="15" x14ac:dyDescent="0.25">
      <c r="B237" s="770" t="s">
        <v>306</v>
      </c>
      <c r="C237" s="4">
        <f t="shared" si="306"/>
        <v>7097635.8700000001</v>
      </c>
      <c r="D237" s="4">
        <f t="shared" si="307"/>
        <v>-3869730.04</v>
      </c>
      <c r="E237" s="776">
        <f t="shared" si="308"/>
        <v>0</v>
      </c>
      <c r="F237" s="734">
        <f t="shared" si="309"/>
        <v>0</v>
      </c>
    </row>
    <row r="238" spans="1:6" ht="15" x14ac:dyDescent="0.25">
      <c r="B238" s="770" t="s">
        <v>307</v>
      </c>
      <c r="C238" s="4">
        <f t="shared" si="306"/>
        <v>69052</v>
      </c>
      <c r="D238" s="4">
        <f t="shared" si="307"/>
        <v>5096.9900000000052</v>
      </c>
      <c r="E238" s="776">
        <f t="shared" si="308"/>
        <v>0</v>
      </c>
      <c r="F238" s="734">
        <f t="shared" si="309"/>
        <v>0</v>
      </c>
    </row>
    <row r="239" spans="1:6" ht="15" x14ac:dyDescent="0.25">
      <c r="B239" s="770" t="s">
        <v>308</v>
      </c>
      <c r="C239" s="4">
        <f>CB68+CB162+CB163</f>
        <v>314113711.78340995</v>
      </c>
      <c r="D239" s="4">
        <f t="shared" si="307"/>
        <v>224089969.04340994</v>
      </c>
      <c r="E239" s="776">
        <f t="shared" si="308"/>
        <v>0</v>
      </c>
      <c r="F239" s="734">
        <f t="shared" si="309"/>
        <v>0</v>
      </c>
    </row>
    <row r="240" spans="1:6" ht="15" x14ac:dyDescent="0.25">
      <c r="B240" s="770" t="s">
        <v>309</v>
      </c>
      <c r="C240" s="4">
        <f>CB69+SUM(CB160:CB161)/2-SUM(CB152)/2</f>
        <v>264275082.98111171</v>
      </c>
      <c r="D240" s="4">
        <f t="shared" si="307"/>
        <v>173673732.5328117</v>
      </c>
      <c r="E240" s="776">
        <f t="shared" si="308"/>
        <v>0</v>
      </c>
      <c r="F240" s="734">
        <f t="shared" si="309"/>
        <v>0</v>
      </c>
    </row>
    <row r="241" spans="1:6" ht="15" x14ac:dyDescent="0.25">
      <c r="B241" s="770" t="s">
        <v>343</v>
      </c>
      <c r="C241" s="4">
        <f>CB70+SUM(CB160:CB161)/2-SUM(CB152)/2</f>
        <v>315610950.1911093</v>
      </c>
      <c r="D241" s="4">
        <f t="shared" si="307"/>
        <v>212610857.94280934</v>
      </c>
      <c r="E241" s="776">
        <f t="shared" si="308"/>
        <v>0</v>
      </c>
      <c r="F241" s="734">
        <f t="shared" si="309"/>
        <v>0</v>
      </c>
    </row>
    <row r="242" spans="1:6" ht="15" x14ac:dyDescent="0.25">
      <c r="B242" s="770" t="s">
        <v>311</v>
      </c>
      <c r="C242" s="4">
        <f t="shared" si="306"/>
        <v>31826</v>
      </c>
      <c r="D242" s="4">
        <f t="shared" si="307"/>
        <v>6748.59</v>
      </c>
      <c r="E242" s="776">
        <f t="shared" si="308"/>
        <v>0</v>
      </c>
      <c r="F242" s="734">
        <f t="shared" si="309"/>
        <v>0</v>
      </c>
    </row>
    <row r="243" spans="1:6" ht="15" x14ac:dyDescent="0.25">
      <c r="B243" s="770" t="s">
        <v>312</v>
      </c>
      <c r="C243" s="4">
        <f t="shared" si="306"/>
        <v>3267407.6799999997</v>
      </c>
      <c r="D243" s="4">
        <f t="shared" si="307"/>
        <v>2425893.88</v>
      </c>
      <c r="E243" s="776">
        <f t="shared" si="308"/>
        <v>0</v>
      </c>
      <c r="F243" s="734">
        <f t="shared" si="309"/>
        <v>0</v>
      </c>
    </row>
    <row r="244" spans="1:6" ht="15" x14ac:dyDescent="0.25">
      <c r="B244" s="770" t="s">
        <v>313</v>
      </c>
      <c r="C244" s="4">
        <f t="shared" si="306"/>
        <v>36035982.940000013</v>
      </c>
      <c r="D244" s="4">
        <f t="shared" si="307"/>
        <v>12793883.030000012</v>
      </c>
      <c r="E244" s="776">
        <f t="shared" si="308"/>
        <v>0</v>
      </c>
      <c r="F244" s="734">
        <f t="shared" si="309"/>
        <v>0</v>
      </c>
    </row>
    <row r="245" spans="1:6" ht="15" x14ac:dyDescent="0.25">
      <c r="B245" s="770" t="s">
        <v>314</v>
      </c>
      <c r="C245" s="4">
        <f t="shared" si="306"/>
        <v>21037103.049999997</v>
      </c>
      <c r="D245" s="4">
        <f t="shared" si="307"/>
        <v>3687733.3199999966</v>
      </c>
      <c r="E245" s="776">
        <f t="shared" si="308"/>
        <v>0</v>
      </c>
      <c r="F245" s="734">
        <f t="shared" si="309"/>
        <v>0</v>
      </c>
    </row>
    <row r="246" spans="1:6" ht="15" x14ac:dyDescent="0.25">
      <c r="B246" s="770" t="s">
        <v>315</v>
      </c>
      <c r="C246" s="4">
        <f t="shared" si="306"/>
        <v>89012.98</v>
      </c>
      <c r="D246" s="4">
        <f t="shared" si="307"/>
        <v>3758.7099999999919</v>
      </c>
      <c r="E246" s="776">
        <f t="shared" si="308"/>
        <v>0</v>
      </c>
      <c r="F246" s="734">
        <f t="shared" si="309"/>
        <v>0</v>
      </c>
    </row>
    <row r="247" spans="1:6" ht="15.75" thickBot="1" x14ac:dyDescent="0.3">
      <c r="B247" s="770" t="s">
        <v>316</v>
      </c>
      <c r="C247" s="4">
        <f t="shared" si="306"/>
        <v>3.0000000027939677E-2</v>
      </c>
      <c r="D247" s="4">
        <f t="shared" si="307"/>
        <v>3.0000000027939677E-2</v>
      </c>
      <c r="E247" s="776">
        <f t="shared" si="308"/>
        <v>0</v>
      </c>
      <c r="F247" s="734">
        <f t="shared" si="309"/>
        <v>0</v>
      </c>
    </row>
    <row r="248" spans="1:6" ht="15.75" thickBot="1" x14ac:dyDescent="0.3">
      <c r="B248" s="772" t="s">
        <v>325</v>
      </c>
      <c r="C248" s="773">
        <f>+SUM(C233:C247)</f>
        <v>1014736933.6356308</v>
      </c>
      <c r="D248" s="773">
        <f>+SUM(D233:D247)</f>
        <v>684739260.85130274</v>
      </c>
      <c r="E248" s="777">
        <f t="shared" ref="E248:F248" si="310">+SUM(E233:E247)</f>
        <v>0</v>
      </c>
      <c r="F248" s="774">
        <f t="shared" si="310"/>
        <v>0</v>
      </c>
    </row>
    <row r="249" spans="1:6" ht="13.5" thickBot="1" x14ac:dyDescent="0.25">
      <c r="A249" s="761"/>
      <c r="B249" s="761"/>
    </row>
    <row r="250" spans="1:6" ht="15.75" thickBot="1" x14ac:dyDescent="0.3">
      <c r="A250" s="761"/>
      <c r="B250" s="761"/>
      <c r="C250" s="1586" t="s">
        <v>228</v>
      </c>
      <c r="D250" s="1588"/>
    </row>
    <row r="251" spans="1:6" ht="15.75" thickBot="1" x14ac:dyDescent="0.3">
      <c r="B251" s="761"/>
      <c r="C251" s="748" t="s">
        <v>331</v>
      </c>
      <c r="D251" s="750" t="s">
        <v>332</v>
      </c>
    </row>
    <row r="252" spans="1:6" ht="15" x14ac:dyDescent="0.25">
      <c r="B252" s="767" t="s">
        <v>302</v>
      </c>
      <c r="C252" s="775">
        <f t="shared" ref="C252:C261" si="311">CB121</f>
        <v>216806</v>
      </c>
      <c r="D252" s="769">
        <f t="shared" ref="D252:D261" si="312">CE121</f>
        <v>216806</v>
      </c>
    </row>
    <row r="253" spans="1:6" ht="15" x14ac:dyDescent="0.25">
      <c r="B253" s="770" t="s">
        <v>303</v>
      </c>
      <c r="C253" s="776">
        <f t="shared" si="311"/>
        <v>2186361</v>
      </c>
      <c r="D253" s="734">
        <f t="shared" si="312"/>
        <v>1117605</v>
      </c>
    </row>
    <row r="254" spans="1:6" ht="15" x14ac:dyDescent="0.25">
      <c r="B254" s="770" t="s">
        <v>307</v>
      </c>
      <c r="C254" s="776">
        <f t="shared" si="311"/>
        <v>4712629</v>
      </c>
      <c r="D254" s="734">
        <f t="shared" si="312"/>
        <v>-1687621</v>
      </c>
    </row>
    <row r="255" spans="1:6" ht="15" x14ac:dyDescent="0.25">
      <c r="B255" s="770" t="s">
        <v>323</v>
      </c>
      <c r="C255" s="776">
        <f t="shared" si="311"/>
        <v>1286786</v>
      </c>
      <c r="D255" s="734">
        <f t="shared" si="312"/>
        <v>1246</v>
      </c>
    </row>
    <row r="256" spans="1:6" ht="15" x14ac:dyDescent="0.25">
      <c r="B256" s="770" t="s">
        <v>311</v>
      </c>
      <c r="C256" s="776">
        <f t="shared" si="311"/>
        <v>316816</v>
      </c>
      <c r="D256" s="734">
        <f t="shared" si="312"/>
        <v>266345</v>
      </c>
    </row>
    <row r="257" spans="2:4" ht="15" x14ac:dyDescent="0.25">
      <c r="B257" s="770" t="s">
        <v>312</v>
      </c>
      <c r="C257" s="776">
        <f t="shared" si="311"/>
        <v>17171925</v>
      </c>
      <c r="D257" s="734">
        <f t="shared" si="312"/>
        <v>3655545</v>
      </c>
    </row>
    <row r="258" spans="2:4" ht="15" x14ac:dyDescent="0.25">
      <c r="B258" s="770" t="s">
        <v>324</v>
      </c>
      <c r="C258" s="776">
        <f t="shared" si="311"/>
        <v>14213178</v>
      </c>
      <c r="D258" s="734">
        <f t="shared" si="312"/>
        <v>4420703</v>
      </c>
    </row>
    <row r="259" spans="2:4" ht="15" x14ac:dyDescent="0.25">
      <c r="B259" s="770" t="s">
        <v>321</v>
      </c>
      <c r="C259" s="776">
        <f t="shared" si="311"/>
        <v>4392261</v>
      </c>
      <c r="D259" s="734">
        <f t="shared" si="312"/>
        <v>893105</v>
      </c>
    </row>
    <row r="260" spans="2:4" ht="15" x14ac:dyDescent="0.25">
      <c r="B260" s="770" t="s">
        <v>322</v>
      </c>
      <c r="C260" s="776">
        <f t="shared" si="311"/>
        <v>8120783.7699999996</v>
      </c>
      <c r="D260" s="734">
        <f t="shared" si="312"/>
        <v>1823486.7699999996</v>
      </c>
    </row>
    <row r="261" spans="2:4" ht="15.75" thickBot="1" x14ac:dyDescent="0.3">
      <c r="B261" s="770" t="s">
        <v>316</v>
      </c>
      <c r="C261" s="776">
        <f t="shared" si="311"/>
        <v>1828909</v>
      </c>
      <c r="D261" s="734">
        <f t="shared" si="312"/>
        <v>194402</v>
      </c>
    </row>
    <row r="262" spans="2:4" ht="15.75" thickBot="1" x14ac:dyDescent="0.3">
      <c r="B262" s="772" t="s">
        <v>325</v>
      </c>
      <c r="C262" s="777">
        <f>+SUM(C252:C261)</f>
        <v>54446454.769999996</v>
      </c>
      <c r="D262" s="774">
        <f>+SUM(D252:D261)</f>
        <v>10901622.77</v>
      </c>
    </row>
    <row r="265" spans="2:4" ht="13.5" thickBot="1" x14ac:dyDescent="0.25"/>
    <row r="266" spans="2:4" ht="15.75" thickBot="1" x14ac:dyDescent="0.3">
      <c r="B266" s="761"/>
      <c r="C266" s="1586" t="s">
        <v>52</v>
      </c>
      <c r="D266" s="1588"/>
    </row>
    <row r="267" spans="2:4" ht="15.75" thickBot="1" x14ac:dyDescent="0.3">
      <c r="B267" s="761"/>
      <c r="C267" s="748" t="s">
        <v>331</v>
      </c>
      <c r="D267" s="750" t="s">
        <v>332</v>
      </c>
    </row>
    <row r="268" spans="2:4" ht="15" x14ac:dyDescent="0.25">
      <c r="B268" s="767" t="s">
        <v>302</v>
      </c>
      <c r="C268" s="775">
        <f t="shared" ref="C268:C277" si="313">CB99</f>
        <v>770837.08</v>
      </c>
      <c r="D268" s="769">
        <f t="shared" ref="D268:D277" si="314">CE99</f>
        <v>770837.08</v>
      </c>
    </row>
    <row r="269" spans="2:4" ht="15" x14ac:dyDescent="0.25">
      <c r="B269" s="770" t="s">
        <v>303</v>
      </c>
      <c r="C269" s="776">
        <f t="shared" si="313"/>
        <v>138192.18</v>
      </c>
      <c r="D269" s="734">
        <f t="shared" si="314"/>
        <v>20467.179999999993</v>
      </c>
    </row>
    <row r="270" spans="2:4" ht="15" x14ac:dyDescent="0.25">
      <c r="B270" s="770" t="s">
        <v>305</v>
      </c>
      <c r="C270" s="776">
        <f t="shared" si="313"/>
        <v>8591.3799999999992</v>
      </c>
      <c r="D270" s="734">
        <f t="shared" si="314"/>
        <v>3927.3799999999992</v>
      </c>
    </row>
    <row r="271" spans="2:4" ht="15" x14ac:dyDescent="0.25">
      <c r="B271" s="770" t="s">
        <v>306</v>
      </c>
      <c r="C271" s="776">
        <f t="shared" si="313"/>
        <v>219682.02</v>
      </c>
      <c r="D271" s="734">
        <f t="shared" si="314"/>
        <v>39862.079999999987</v>
      </c>
    </row>
    <row r="272" spans="2:4" ht="15" x14ac:dyDescent="0.25">
      <c r="B272" s="770" t="s">
        <v>308</v>
      </c>
      <c r="C272" s="776">
        <f>CB103+CB167</f>
        <v>27510601.149999991</v>
      </c>
      <c r="D272" s="734">
        <f t="shared" si="314"/>
        <v>18813976.02999999</v>
      </c>
    </row>
    <row r="273" spans="2:7" ht="15" x14ac:dyDescent="0.25">
      <c r="B273" s="770" t="s">
        <v>309</v>
      </c>
      <c r="C273" s="776">
        <f t="shared" si="313"/>
        <v>2037750.78</v>
      </c>
      <c r="D273" s="734">
        <f t="shared" si="314"/>
        <v>110397.28000000003</v>
      </c>
    </row>
    <row r="274" spans="2:7" ht="15" x14ac:dyDescent="0.25">
      <c r="B274" s="770" t="s">
        <v>310</v>
      </c>
      <c r="C274" s="776">
        <f t="shared" si="313"/>
        <v>55731690.270000003</v>
      </c>
      <c r="D274" s="734">
        <f t="shared" si="314"/>
        <v>55193971.270000003</v>
      </c>
    </row>
    <row r="275" spans="2:7" ht="15" x14ac:dyDescent="0.25">
      <c r="B275" s="770" t="s">
        <v>312</v>
      </c>
      <c r="C275" s="776">
        <f t="shared" si="313"/>
        <v>185185</v>
      </c>
      <c r="D275" s="734">
        <f t="shared" si="314"/>
        <v>149469.43</v>
      </c>
    </row>
    <row r="276" spans="2:7" ht="15" x14ac:dyDescent="0.25">
      <c r="B276" s="770" t="s">
        <v>313</v>
      </c>
      <c r="C276" s="776">
        <f t="shared" si="313"/>
        <v>19353808.18</v>
      </c>
      <c r="D276" s="734">
        <f t="shared" si="314"/>
        <v>10740082.299999999</v>
      </c>
    </row>
    <row r="277" spans="2:7" ht="15.75" thickBot="1" x14ac:dyDescent="0.3">
      <c r="B277" s="770" t="s">
        <v>314</v>
      </c>
      <c r="C277" s="776">
        <f t="shared" si="313"/>
        <v>612014.245</v>
      </c>
      <c r="D277" s="734">
        <f t="shared" si="314"/>
        <v>183792.185</v>
      </c>
    </row>
    <row r="278" spans="2:7" ht="15.75" thickBot="1" x14ac:dyDescent="0.3">
      <c r="B278" s="772" t="s">
        <v>325</v>
      </c>
      <c r="C278" s="777">
        <f>+SUM(C268:C277)</f>
        <v>106568352.285</v>
      </c>
      <c r="D278" s="774">
        <f>+SUM(D268:D277)</f>
        <v>86026782.215000004</v>
      </c>
    </row>
    <row r="280" spans="2:7" ht="13.5" thickBot="1" x14ac:dyDescent="0.25"/>
    <row r="281" spans="2:7" ht="15.75" thickBot="1" x14ac:dyDescent="0.3">
      <c r="B281" s="761"/>
      <c r="C281" s="794">
        <v>2020</v>
      </c>
      <c r="D281" s="749">
        <f>C281+1</f>
        <v>2021</v>
      </c>
      <c r="E281" s="749">
        <f t="shared" ref="E281:G281" si="315">D281+1</f>
        <v>2022</v>
      </c>
      <c r="F281" s="749">
        <f t="shared" si="315"/>
        <v>2023</v>
      </c>
      <c r="G281" s="795">
        <f t="shared" si="315"/>
        <v>2024</v>
      </c>
    </row>
    <row r="282" spans="2:7" ht="15" x14ac:dyDescent="0.25">
      <c r="B282" s="793" t="s">
        <v>333</v>
      </c>
      <c r="C282" s="791"/>
      <c r="D282" s="768">
        <f>+AT109</f>
        <v>4210177.9399999985</v>
      </c>
      <c r="E282" s="768">
        <f>BD109</f>
        <v>56863466.550000004</v>
      </c>
      <c r="F282" s="768">
        <f>BN109</f>
        <v>1997402.7999999993</v>
      </c>
      <c r="G282" s="769">
        <f>BX109</f>
        <v>7855915.2199999932</v>
      </c>
    </row>
    <row r="283" spans="2:7" ht="15" x14ac:dyDescent="0.25">
      <c r="B283" s="792" t="s">
        <v>148</v>
      </c>
      <c r="D283" s="4">
        <f>AU109</f>
        <v>0</v>
      </c>
      <c r="E283" s="4">
        <f>BE109</f>
        <v>0</v>
      </c>
      <c r="F283" s="4">
        <f>BO109</f>
        <v>0</v>
      </c>
      <c r="G283" s="734">
        <f>BY109</f>
        <v>0</v>
      </c>
    </row>
    <row r="284" spans="2:7" ht="15" x14ac:dyDescent="0.25">
      <c r="B284" s="792" t="s">
        <v>344</v>
      </c>
      <c r="C284" s="4">
        <f>AS109</f>
        <v>35641389.774999999</v>
      </c>
      <c r="D284" s="4">
        <f>AX109</f>
        <v>39851567.714999996</v>
      </c>
      <c r="E284" s="4">
        <f>BH109</f>
        <v>96715034.265000015</v>
      </c>
      <c r="F284" s="4">
        <f>BR109</f>
        <v>98712437.064999998</v>
      </c>
      <c r="G284" s="734">
        <f>CB109</f>
        <v>106568352.285</v>
      </c>
    </row>
    <row r="285" spans="2:7" ht="15.75" thickBot="1" x14ac:dyDescent="0.3">
      <c r="B285" s="771" t="s">
        <v>345</v>
      </c>
      <c r="C285" s="735">
        <f>AQ109</f>
        <v>18318397.705000002</v>
      </c>
      <c r="D285" s="735">
        <f>BA109</f>
        <v>22018273.924999997</v>
      </c>
      <c r="E285" s="735">
        <f>BK109</f>
        <v>78056096.195000008</v>
      </c>
      <c r="F285" s="735">
        <f>BU109</f>
        <v>79148433.435000002</v>
      </c>
      <c r="G285" s="736">
        <f>CE109</f>
        <v>86026782.215000004</v>
      </c>
    </row>
  </sheetData>
  <mergeCells count="4">
    <mergeCell ref="C231:D231"/>
    <mergeCell ref="E231:F231"/>
    <mergeCell ref="C250:D250"/>
    <mergeCell ref="C266:D266"/>
  </mergeCells>
  <dataValidations disablePrompts="1" count="1">
    <dataValidation type="list" allowBlank="1" showInputMessage="1" showErrorMessage="1" sqref="AS55" xr:uid="{00000000-0002-0000-0600-000000000000}">
      <formula1>"si,no"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3"/>
  <sheetViews>
    <sheetView showGridLines="0" topLeftCell="A16" workbookViewId="0">
      <selection activeCell="N57" sqref="N57"/>
    </sheetView>
  </sheetViews>
  <sheetFormatPr baseColWidth="10" defaultRowHeight="15" x14ac:dyDescent="0.25"/>
  <cols>
    <col min="1" max="1" width="29.140625" customWidth="1"/>
    <col min="2" max="2" width="22.85546875" customWidth="1"/>
    <col min="3" max="3" width="12.28515625" bestFit="1" customWidth="1"/>
    <col min="4" max="7" width="12.7109375" bestFit="1" customWidth="1"/>
    <col min="12" max="12" width="13.42578125" bestFit="1" customWidth="1"/>
    <col min="17" max="17" width="11.85546875" bestFit="1" customWidth="1"/>
  </cols>
  <sheetData>
    <row r="1" spans="1:15" x14ac:dyDescent="0.25">
      <c r="N1" s="1132" t="s">
        <v>301</v>
      </c>
      <c r="O1" s="1132" t="s">
        <v>302</v>
      </c>
    </row>
    <row r="2" spans="1:15" x14ac:dyDescent="0.25">
      <c r="N2" s="1132" t="s">
        <v>318</v>
      </c>
      <c r="O2" s="1132" t="s">
        <v>303</v>
      </c>
    </row>
    <row r="3" spans="1:15" x14ac:dyDescent="0.25">
      <c r="N3" s="1132" t="s">
        <v>31</v>
      </c>
      <c r="O3" s="1132" t="s">
        <v>304</v>
      </c>
    </row>
    <row r="4" spans="1:15" x14ac:dyDescent="0.25">
      <c r="O4" s="1132" t="s">
        <v>305</v>
      </c>
    </row>
    <row r="5" spans="1:15" x14ac:dyDescent="0.25">
      <c r="O5" s="1132" t="s">
        <v>306</v>
      </c>
    </row>
    <row r="6" spans="1:15" x14ac:dyDescent="0.25">
      <c r="O6" s="1132" t="s">
        <v>307</v>
      </c>
    </row>
    <row r="7" spans="1:15" x14ac:dyDescent="0.25">
      <c r="O7" s="1132" t="s">
        <v>308</v>
      </c>
    </row>
    <row r="8" spans="1:15" x14ac:dyDescent="0.25">
      <c r="O8" s="1132" t="s">
        <v>309</v>
      </c>
    </row>
    <row r="9" spans="1:15" x14ac:dyDescent="0.25">
      <c r="O9" s="1132" t="s">
        <v>310</v>
      </c>
    </row>
    <row r="10" spans="1:15" x14ac:dyDescent="0.25">
      <c r="O10" s="1132" t="s">
        <v>311</v>
      </c>
    </row>
    <row r="11" spans="1:15" x14ac:dyDescent="0.25">
      <c r="O11" s="1132" t="s">
        <v>312</v>
      </c>
    </row>
    <row r="12" spans="1:15" x14ac:dyDescent="0.25">
      <c r="O12" s="1132" t="s">
        <v>313</v>
      </c>
    </row>
    <row r="13" spans="1:15" x14ac:dyDescent="0.25">
      <c r="O13" s="1132" t="s">
        <v>314</v>
      </c>
    </row>
    <row r="14" spans="1:15" x14ac:dyDescent="0.25">
      <c r="O14" s="1132" t="s">
        <v>315</v>
      </c>
    </row>
    <row r="15" spans="1:15" x14ac:dyDescent="0.25">
      <c r="O15" s="1132" t="s">
        <v>316</v>
      </c>
    </row>
    <row r="16" spans="1:15" ht="18.75" x14ac:dyDescent="0.3">
      <c r="A16" s="299" t="s">
        <v>1324</v>
      </c>
      <c r="B16" s="299"/>
    </row>
    <row r="17" spans="1:12" ht="18.75" x14ac:dyDescent="0.3">
      <c r="A17" s="299" t="s">
        <v>1296</v>
      </c>
      <c r="B17" s="299"/>
    </row>
    <row r="18" spans="1:12" ht="19.5" thickBot="1" x14ac:dyDescent="0.35">
      <c r="A18" s="299" t="s">
        <v>1325</v>
      </c>
      <c r="B18" s="299"/>
    </row>
    <row r="19" spans="1:12" x14ac:dyDescent="0.25">
      <c r="B19" s="880" t="s">
        <v>1326</v>
      </c>
      <c r="C19" s="880"/>
      <c r="D19" s="878"/>
      <c r="E19" s="878"/>
      <c r="F19" s="878"/>
      <c r="G19" s="879"/>
      <c r="H19" s="878" t="s">
        <v>1327</v>
      </c>
      <c r="I19" s="878"/>
      <c r="J19" s="878"/>
      <c r="K19" s="878"/>
      <c r="L19" s="878"/>
    </row>
    <row r="20" spans="1:12" ht="15.75" thickBot="1" x14ac:dyDescent="0.3">
      <c r="B20" s="877">
        <v>2019</v>
      </c>
      <c r="C20" s="876">
        <v>2020</v>
      </c>
      <c r="D20" s="876">
        <v>2021</v>
      </c>
      <c r="E20" s="876">
        <v>2022</v>
      </c>
      <c r="F20" s="876">
        <v>2023</v>
      </c>
      <c r="G20" s="875">
        <v>2024</v>
      </c>
      <c r="H20" s="877">
        <v>2020</v>
      </c>
      <c r="I20" s="876">
        <v>2021</v>
      </c>
      <c r="J20" s="876">
        <v>2022</v>
      </c>
      <c r="K20" s="876">
        <v>2023</v>
      </c>
      <c r="L20" s="875">
        <v>2024</v>
      </c>
    </row>
    <row r="21" spans="1:12" x14ac:dyDescent="0.25">
      <c r="A21" s="872" t="s">
        <v>1292</v>
      </c>
      <c r="B21" s="871">
        <f t="shared" ref="B21:L21" si="0">SUM(B22:B27)</f>
        <v>47319041.890000001</v>
      </c>
      <c r="C21" s="870">
        <f t="shared" si="0"/>
        <v>50289594.890000001</v>
      </c>
      <c r="D21" s="870">
        <f t="shared" si="0"/>
        <v>53961768.019999996</v>
      </c>
      <c r="E21" s="870">
        <f t="shared" si="0"/>
        <v>55361666.32</v>
      </c>
      <c r="F21" s="870">
        <f t="shared" si="0"/>
        <v>57448653.540000007</v>
      </c>
      <c r="G21" s="1129">
        <f t="shared" si="0"/>
        <v>65375080.890000001</v>
      </c>
      <c r="H21" s="871">
        <f t="shared" si="0"/>
        <v>2970553</v>
      </c>
      <c r="I21" s="870">
        <f t="shared" si="0"/>
        <v>3672173.129999999</v>
      </c>
      <c r="J21" s="870">
        <f t="shared" si="0"/>
        <v>1399898.3000000017</v>
      </c>
      <c r="K21" s="870">
        <f t="shared" si="0"/>
        <v>2086987.2200000007</v>
      </c>
      <c r="L21" s="869">
        <f t="shared" si="0"/>
        <v>7926427.3499999987</v>
      </c>
    </row>
    <row r="22" spans="1:12" x14ac:dyDescent="0.25">
      <c r="A22" s="868" t="s">
        <v>1291</v>
      </c>
      <c r="B22" s="867">
        <v>0</v>
      </c>
      <c r="C22" s="108">
        <v>0</v>
      </c>
      <c r="D22" s="108">
        <f>'[4]anex-bs1'!J26</f>
        <v>0</v>
      </c>
      <c r="E22" s="108">
        <f>'[5]anex-bs1'!J26</f>
        <v>0</v>
      </c>
      <c r="F22" s="108">
        <f>'[6]anex-bs1'!J26</f>
        <v>0</v>
      </c>
      <c r="G22" s="1130">
        <f>F22</f>
        <v>0</v>
      </c>
      <c r="H22" s="867">
        <f t="shared" ref="H22:H27" si="1">C22-B22</f>
        <v>0</v>
      </c>
      <c r="I22" s="108">
        <f t="shared" ref="I22:I27" si="2">D22-C22</f>
        <v>0</v>
      </c>
      <c r="J22" s="108">
        <f t="shared" ref="J22:J27" si="3">E22-D22</f>
        <v>0</v>
      </c>
      <c r="K22" s="108">
        <f t="shared" ref="K22:K27" si="4">F22-E22</f>
        <v>0</v>
      </c>
      <c r="L22" s="866">
        <f t="shared" ref="L22:L27" si="5">G22-F22</f>
        <v>0</v>
      </c>
    </row>
    <row r="23" spans="1:12" x14ac:dyDescent="0.25">
      <c r="A23" s="868" t="s">
        <v>1290</v>
      </c>
      <c r="B23" s="867">
        <v>197632.89</v>
      </c>
      <c r="C23" s="108">
        <v>197632.89</v>
      </c>
      <c r="D23" s="108">
        <f>'[4]anex-bs1'!J27</f>
        <v>197632.89</v>
      </c>
      <c r="E23" s="108">
        <f>'[5]anex-bs1'!J27</f>
        <v>197632.89</v>
      </c>
      <c r="F23" s="108">
        <f>'[6]anex-bs1'!J27</f>
        <v>197632.89</v>
      </c>
      <c r="G23" s="1130">
        <v>197632.89</v>
      </c>
      <c r="H23" s="867">
        <f t="shared" si="1"/>
        <v>0</v>
      </c>
      <c r="I23">
        <f t="shared" si="2"/>
        <v>0</v>
      </c>
      <c r="J23" s="108">
        <f t="shared" si="3"/>
        <v>0</v>
      </c>
      <c r="K23" s="108">
        <f t="shared" si="4"/>
        <v>0</v>
      </c>
      <c r="L23" s="866">
        <f t="shared" si="5"/>
        <v>0</v>
      </c>
    </row>
    <row r="24" spans="1:12" x14ac:dyDescent="0.25">
      <c r="A24" s="868" t="s">
        <v>1278</v>
      </c>
      <c r="B24" s="867">
        <v>7995328</v>
      </c>
      <c r="C24" s="108">
        <v>8004738</v>
      </c>
      <c r="D24" s="108">
        <f>'[4]anex-bs1'!J28</f>
        <v>8021875.9300000006</v>
      </c>
      <c r="E24" s="108">
        <f>'[5]anex-bs1'!J28</f>
        <v>8021875.9300000006</v>
      </c>
      <c r="F24" s="108">
        <f>'[6]anex-bs1'!J28</f>
        <v>8226925.3800000008</v>
      </c>
      <c r="G24" s="1130">
        <v>9201587</v>
      </c>
      <c r="H24" s="867">
        <f t="shared" si="1"/>
        <v>9410</v>
      </c>
      <c r="I24" s="108">
        <f t="shared" si="2"/>
        <v>17137.930000000633</v>
      </c>
      <c r="J24" s="108">
        <f t="shared" si="3"/>
        <v>0</v>
      </c>
      <c r="K24" s="108">
        <f t="shared" si="4"/>
        <v>205049.45000000019</v>
      </c>
      <c r="L24" s="866">
        <f t="shared" si="5"/>
        <v>974661.61999999918</v>
      </c>
    </row>
    <row r="25" spans="1:12" x14ac:dyDescent="0.25">
      <c r="A25" s="868" t="s">
        <v>1289</v>
      </c>
      <c r="B25" s="867">
        <v>8661245</v>
      </c>
      <c r="C25" s="108">
        <v>9308411</v>
      </c>
      <c r="D25" s="108">
        <f>'[4]anex-bs1'!J29</f>
        <v>11761217.289999999</v>
      </c>
      <c r="E25" s="108">
        <f>'[5]anex-bs1'!J29</f>
        <v>12101341</v>
      </c>
      <c r="F25" s="108">
        <f>'[6]anex-bs1'!J29</f>
        <v>12834460.15</v>
      </c>
      <c r="G25" s="1130">
        <v>17631015</v>
      </c>
      <c r="H25" s="867">
        <f t="shared" si="1"/>
        <v>647166</v>
      </c>
      <c r="I25" s="108">
        <f t="shared" si="2"/>
        <v>2452806.2899999991</v>
      </c>
      <c r="J25" s="108">
        <f t="shared" si="3"/>
        <v>340123.71000000089</v>
      </c>
      <c r="K25" s="108">
        <f t="shared" si="4"/>
        <v>733119.15000000037</v>
      </c>
      <c r="L25" s="866">
        <f t="shared" si="5"/>
        <v>4796554.8499999996</v>
      </c>
    </row>
    <row r="26" spans="1:12" x14ac:dyDescent="0.25">
      <c r="A26" s="868" t="s">
        <v>1288</v>
      </c>
      <c r="B26" s="867">
        <v>3430436</v>
      </c>
      <c r="C26" s="108">
        <v>3794983</v>
      </c>
      <c r="D26" s="108">
        <f>'[4]anex-bs1'!J30</f>
        <v>4007767.12</v>
      </c>
      <c r="E26" s="108">
        <f>'[5]anex-bs1'!J30</f>
        <v>4240427</v>
      </c>
      <c r="F26" s="108">
        <f>'[6]anex-bs1'!J30</f>
        <v>4269886.9799999995</v>
      </c>
      <c r="G26" s="1130">
        <v>5202535</v>
      </c>
      <c r="H26" s="867">
        <f t="shared" si="1"/>
        <v>364547</v>
      </c>
      <c r="I26" s="108">
        <f t="shared" si="2"/>
        <v>212784.12000000011</v>
      </c>
      <c r="J26" s="108">
        <f t="shared" si="3"/>
        <v>232659.87999999989</v>
      </c>
      <c r="K26" s="108">
        <f t="shared" si="4"/>
        <v>29459.979999999516</v>
      </c>
      <c r="L26" s="866">
        <f t="shared" si="5"/>
        <v>932648.02000000048</v>
      </c>
    </row>
    <row r="27" spans="1:12" ht="15.75" thickBot="1" x14ac:dyDescent="0.3">
      <c r="A27" s="865" t="s">
        <v>1287</v>
      </c>
      <c r="B27" s="864">
        <v>27034400</v>
      </c>
      <c r="C27" s="863">
        <v>28983830</v>
      </c>
      <c r="D27" s="863">
        <f>'[4]anex-bs1'!J31</f>
        <v>29973274.789999999</v>
      </c>
      <c r="E27" s="863">
        <f>'[5]anex-bs1'!J31</f>
        <v>30800389.5</v>
      </c>
      <c r="F27" s="863">
        <f>'[6]anex-bs1'!J31</f>
        <v>31919748.140000001</v>
      </c>
      <c r="G27" s="1131">
        <v>33142311</v>
      </c>
      <c r="H27" s="864">
        <f t="shared" si="1"/>
        <v>1949430</v>
      </c>
      <c r="I27" s="863">
        <f t="shared" si="2"/>
        <v>989444.78999999911</v>
      </c>
      <c r="J27" s="863">
        <f t="shared" si="3"/>
        <v>827114.71000000089</v>
      </c>
      <c r="K27" s="863">
        <f t="shared" si="4"/>
        <v>1119358.6400000006</v>
      </c>
      <c r="L27" s="862">
        <f t="shared" si="5"/>
        <v>1222562.8599999994</v>
      </c>
    </row>
    <row r="28" spans="1:12" x14ac:dyDescent="0.25">
      <c r="A28" s="872" t="s">
        <v>227</v>
      </c>
      <c r="B28" s="871">
        <f t="shared" ref="B28:L28" si="6">SUM(B29:B36)</f>
        <v>918981240</v>
      </c>
      <c r="C28" s="870">
        <f t="shared" si="6"/>
        <v>959356100.97000003</v>
      </c>
      <c r="D28" s="870">
        <f t="shared" si="6"/>
        <v>1026567985.3100001</v>
      </c>
      <c r="E28" s="870">
        <f t="shared" si="6"/>
        <v>1139464000.5999999</v>
      </c>
      <c r="F28" s="870">
        <f t="shared" si="6"/>
        <v>1181756129.27</v>
      </c>
      <c r="G28" s="1129">
        <f t="shared" si="6"/>
        <v>1308177426</v>
      </c>
      <c r="H28" s="871">
        <f t="shared" si="6"/>
        <v>40374860.969999999</v>
      </c>
      <c r="I28" s="870">
        <f t="shared" si="6"/>
        <v>67211884.340000018</v>
      </c>
      <c r="J28" s="870">
        <f t="shared" si="6"/>
        <v>112896015.28999998</v>
      </c>
      <c r="K28" s="870">
        <f t="shared" si="6"/>
        <v>42292128.669999957</v>
      </c>
      <c r="L28" s="869">
        <f t="shared" si="6"/>
        <v>126421296.73000005</v>
      </c>
    </row>
    <row r="29" spans="1:12" x14ac:dyDescent="0.25">
      <c r="A29" s="868" t="s">
        <v>1285</v>
      </c>
      <c r="B29" s="867">
        <v>205508095</v>
      </c>
      <c r="C29" s="108">
        <v>219184834</v>
      </c>
      <c r="D29" s="108">
        <f>'[4]anex-bs1'!J46</f>
        <v>266789668.50000003</v>
      </c>
      <c r="E29" s="108">
        <f>'[5]anex-bs1'!J46</f>
        <v>311468749.5</v>
      </c>
      <c r="F29" s="108">
        <f>'[6]anex-bs1'!J46</f>
        <v>318227835.01999998</v>
      </c>
      <c r="G29" s="1130">
        <v>349866251</v>
      </c>
      <c r="H29" s="867">
        <f t="shared" ref="H29:H36" si="7">C29-B29</f>
        <v>13676739</v>
      </c>
      <c r="I29" s="108">
        <f t="shared" ref="I29:I36" si="8">D29-C29</f>
        <v>47604834.50000003</v>
      </c>
      <c r="J29" s="108">
        <f t="shared" ref="J29:J36" si="9">E29-D29</f>
        <v>44679080.99999997</v>
      </c>
      <c r="K29" s="108">
        <f t="shared" ref="K29:K36" si="10">F29-E29</f>
        <v>6759085.5199999809</v>
      </c>
      <c r="L29" s="866">
        <f t="shared" ref="L29:L36" si="11">G29-F29</f>
        <v>31638415.980000019</v>
      </c>
    </row>
    <row r="30" spans="1:12" x14ac:dyDescent="0.25">
      <c r="A30" s="868" t="s">
        <v>1284</v>
      </c>
      <c r="B30" s="867">
        <v>240164693</v>
      </c>
      <c r="C30" s="108">
        <v>250226351</v>
      </c>
      <c r="D30" s="108">
        <f>'[4]anex-bs1'!J47</f>
        <v>251207854.10000002</v>
      </c>
      <c r="E30" s="108">
        <f>'[5]anex-bs1'!J47</f>
        <v>267616631.59999999</v>
      </c>
      <c r="F30" s="108">
        <f>'[6]anex-bs1'!J47</f>
        <v>270518478.96999997</v>
      </c>
      <c r="G30" s="1130">
        <v>300053160</v>
      </c>
      <c r="H30" s="867">
        <f t="shared" si="7"/>
        <v>10061658</v>
      </c>
      <c r="I30" s="108">
        <f t="shared" si="8"/>
        <v>981503.10000002384</v>
      </c>
      <c r="J30" s="108">
        <f t="shared" si="9"/>
        <v>16408777.49999997</v>
      </c>
      <c r="K30" s="108">
        <f t="shared" si="10"/>
        <v>2901847.369999975</v>
      </c>
      <c r="L30" s="866">
        <f t="shared" si="11"/>
        <v>29534681.030000031</v>
      </c>
    </row>
    <row r="31" spans="1:12" x14ac:dyDescent="0.25">
      <c r="A31" s="868" t="s">
        <v>826</v>
      </c>
      <c r="B31" s="867">
        <v>124030971</v>
      </c>
      <c r="C31" s="108">
        <v>123806142</v>
      </c>
      <c r="D31" s="108">
        <f>'[4]anex-bs1'!J48</f>
        <v>124671950.90000001</v>
      </c>
      <c r="E31" s="108">
        <f>'[5]anex-bs1'!J48</f>
        <v>137920219.5</v>
      </c>
      <c r="F31" s="108">
        <f>'[6]anex-bs1'!J48</f>
        <v>155582608.24000001</v>
      </c>
      <c r="G31" s="1130">
        <v>176306219</v>
      </c>
      <c r="H31" s="867">
        <f t="shared" si="7"/>
        <v>-224829</v>
      </c>
      <c r="I31" s="108">
        <f t="shared" si="8"/>
        <v>865808.90000000596</v>
      </c>
      <c r="J31" s="108">
        <f t="shared" si="9"/>
        <v>13248268.599999994</v>
      </c>
      <c r="K31" s="108">
        <f t="shared" si="10"/>
        <v>17662388.74000001</v>
      </c>
      <c r="L31" s="866">
        <f t="shared" si="11"/>
        <v>20723610.75999999</v>
      </c>
    </row>
    <row r="32" spans="1:12" x14ac:dyDescent="0.25">
      <c r="A32" s="868" t="s">
        <v>1283</v>
      </c>
      <c r="B32" s="867">
        <v>0</v>
      </c>
      <c r="C32" s="108">
        <v>0</v>
      </c>
      <c r="D32" s="108">
        <f>'[4]anex-bs1'!J49</f>
        <v>0</v>
      </c>
      <c r="E32" s="108">
        <f>'[5]anex-bs1'!J49</f>
        <v>0</v>
      </c>
      <c r="F32" s="108">
        <f>'[6]anex-bs1'!J49</f>
        <v>0</v>
      </c>
      <c r="G32" s="1130">
        <f t="shared" ref="G32:G36" si="12">F32</f>
        <v>0</v>
      </c>
      <c r="H32" s="867">
        <f t="shared" si="7"/>
        <v>0</v>
      </c>
      <c r="I32" s="108">
        <f t="shared" si="8"/>
        <v>0</v>
      </c>
      <c r="J32" s="108">
        <f t="shared" si="9"/>
        <v>0</v>
      </c>
      <c r="K32" s="108">
        <f t="shared" si="10"/>
        <v>0</v>
      </c>
      <c r="L32" s="866">
        <f t="shared" si="11"/>
        <v>0</v>
      </c>
    </row>
    <row r="33" spans="1:12" x14ac:dyDescent="0.25">
      <c r="A33" s="868" t="s">
        <v>1282</v>
      </c>
      <c r="B33" s="867">
        <v>271922293</v>
      </c>
      <c r="C33" s="108">
        <v>282360221</v>
      </c>
      <c r="D33" s="108">
        <f>'[4]anex-bs1'!J50</f>
        <v>285410359.97999996</v>
      </c>
      <c r="E33" s="108">
        <f>'[5]anex-bs1'!J50</f>
        <v>310002020.5</v>
      </c>
      <c r="F33" s="108">
        <f>'[6]anex-bs1'!J50</f>
        <v>324509606.00999999</v>
      </c>
      <c r="G33" s="1130">
        <v>357175428</v>
      </c>
      <c r="H33" s="867">
        <f t="shared" si="7"/>
        <v>10437928</v>
      </c>
      <c r="I33" s="108">
        <f t="shared" si="8"/>
        <v>3050138.9799999595</v>
      </c>
      <c r="J33" s="108">
        <f t="shared" si="9"/>
        <v>24591660.520000041</v>
      </c>
      <c r="K33" s="108">
        <f t="shared" si="10"/>
        <v>14507585.50999999</v>
      </c>
      <c r="L33" s="866">
        <f t="shared" si="11"/>
        <v>32665821.99000001</v>
      </c>
    </row>
    <row r="34" spans="1:12" x14ac:dyDescent="0.25">
      <c r="A34" s="868" t="s">
        <v>1281</v>
      </c>
      <c r="B34" s="867">
        <v>0</v>
      </c>
      <c r="C34" s="108">
        <v>0</v>
      </c>
      <c r="D34" s="108">
        <f>'[4]anex-bs1'!J51</f>
        <v>0</v>
      </c>
      <c r="E34" s="108">
        <f>'[5]anex-bs1'!J51</f>
        <v>0</v>
      </c>
      <c r="F34" s="108">
        <f>'[6]anex-bs1'!J51</f>
        <v>0</v>
      </c>
      <c r="G34" s="1130">
        <f t="shared" si="12"/>
        <v>0</v>
      </c>
      <c r="H34" s="867">
        <f t="shared" si="7"/>
        <v>0</v>
      </c>
      <c r="I34" s="108">
        <f t="shared" si="8"/>
        <v>0</v>
      </c>
      <c r="J34" s="108">
        <f t="shared" si="9"/>
        <v>0</v>
      </c>
      <c r="K34" s="108">
        <f t="shared" si="10"/>
        <v>0</v>
      </c>
      <c r="L34" s="866">
        <f t="shared" si="11"/>
        <v>0</v>
      </c>
    </row>
    <row r="35" spans="1:12" x14ac:dyDescent="0.25">
      <c r="A35" s="868" t="s">
        <v>1286</v>
      </c>
      <c r="B35" s="867">
        <v>41915273</v>
      </c>
      <c r="C35" s="108">
        <v>48338638</v>
      </c>
      <c r="D35" s="108">
        <f>'[4]anex-bs1'!J52</f>
        <v>63048236.859999999</v>
      </c>
      <c r="E35" s="108">
        <f>'[5]anex-bs1'!J52</f>
        <v>77016464.5</v>
      </c>
      <c r="F35" s="108">
        <f>'[6]anex-bs1'!J52</f>
        <v>77477686.030000001</v>
      </c>
      <c r="G35" s="1130">
        <v>89336453</v>
      </c>
      <c r="H35" s="867">
        <f t="shared" si="7"/>
        <v>6423365</v>
      </c>
      <c r="I35" s="108">
        <f t="shared" si="8"/>
        <v>14709598.859999999</v>
      </c>
      <c r="J35" s="108">
        <f t="shared" si="9"/>
        <v>13968227.640000001</v>
      </c>
      <c r="K35" s="108">
        <f t="shared" si="10"/>
        <v>461221.53000000119</v>
      </c>
      <c r="L35" s="866">
        <f t="shared" si="11"/>
        <v>11858766.969999999</v>
      </c>
    </row>
    <row r="36" spans="1:12" ht="15.75" thickBot="1" x14ac:dyDescent="0.3">
      <c r="A36" s="865" t="s">
        <v>1279</v>
      </c>
      <c r="B36" s="864">
        <v>35439915</v>
      </c>
      <c r="C36" s="863">
        <v>35439914.969999999</v>
      </c>
      <c r="D36" s="863">
        <f>'[4]anex-bs1'!J53</f>
        <v>35439914.969999999</v>
      </c>
      <c r="E36" s="863">
        <f>'[5]anex-bs1'!J53</f>
        <v>35439915</v>
      </c>
      <c r="F36" s="863">
        <f>'[6]anex-bs1'!J53</f>
        <v>35439915</v>
      </c>
      <c r="G36" s="1131">
        <f t="shared" si="12"/>
        <v>35439915</v>
      </c>
      <c r="H36" s="864">
        <f t="shared" si="7"/>
        <v>-3.0000001192092896E-2</v>
      </c>
      <c r="I36" s="863">
        <f t="shared" si="8"/>
        <v>0</v>
      </c>
      <c r="J36" s="863">
        <f t="shared" si="9"/>
        <v>3.0000001192092896E-2</v>
      </c>
      <c r="K36" s="863">
        <f t="shared" si="10"/>
        <v>0</v>
      </c>
      <c r="L36" s="862">
        <f t="shared" si="11"/>
        <v>0</v>
      </c>
    </row>
    <row r="37" spans="1:12" x14ac:dyDescent="0.25">
      <c r="A37" s="872" t="s">
        <v>500</v>
      </c>
      <c r="B37" s="871">
        <f t="shared" ref="B37:L37" si="13">SUM(B38:B45)</f>
        <v>32940052</v>
      </c>
      <c r="C37" s="870">
        <f t="shared" si="13"/>
        <v>33684180</v>
      </c>
      <c r="D37" s="870">
        <f t="shared" si="13"/>
        <v>37211731.389999993</v>
      </c>
      <c r="E37" s="870">
        <f t="shared" si="13"/>
        <v>39372093.530000001</v>
      </c>
      <c r="F37" s="870">
        <f t="shared" si="13"/>
        <v>40691951.730000004</v>
      </c>
      <c r="G37" s="1129">
        <f t="shared" si="13"/>
        <v>42294245.950000003</v>
      </c>
      <c r="H37" s="871">
        <f t="shared" si="13"/>
        <v>744128</v>
      </c>
      <c r="I37" s="870">
        <f t="shared" si="13"/>
        <v>3527551.3899999978</v>
      </c>
      <c r="J37" s="870">
        <f t="shared" si="13"/>
        <v>2160362.1400000025</v>
      </c>
      <c r="K37" s="870">
        <f t="shared" si="13"/>
        <v>1319858.2000000023</v>
      </c>
      <c r="L37" s="869">
        <f t="shared" si="13"/>
        <v>1602294.2199999976</v>
      </c>
    </row>
    <row r="38" spans="1:12" x14ac:dyDescent="0.25">
      <c r="A38" s="868" t="s">
        <v>1285</v>
      </c>
      <c r="B38" s="867">
        <v>28732471</v>
      </c>
      <c r="C38" s="108">
        <v>29478914</v>
      </c>
      <c r="D38" s="108">
        <f>'[4]anex-bs1'!J69</f>
        <v>32638710.099999998</v>
      </c>
      <c r="E38" s="108">
        <f>'[5]anex-bs1'!J69</f>
        <v>33759839</v>
      </c>
      <c r="F38" s="108">
        <f>'[6]anex-bs1'!J69</f>
        <v>34967389.560000002</v>
      </c>
      <c r="G38" s="1130">
        <v>36569684</v>
      </c>
      <c r="H38" s="867">
        <f t="shared" ref="H38:H45" si="14">C38-B38</f>
        <v>746443</v>
      </c>
      <c r="I38" s="108">
        <f t="shared" ref="I38:I45" si="15">D38-C38</f>
        <v>3159796.0999999978</v>
      </c>
      <c r="J38" s="108">
        <f t="shared" ref="J38:J45" si="16">E38-D38</f>
        <v>1121128.9000000022</v>
      </c>
      <c r="K38" s="108">
        <f t="shared" ref="K38:K45" si="17">F38-E38</f>
        <v>1207550.5600000024</v>
      </c>
      <c r="L38" s="866">
        <f t="shared" ref="L38:L45" si="18">G38-F38</f>
        <v>1602294.4399999976</v>
      </c>
    </row>
    <row r="39" spans="1:12" x14ac:dyDescent="0.25">
      <c r="A39" s="868" t="s">
        <v>1284</v>
      </c>
      <c r="B39" s="867">
        <v>2037751</v>
      </c>
      <c r="C39" s="108">
        <v>2037751</v>
      </c>
      <c r="D39" s="108">
        <f>'[4]anex-bs1'!J70</f>
        <v>2037750.78</v>
      </c>
      <c r="E39" s="108">
        <f>'[5]anex-bs1'!J70</f>
        <v>2037751</v>
      </c>
      <c r="F39" s="108">
        <f>'[6]anex-bs1'!J70</f>
        <v>2037751</v>
      </c>
      <c r="G39" s="1130">
        <v>2037750.78</v>
      </c>
      <c r="H39" s="867">
        <f t="shared" si="14"/>
        <v>0</v>
      </c>
      <c r="I39" s="108">
        <f t="shared" si="15"/>
        <v>-0.21999999997206032</v>
      </c>
      <c r="J39" s="108">
        <f t="shared" si="16"/>
        <v>0.21999999997206032</v>
      </c>
      <c r="K39" s="108">
        <f t="shared" si="17"/>
        <v>0</v>
      </c>
      <c r="L39" s="866">
        <f t="shared" si="18"/>
        <v>-0.21999999997206032</v>
      </c>
    </row>
    <row r="40" spans="1:12" x14ac:dyDescent="0.25">
      <c r="A40" s="868" t="s">
        <v>826</v>
      </c>
      <c r="B40" s="867">
        <v>8591</v>
      </c>
      <c r="C40" s="108">
        <v>8591</v>
      </c>
      <c r="D40" s="108">
        <f>'[4]anex-bs1'!J71</f>
        <v>8591.3799999999992</v>
      </c>
      <c r="E40" s="108">
        <f>'[5]anex-bs1'!J71</f>
        <v>8591.3799999999992</v>
      </c>
      <c r="F40" s="108">
        <f>'[6]anex-bs1'!J71</f>
        <v>8591.3799999999992</v>
      </c>
      <c r="G40" s="1130">
        <f t="shared" ref="G40:G45" si="19">F40</f>
        <v>8591.3799999999992</v>
      </c>
      <c r="H40" s="867">
        <f t="shared" si="14"/>
        <v>0</v>
      </c>
      <c r="I40" s="108">
        <f t="shared" si="15"/>
        <v>0.37999999999919964</v>
      </c>
      <c r="J40" s="108">
        <f t="shared" si="16"/>
        <v>0</v>
      </c>
      <c r="K40" s="108">
        <f t="shared" si="17"/>
        <v>0</v>
      </c>
      <c r="L40" s="866">
        <f t="shared" si="18"/>
        <v>0</v>
      </c>
    </row>
    <row r="41" spans="1:12" x14ac:dyDescent="0.25">
      <c r="A41" s="868" t="s">
        <v>1283</v>
      </c>
      <c r="B41" s="867">
        <v>0</v>
      </c>
      <c r="C41" s="108">
        <v>0</v>
      </c>
      <c r="D41" s="108">
        <f>'[4]anex-bs1'!J72</f>
        <v>0</v>
      </c>
      <c r="E41" s="108">
        <f>'[5]anex-bs1'!J72</f>
        <v>0</v>
      </c>
      <c r="F41" s="108">
        <f>'[6]anex-bs1'!J72</f>
        <v>0</v>
      </c>
      <c r="G41" s="1130">
        <f t="shared" si="19"/>
        <v>0</v>
      </c>
      <c r="H41" s="867">
        <f t="shared" si="14"/>
        <v>0</v>
      </c>
      <c r="I41" s="108">
        <f t="shared" si="15"/>
        <v>0</v>
      </c>
      <c r="J41" s="108">
        <f t="shared" si="16"/>
        <v>0</v>
      </c>
      <c r="K41" s="108">
        <f t="shared" si="17"/>
        <v>0</v>
      </c>
      <c r="L41" s="866">
        <f t="shared" si="18"/>
        <v>0</v>
      </c>
    </row>
    <row r="42" spans="1:12" x14ac:dyDescent="0.25">
      <c r="A42" s="868" t="s">
        <v>1282</v>
      </c>
      <c r="B42" s="867">
        <v>799151</v>
      </c>
      <c r="C42" s="108">
        <v>799151</v>
      </c>
      <c r="D42" s="108">
        <f>'[4]anex-bs1'!J73</f>
        <v>995562.96</v>
      </c>
      <c r="E42" s="108">
        <f>'[5]anex-bs1'!J73</f>
        <v>1328948.96</v>
      </c>
      <c r="F42" s="108">
        <f>'[6]anex-bs1'!J73</f>
        <v>1388842.0999999999</v>
      </c>
      <c r="G42" s="1130">
        <f t="shared" si="19"/>
        <v>1388842.0999999999</v>
      </c>
      <c r="H42" s="867">
        <f t="shared" si="14"/>
        <v>0</v>
      </c>
      <c r="I42" s="108">
        <f t="shared" si="15"/>
        <v>196411.95999999996</v>
      </c>
      <c r="J42" s="108">
        <f t="shared" si="16"/>
        <v>333386</v>
      </c>
      <c r="K42" s="108">
        <f t="shared" si="17"/>
        <v>59893.139999999898</v>
      </c>
      <c r="L42" s="866">
        <f t="shared" si="18"/>
        <v>0</v>
      </c>
    </row>
    <row r="43" spans="1:12" x14ac:dyDescent="0.25">
      <c r="A43" s="868" t="s">
        <v>1281</v>
      </c>
      <c r="B43" s="867">
        <v>0</v>
      </c>
      <c r="C43" s="108">
        <v>0</v>
      </c>
      <c r="D43" s="108">
        <f>'[4]anex-bs1'!J74</f>
        <v>0</v>
      </c>
      <c r="E43" s="108">
        <f>'[5]anex-bs1'!J74</f>
        <v>0</v>
      </c>
      <c r="F43" s="108">
        <f>'[6]anex-bs1'!J74</f>
        <v>0</v>
      </c>
      <c r="G43" s="1130">
        <f t="shared" si="19"/>
        <v>0</v>
      </c>
      <c r="H43" s="867">
        <f t="shared" si="14"/>
        <v>0</v>
      </c>
      <c r="I43" s="108">
        <f t="shared" si="15"/>
        <v>0</v>
      </c>
      <c r="J43" s="108">
        <f t="shared" si="16"/>
        <v>0</v>
      </c>
      <c r="K43" s="108">
        <f t="shared" si="17"/>
        <v>0</v>
      </c>
      <c r="L43" s="866">
        <f t="shared" si="18"/>
        <v>0</v>
      </c>
    </row>
    <row r="44" spans="1:12" x14ac:dyDescent="0.25">
      <c r="A44" s="868" t="s">
        <v>1280</v>
      </c>
      <c r="B44" s="867">
        <v>1095372</v>
      </c>
      <c r="C44" s="108">
        <v>1093057</v>
      </c>
      <c r="D44" s="108">
        <f>'[4]anex-bs1'!J75</f>
        <v>1264399.98</v>
      </c>
      <c r="E44" s="108">
        <f>'[5]anex-bs1'!J75</f>
        <v>1970247</v>
      </c>
      <c r="F44" s="108">
        <f>'[6]anex-bs1'!J75</f>
        <v>2022661.5</v>
      </c>
      <c r="G44" s="1130">
        <f t="shared" si="19"/>
        <v>2022661.5</v>
      </c>
      <c r="H44" s="867">
        <f t="shared" si="14"/>
        <v>-2315</v>
      </c>
      <c r="I44" s="108">
        <f t="shared" si="15"/>
        <v>171342.97999999998</v>
      </c>
      <c r="J44" s="108">
        <f t="shared" si="16"/>
        <v>705847.02</v>
      </c>
      <c r="K44" s="108">
        <f t="shared" si="17"/>
        <v>52414.5</v>
      </c>
      <c r="L44" s="866">
        <f t="shared" si="18"/>
        <v>0</v>
      </c>
    </row>
    <row r="45" spans="1:12" ht="15.75" thickBot="1" x14ac:dyDescent="0.3">
      <c r="A45" s="865" t="s">
        <v>1279</v>
      </c>
      <c r="B45" s="864">
        <v>266716</v>
      </c>
      <c r="C45" s="863">
        <v>266716</v>
      </c>
      <c r="D45" s="863">
        <f>'[4]anex-bs1'!J76</f>
        <v>266716.19</v>
      </c>
      <c r="E45" s="863">
        <f>'[5]anex-bs1'!J76</f>
        <v>266716.19</v>
      </c>
      <c r="F45" s="863">
        <f>'[6]anex-bs1'!J76</f>
        <v>266716.19</v>
      </c>
      <c r="G45" s="1131">
        <f t="shared" si="19"/>
        <v>266716.19</v>
      </c>
      <c r="H45" s="864">
        <f t="shared" si="14"/>
        <v>0</v>
      </c>
      <c r="I45" s="863">
        <f t="shared" si="15"/>
        <v>0.19000000000232831</v>
      </c>
      <c r="J45" s="863">
        <f t="shared" si="16"/>
        <v>0</v>
      </c>
      <c r="K45" s="863">
        <f t="shared" si="17"/>
        <v>0</v>
      </c>
      <c r="L45" s="862">
        <f t="shared" si="18"/>
        <v>0</v>
      </c>
    </row>
    <row r="46" spans="1:12" x14ac:dyDescent="0.25">
      <c r="A46" s="872" t="s">
        <v>32</v>
      </c>
      <c r="B46" s="871">
        <f t="shared" ref="B46:L46" si="20">SUM(B47:B50)</f>
        <v>4014923</v>
      </c>
      <c r="C46" s="870">
        <f t="shared" si="20"/>
        <v>4039748</v>
      </c>
      <c r="D46" s="870">
        <f t="shared" si="20"/>
        <v>4052427.5599999996</v>
      </c>
      <c r="E46" s="870">
        <f t="shared" si="20"/>
        <v>4058848</v>
      </c>
      <c r="F46" s="870">
        <f t="shared" si="20"/>
        <v>6942808.1999999993</v>
      </c>
      <c r="G46" s="1129">
        <f t="shared" si="20"/>
        <v>13030115</v>
      </c>
      <c r="H46" s="871">
        <f t="shared" si="20"/>
        <v>24825</v>
      </c>
      <c r="I46" s="870">
        <f t="shared" si="20"/>
        <v>12679.559999999823</v>
      </c>
      <c r="J46" s="870">
        <f t="shared" si="20"/>
        <v>6420.440000000177</v>
      </c>
      <c r="K46" s="870">
        <f t="shared" si="20"/>
        <v>2883960.1999999997</v>
      </c>
      <c r="L46" s="869">
        <f t="shared" si="20"/>
        <v>6087306.8000000007</v>
      </c>
    </row>
    <row r="47" spans="1:12" x14ac:dyDescent="0.25">
      <c r="A47" s="868" t="s">
        <v>1278</v>
      </c>
      <c r="B47" s="867">
        <v>1967632</v>
      </c>
      <c r="C47" s="108">
        <v>1967632</v>
      </c>
      <c r="D47" s="108">
        <f>'[4]anex-bs1'!J107</f>
        <v>1980311.64</v>
      </c>
      <c r="E47" s="108">
        <f>'[5]anex-bs1'!J107</f>
        <v>1986732</v>
      </c>
      <c r="F47" s="108">
        <f>'[6]anex-bs1'!J107</f>
        <v>1986732</v>
      </c>
      <c r="G47" s="1130">
        <v>2447488</v>
      </c>
      <c r="H47" s="867">
        <f t="shared" ref="H47:H50" si="21">C47-B47</f>
        <v>0</v>
      </c>
      <c r="I47" s="108">
        <f t="shared" ref="I47:I50" si="22">D47-C47</f>
        <v>12679.639999999898</v>
      </c>
      <c r="J47" s="108">
        <f t="shared" ref="J47:J50" si="23">E47-D47</f>
        <v>6420.3600000001024</v>
      </c>
      <c r="K47" s="108">
        <f t="shared" ref="K47:K50" si="24">F47-E47</f>
        <v>0</v>
      </c>
      <c r="L47" s="866">
        <f t="shared" ref="L47:L50" si="25">G47-F47</f>
        <v>460756</v>
      </c>
    </row>
    <row r="48" spans="1:12" x14ac:dyDescent="0.25">
      <c r="A48" s="868" t="s">
        <v>1277</v>
      </c>
      <c r="B48" s="867">
        <v>1277352</v>
      </c>
      <c r="C48" s="108">
        <v>597572</v>
      </c>
      <c r="D48" s="108">
        <f>'[4]anex-bs1'!J108</f>
        <v>1302177.1200000001</v>
      </c>
      <c r="E48" s="108">
        <f>'[5]anex-bs1'!J108</f>
        <v>1302177</v>
      </c>
      <c r="F48" s="108">
        <f>'[6]anex-bs1'!J108</f>
        <v>1380567</v>
      </c>
      <c r="G48" s="1130">
        <v>5037107</v>
      </c>
      <c r="H48" s="867">
        <f t="shared" si="21"/>
        <v>-679780</v>
      </c>
      <c r="I48" s="108">
        <f t="shared" si="22"/>
        <v>704605.12000000011</v>
      </c>
      <c r="J48" s="108">
        <f t="shared" si="23"/>
        <v>-0.12000000011175871</v>
      </c>
      <c r="K48" s="108">
        <f t="shared" si="24"/>
        <v>78390</v>
      </c>
      <c r="L48" s="866">
        <f t="shared" si="25"/>
        <v>3656540</v>
      </c>
    </row>
    <row r="49" spans="1:14" x14ac:dyDescent="0.25">
      <c r="A49" s="868" t="s">
        <v>1276</v>
      </c>
      <c r="B49" s="867">
        <v>255634</v>
      </c>
      <c r="C49" s="108">
        <v>255634</v>
      </c>
      <c r="D49" s="108">
        <f>'[4]anex-bs1'!J109</f>
        <v>255633.75999999978</v>
      </c>
      <c r="E49" s="108">
        <f>'[5]anex-bs1'!J109</f>
        <v>255634</v>
      </c>
      <c r="F49" s="108">
        <f>'[6]anex-bs1'!J109</f>
        <v>3061204.1999999997</v>
      </c>
      <c r="G49" s="1130">
        <v>5031215</v>
      </c>
      <c r="H49" s="867">
        <f t="shared" si="21"/>
        <v>0</v>
      </c>
      <c r="I49" s="108">
        <f t="shared" si="22"/>
        <v>-0.24000000022351742</v>
      </c>
      <c r="J49" s="108">
        <f t="shared" si="23"/>
        <v>0.24000000022351742</v>
      </c>
      <c r="K49" s="108">
        <f t="shared" si="24"/>
        <v>2805570.1999999997</v>
      </c>
      <c r="L49" s="866">
        <f t="shared" si="25"/>
        <v>1970010.8000000003</v>
      </c>
    </row>
    <row r="50" spans="1:14" ht="15.75" thickBot="1" x14ac:dyDescent="0.3">
      <c r="A50" s="865" t="s">
        <v>1275</v>
      </c>
      <c r="B50" s="864">
        <v>514305</v>
      </c>
      <c r="C50" s="863">
        <v>1218910</v>
      </c>
      <c r="D50" s="863">
        <f>'[4]anex-bs1'!J110</f>
        <v>514305.04000000004</v>
      </c>
      <c r="E50" s="863">
        <f>'[5]anex-bs1'!J110</f>
        <v>514305</v>
      </c>
      <c r="F50" s="863">
        <f>'[6]anex-bs1'!J110</f>
        <v>514305</v>
      </c>
      <c r="G50" s="1131">
        <f t="shared" ref="G50" si="26">F50</f>
        <v>514305</v>
      </c>
      <c r="H50" s="864">
        <f t="shared" si="21"/>
        <v>704605</v>
      </c>
      <c r="I50" s="863">
        <f t="shared" si="22"/>
        <v>-704604.96</v>
      </c>
      <c r="J50" s="863">
        <f t="shared" si="23"/>
        <v>-4.0000000037252903E-2</v>
      </c>
      <c r="K50" s="863">
        <f t="shared" si="24"/>
        <v>0</v>
      </c>
      <c r="L50" s="862">
        <f t="shared" si="25"/>
        <v>0</v>
      </c>
    </row>
    <row r="51" spans="1:14" x14ac:dyDescent="0.25">
      <c r="A51" s="1135"/>
      <c r="B51" s="108"/>
      <c r="C51" s="108"/>
      <c r="D51" s="108"/>
      <c r="E51" s="108"/>
      <c r="F51" s="108"/>
      <c r="G51" s="678"/>
      <c r="H51" s="108"/>
      <c r="I51" s="108"/>
      <c r="J51" s="108"/>
      <c r="K51" s="108"/>
      <c r="L51" s="108"/>
    </row>
    <row r="52" spans="1:14" x14ac:dyDescent="0.25">
      <c r="A52" s="1135"/>
      <c r="B52" s="108"/>
      <c r="C52" s="108"/>
      <c r="D52" s="108"/>
      <c r="E52" s="108"/>
      <c r="F52" s="108"/>
      <c r="G52" s="678"/>
      <c r="H52" s="108"/>
      <c r="I52" s="108">
        <f>I20</f>
        <v>2021</v>
      </c>
      <c r="J52" s="108">
        <f t="shared" ref="J52:L52" si="27">J20</f>
        <v>2022</v>
      </c>
      <c r="K52" s="108">
        <f t="shared" si="27"/>
        <v>2023</v>
      </c>
      <c r="L52" s="108">
        <f t="shared" si="27"/>
        <v>2024</v>
      </c>
    </row>
    <row r="53" spans="1:14" x14ac:dyDescent="0.25">
      <c r="A53" s="1135" t="s">
        <v>1630</v>
      </c>
      <c r="I53" s="108">
        <f>I31</f>
        <v>865808.90000000596</v>
      </c>
      <c r="J53" s="108">
        <f t="shared" ref="J53:L53" si="28">J31</f>
        <v>13248268.599999994</v>
      </c>
      <c r="K53" s="108">
        <f t="shared" si="28"/>
        <v>17662388.74000001</v>
      </c>
      <c r="L53" s="108">
        <f t="shared" si="28"/>
        <v>20723610.75999999</v>
      </c>
    </row>
    <row r="54" spans="1:14" x14ac:dyDescent="0.25">
      <c r="A54" s="1135" t="s">
        <v>1614</v>
      </c>
      <c r="I54" s="108">
        <f>SUMIFS(servidumbres!C$4:C$24,servidumbres!$G$4:$G$24,1)</f>
        <v>0</v>
      </c>
      <c r="J54" s="108">
        <f>SUMIFS(servidumbres!D$4:D$24,servidumbres!$G$4:$G$24,1)</f>
        <v>94951.360000000001</v>
      </c>
      <c r="K54" s="108">
        <f>SUMIFS(servidumbres!E$4:E$24,servidumbres!$G$4:$G$24,1)</f>
        <v>158274.37</v>
      </c>
      <c r="L54" s="108">
        <f>SUMIFS(servidumbres!F$4:F$24,servidumbres!$G$4:$G$24,1)</f>
        <v>99566.290000000008</v>
      </c>
      <c r="M54" s="108">
        <f>SUM(I54:L54)</f>
        <v>352792.02</v>
      </c>
    </row>
    <row r="55" spans="1:14" x14ac:dyDescent="0.25">
      <c r="A55" s="1135" t="s">
        <v>1615</v>
      </c>
      <c r="I55" s="108">
        <f>IF(I31-I54&lt;0,0,I31-I54)</f>
        <v>865808.90000000596</v>
      </c>
      <c r="J55" s="108">
        <f t="shared" ref="J55:L55" si="29">IF(J31-J54&lt;0,0,J31-J54)</f>
        <v>13153317.239999995</v>
      </c>
      <c r="K55" s="108">
        <f t="shared" si="29"/>
        <v>17504114.370000008</v>
      </c>
      <c r="L55" s="108">
        <f t="shared" si="29"/>
        <v>20624044.469999991</v>
      </c>
    </row>
    <row r="56" spans="1:14" x14ac:dyDescent="0.25">
      <c r="A56" s="1135" t="s">
        <v>1619</v>
      </c>
      <c r="I56" s="108">
        <f>I55*S67</f>
        <v>865808.90000000596</v>
      </c>
      <c r="J56" s="108">
        <f t="shared" ref="J56:L56" si="30">J55*T67</f>
        <v>13153317.239999995</v>
      </c>
      <c r="K56" s="108">
        <f t="shared" si="30"/>
        <v>17504114.370000008</v>
      </c>
      <c r="L56" s="108">
        <f t="shared" si="30"/>
        <v>20624044.469999991</v>
      </c>
      <c r="M56" s="108"/>
    </row>
    <row r="57" spans="1:14" x14ac:dyDescent="0.25">
      <c r="A57" s="1135" t="s">
        <v>1620</v>
      </c>
      <c r="I57" s="108">
        <f>I55-I56</f>
        <v>0</v>
      </c>
      <c r="J57" s="108">
        <f t="shared" ref="J57:L57" si="31">J55-J56</f>
        <v>0</v>
      </c>
      <c r="K57" s="108">
        <f t="shared" si="31"/>
        <v>0</v>
      </c>
      <c r="L57" s="108">
        <f t="shared" si="31"/>
        <v>0</v>
      </c>
      <c r="N57" s="108"/>
    </row>
    <row r="59" spans="1:14" ht="18.75" x14ac:dyDescent="0.3">
      <c r="A59" s="299" t="s">
        <v>1297</v>
      </c>
      <c r="B59" s="299"/>
    </row>
    <row r="60" spans="1:14" ht="18.75" x14ac:dyDescent="0.3">
      <c r="A60" s="299" t="s">
        <v>1296</v>
      </c>
      <c r="B60" s="299"/>
    </row>
    <row r="61" spans="1:14" ht="19.5" thickBot="1" x14ac:dyDescent="0.35">
      <c r="A61" s="299" t="s">
        <v>1295</v>
      </c>
      <c r="B61" s="299"/>
    </row>
    <row r="62" spans="1:14" x14ac:dyDescent="0.25">
      <c r="B62" s="880" t="s">
        <v>1294</v>
      </c>
      <c r="C62" s="880"/>
      <c r="D62" s="878"/>
      <c r="E62" s="878"/>
      <c r="F62" s="878"/>
      <c r="G62" s="879"/>
      <c r="H62" s="878"/>
      <c r="I62" s="878" t="s">
        <v>1293</v>
      </c>
      <c r="J62" s="878"/>
      <c r="K62" s="878"/>
      <c r="L62" s="878"/>
    </row>
    <row r="63" spans="1:14" ht="15.75" thickBot="1" x14ac:dyDescent="0.3">
      <c r="B63" s="877">
        <v>2019</v>
      </c>
      <c r="C63" s="876">
        <v>2020</v>
      </c>
      <c r="D63" s="876">
        <v>2021</v>
      </c>
      <c r="E63" s="876">
        <v>2022</v>
      </c>
      <c r="F63" s="876">
        <v>2023</v>
      </c>
      <c r="G63" s="875">
        <v>2024</v>
      </c>
      <c r="H63" s="877">
        <v>2020</v>
      </c>
      <c r="I63" s="876">
        <v>2021</v>
      </c>
      <c r="J63" s="876">
        <v>2022</v>
      </c>
      <c r="K63" s="876">
        <v>2023</v>
      </c>
      <c r="L63" s="875">
        <v>2024</v>
      </c>
    </row>
    <row r="64" spans="1:14" x14ac:dyDescent="0.25">
      <c r="A64" s="872" t="s">
        <v>1292</v>
      </c>
      <c r="B64" s="871">
        <f t="shared" ref="B64:L64" si="32">SUM(B65:B70)</f>
        <v>35646092</v>
      </c>
      <c r="C64" s="870">
        <f t="shared" si="32"/>
        <v>40252692</v>
      </c>
      <c r="D64" s="870">
        <f t="shared" si="32"/>
        <v>44676678</v>
      </c>
      <c r="E64" s="870">
        <f t="shared" si="32"/>
        <v>47532897</v>
      </c>
      <c r="F64" s="870">
        <f t="shared" si="32"/>
        <v>50525038.740000002</v>
      </c>
      <c r="G64" s="1129">
        <f t="shared" si="32"/>
        <v>54478701</v>
      </c>
      <c r="H64" s="871">
        <f t="shared" si="32"/>
        <v>4606600</v>
      </c>
      <c r="I64" s="870">
        <f t="shared" si="32"/>
        <v>4423986.0000000009</v>
      </c>
      <c r="J64" s="870">
        <f t="shared" si="32"/>
        <v>2856218.9999999991</v>
      </c>
      <c r="K64" s="870">
        <f t="shared" si="32"/>
        <v>2992141.7400000012</v>
      </c>
      <c r="L64" s="869">
        <f t="shared" si="32"/>
        <v>3953662.2599999988</v>
      </c>
    </row>
    <row r="65" spans="1:26" x14ac:dyDescent="0.25">
      <c r="A65" s="868" t="s">
        <v>1291</v>
      </c>
      <c r="B65" s="867">
        <v>0</v>
      </c>
      <c r="C65" s="108">
        <v>0</v>
      </c>
      <c r="D65" s="108">
        <f>'[4]anex-bs2'!J24</f>
        <v>0</v>
      </c>
      <c r="E65" s="108">
        <f>'[5]anex-bs2'!J24</f>
        <v>0</v>
      </c>
      <c r="F65" s="108">
        <f>'[6]anex-bs2'!J24</f>
        <v>0</v>
      </c>
      <c r="G65" s="1130">
        <v>0</v>
      </c>
      <c r="H65" s="867">
        <f t="shared" ref="H65:L70" si="33">C65-B65</f>
        <v>0</v>
      </c>
      <c r="I65" s="108">
        <f t="shared" si="33"/>
        <v>0</v>
      </c>
      <c r="J65" s="108">
        <f t="shared" si="33"/>
        <v>0</v>
      </c>
      <c r="K65" s="108">
        <f t="shared" si="33"/>
        <v>0</v>
      </c>
      <c r="L65" s="866">
        <f t="shared" si="33"/>
        <v>0</v>
      </c>
    </row>
    <row r="66" spans="1:26" x14ac:dyDescent="0.25">
      <c r="A66" s="868" t="s">
        <v>1290</v>
      </c>
      <c r="B66" s="867"/>
      <c r="D66" s="108"/>
      <c r="E66" s="108">
        <f>'[5]anex-bs2'!J25</f>
        <v>0</v>
      </c>
      <c r="G66" s="1130">
        <v>0</v>
      </c>
      <c r="H66" s="867">
        <f t="shared" si="33"/>
        <v>0</v>
      </c>
      <c r="I66">
        <f t="shared" si="33"/>
        <v>0</v>
      </c>
      <c r="J66" s="108">
        <f t="shared" si="33"/>
        <v>0</v>
      </c>
      <c r="K66" s="108">
        <f t="shared" si="33"/>
        <v>0</v>
      </c>
      <c r="L66" s="866">
        <f t="shared" si="33"/>
        <v>0</v>
      </c>
      <c r="S66" s="603">
        <v>2021</v>
      </c>
      <c r="T66" s="603">
        <v>2022</v>
      </c>
      <c r="U66" s="603">
        <v>2023</v>
      </c>
      <c r="V66" s="603">
        <v>2024</v>
      </c>
      <c r="W66" s="603">
        <f>S66</f>
        <v>2021</v>
      </c>
      <c r="X66" s="603">
        <f t="shared" ref="X66:Z66" si="34">T66</f>
        <v>2022</v>
      </c>
      <c r="Y66" s="603">
        <f t="shared" si="34"/>
        <v>2023</v>
      </c>
      <c r="Z66" s="603">
        <f t="shared" si="34"/>
        <v>2024</v>
      </c>
    </row>
    <row r="67" spans="1:26" x14ac:dyDescent="0.25">
      <c r="A67" s="868" t="s">
        <v>1278</v>
      </c>
      <c r="B67" s="867">
        <v>6536210</v>
      </c>
      <c r="C67" s="108">
        <v>6764716</v>
      </c>
      <c r="D67" s="108">
        <f>'[4]anex-bs2'!J26</f>
        <v>6881552.54</v>
      </c>
      <c r="E67" s="108">
        <f>'[5]anex-bs2'!J26</f>
        <v>6930967</v>
      </c>
      <c r="F67" s="108">
        <f>'[6]anex-bs2'!J26</f>
        <v>6984911.71</v>
      </c>
      <c r="G67" s="1130">
        <v>7053891</v>
      </c>
      <c r="H67" s="867">
        <f t="shared" si="33"/>
        <v>228506</v>
      </c>
      <c r="I67" s="108">
        <f t="shared" si="33"/>
        <v>116836.54000000004</v>
      </c>
      <c r="J67" s="108">
        <f t="shared" si="33"/>
        <v>49414.459999999963</v>
      </c>
      <c r="K67" s="108">
        <f t="shared" si="33"/>
        <v>53944.709999999963</v>
      </c>
      <c r="L67" s="866">
        <f t="shared" si="33"/>
        <v>68979.290000000037</v>
      </c>
      <c r="R67" t="s">
        <v>1613</v>
      </c>
      <c r="S67" s="1134">
        <f>'Base de Capital'!AX77/('Base de Capital'!AX77+'Base de Capital'!AX95)</f>
        <v>1</v>
      </c>
      <c r="T67" s="1134">
        <f>'Base de Capital'!BH77/('Base de Capital'!BH77+'Base de Capital'!BH95)</f>
        <v>1</v>
      </c>
      <c r="U67" s="1134">
        <f>'Base de Capital'!BR77/('Base de Capital'!BR77+'Base de Capital'!BR95)</f>
        <v>1</v>
      </c>
      <c r="V67" s="1134">
        <f>'Base de Capital'!CB77/('Base de Capital'!CB77+'Base de Capital'!CB95)</f>
        <v>1</v>
      </c>
      <c r="W67" s="1134">
        <f>1-S67</f>
        <v>0</v>
      </c>
      <c r="X67" s="1134">
        <f t="shared" ref="X67:Z67" si="35">1-T67</f>
        <v>0</v>
      </c>
      <c r="Y67" s="1134">
        <f t="shared" si="35"/>
        <v>0</v>
      </c>
      <c r="Z67" s="1134">
        <f t="shared" si="35"/>
        <v>0</v>
      </c>
    </row>
    <row r="68" spans="1:26" x14ac:dyDescent="0.25">
      <c r="A68" s="868" t="s">
        <v>1289</v>
      </c>
      <c r="B68" s="867">
        <v>4452471</v>
      </c>
      <c r="C68" s="108">
        <v>7022309</v>
      </c>
      <c r="D68" s="108">
        <f>'[4]anex-bs2'!J27</f>
        <v>9696429.7300000004</v>
      </c>
      <c r="E68" s="108">
        <f>'[5]anex-bs2'!J27</f>
        <v>11225767</v>
      </c>
      <c r="F68" s="108">
        <f>'[6]anex-bs2'!J27</f>
        <v>12296437.9</v>
      </c>
      <c r="G68" s="1130">
        <v>14291503</v>
      </c>
      <c r="H68" s="867">
        <f t="shared" si="33"/>
        <v>2569838</v>
      </c>
      <c r="I68" s="108">
        <f t="shared" si="33"/>
        <v>2674120.7300000004</v>
      </c>
      <c r="J68" s="108">
        <f t="shared" si="33"/>
        <v>1529337.2699999996</v>
      </c>
      <c r="K68" s="108">
        <f t="shared" si="33"/>
        <v>1070670.9000000004</v>
      </c>
      <c r="L68" s="866">
        <f t="shared" si="33"/>
        <v>1995065.0999999996</v>
      </c>
      <c r="R68" t="s">
        <v>1624</v>
      </c>
      <c r="S68" s="603"/>
      <c r="T68" s="603"/>
      <c r="U68" s="603"/>
      <c r="V68" s="603"/>
      <c r="W68" s="603"/>
      <c r="X68" s="603"/>
      <c r="Y68" s="603"/>
      <c r="Z68" s="603"/>
    </row>
    <row r="69" spans="1:26" x14ac:dyDescent="0.25">
      <c r="A69" s="868" t="s">
        <v>1288</v>
      </c>
      <c r="B69" s="867">
        <v>2886740</v>
      </c>
      <c r="C69" s="108">
        <v>2985590</v>
      </c>
      <c r="D69" s="108">
        <f>'[4]anex-bs2'!J28</f>
        <v>3112826.34</v>
      </c>
      <c r="E69" s="108">
        <f>'[5]anex-bs2'!J28</f>
        <v>3284160</v>
      </c>
      <c r="F69" s="108">
        <f>'[6]anex-bs2'!J28</f>
        <v>3437202.99</v>
      </c>
      <c r="G69" s="1130">
        <v>3660912</v>
      </c>
      <c r="H69" s="867">
        <f t="shared" si="33"/>
        <v>98850</v>
      </c>
      <c r="I69" s="108">
        <f t="shared" si="33"/>
        <v>127236.33999999985</v>
      </c>
      <c r="J69" s="108">
        <f t="shared" si="33"/>
        <v>171333.66000000015</v>
      </c>
      <c r="K69" s="108">
        <f t="shared" si="33"/>
        <v>153042.99000000022</v>
      </c>
      <c r="L69" s="866">
        <f t="shared" si="33"/>
        <v>223709.00999999978</v>
      </c>
      <c r="S69" s="603"/>
      <c r="T69" s="603"/>
      <c r="U69" s="603"/>
      <c r="V69" s="603"/>
      <c r="W69" s="603"/>
      <c r="X69" s="603"/>
      <c r="Y69" s="603"/>
      <c r="Z69" s="603"/>
    </row>
    <row r="70" spans="1:26" ht="15.75" thickBot="1" x14ac:dyDescent="0.3">
      <c r="A70" s="865" t="s">
        <v>1287</v>
      </c>
      <c r="B70" s="864">
        <v>21770671</v>
      </c>
      <c r="C70" s="863">
        <v>23480077</v>
      </c>
      <c r="D70" s="863">
        <f>'[4]anex-bs2'!J29</f>
        <v>24985869.390000001</v>
      </c>
      <c r="E70" s="863">
        <f>'[5]anex-bs2'!J29</f>
        <v>26092003</v>
      </c>
      <c r="F70" s="863">
        <f>'[6]anex-bs2'!J29</f>
        <v>27806486.140000001</v>
      </c>
      <c r="G70" s="1131">
        <v>29472395</v>
      </c>
      <c r="H70" s="864">
        <f t="shared" si="33"/>
        <v>1709406</v>
      </c>
      <c r="I70" s="863">
        <f t="shared" si="33"/>
        <v>1505792.3900000006</v>
      </c>
      <c r="J70" s="863">
        <f t="shared" si="33"/>
        <v>1106133.6099999994</v>
      </c>
      <c r="K70" s="863">
        <f t="shared" si="33"/>
        <v>1714483.1400000006</v>
      </c>
      <c r="L70" s="862">
        <f t="shared" si="33"/>
        <v>1665908.8599999994</v>
      </c>
      <c r="R70" t="s">
        <v>1612</v>
      </c>
      <c r="S70" s="603" t="s">
        <v>538</v>
      </c>
      <c r="T70" s="603" t="s">
        <v>538</v>
      </c>
      <c r="U70" s="603" t="s">
        <v>538</v>
      </c>
      <c r="V70" s="603" t="s">
        <v>538</v>
      </c>
      <c r="W70" s="603" t="s">
        <v>535</v>
      </c>
      <c r="X70" s="603" t="s">
        <v>535</v>
      </c>
      <c r="Y70" s="603" t="s">
        <v>535</v>
      </c>
      <c r="Z70" s="603" t="s">
        <v>535</v>
      </c>
    </row>
    <row r="71" spans="1:26" x14ac:dyDescent="0.25">
      <c r="A71" s="872" t="s">
        <v>227</v>
      </c>
      <c r="B71" s="871">
        <f t="shared" ref="B71:L71" si="36">SUM(B72:B79)</f>
        <v>245812976</v>
      </c>
      <c r="C71" s="870">
        <f t="shared" si="36"/>
        <v>269707848</v>
      </c>
      <c r="D71" s="870">
        <f t="shared" si="36"/>
        <v>296889575.93000001</v>
      </c>
      <c r="E71" s="870">
        <f t="shared" si="36"/>
        <v>310967626</v>
      </c>
      <c r="F71" s="870">
        <f t="shared" si="36"/>
        <v>363544663.79000002</v>
      </c>
      <c r="G71" s="1129">
        <f t="shared" si="36"/>
        <v>398852066</v>
      </c>
      <c r="H71" s="871">
        <f t="shared" si="36"/>
        <v>23894872</v>
      </c>
      <c r="I71" s="870">
        <f t="shared" si="36"/>
        <v>27181727.929999989</v>
      </c>
      <c r="J71" s="870">
        <f t="shared" si="36"/>
        <v>14078050.070000011</v>
      </c>
      <c r="K71" s="870">
        <f t="shared" si="36"/>
        <v>52577037.790000007</v>
      </c>
      <c r="L71" s="869">
        <f t="shared" si="36"/>
        <v>35307402.209999986</v>
      </c>
      <c r="S71" s="108">
        <f>SUM(S72:S79)</f>
        <v>16941118.09999999</v>
      </c>
      <c r="T71" s="108">
        <f t="shared" ref="T71:Z71" si="37">SUM(T72:T79)</f>
        <v>3837440.2400000119</v>
      </c>
      <c r="U71" s="108">
        <f t="shared" si="37"/>
        <v>42336427.960000008</v>
      </c>
      <c r="V71" s="108">
        <f t="shared" si="37"/>
        <v>25066792.379999995</v>
      </c>
      <c r="W71" s="108">
        <f t="shared" si="37"/>
        <v>10240609.83</v>
      </c>
      <c r="X71" s="108">
        <f t="shared" si="37"/>
        <v>10240609.83</v>
      </c>
      <c r="Y71" s="108">
        <f t="shared" si="37"/>
        <v>10240609.83</v>
      </c>
      <c r="Z71" s="108">
        <f t="shared" si="37"/>
        <v>10240609.83</v>
      </c>
    </row>
    <row r="72" spans="1:26" x14ac:dyDescent="0.25">
      <c r="A72" s="868" t="s">
        <v>1285</v>
      </c>
      <c r="B72" s="867">
        <v>86830973</v>
      </c>
      <c r="C72" s="108">
        <v>93156104</v>
      </c>
      <c r="D72" s="108">
        <f>'[4]anex-bs2'!J43</f>
        <v>99762069.680000007</v>
      </c>
      <c r="E72" s="108">
        <f>'[5]anex-bs2'!L43</f>
        <v>103577139</v>
      </c>
      <c r="F72" s="108">
        <f>'[6]anex-bs2'!J43</f>
        <v>119892036.11000001</v>
      </c>
      <c r="G72" s="1130">
        <v>131772841</v>
      </c>
      <c r="H72" s="867">
        <f t="shared" ref="H72:L79" si="38">C72-B72</f>
        <v>6325131</v>
      </c>
      <c r="I72" s="108">
        <f t="shared" si="38"/>
        <v>6605965.6800000072</v>
      </c>
      <c r="J72" s="108">
        <f t="shared" si="38"/>
        <v>3815069.3199999928</v>
      </c>
      <c r="K72" s="874">
        <f t="shared" si="38"/>
        <v>16314897.110000014</v>
      </c>
      <c r="L72" s="866">
        <f t="shared" si="38"/>
        <v>11880804.889999986</v>
      </c>
      <c r="N72" t="s">
        <v>301</v>
      </c>
      <c r="O72" t="s">
        <v>308</v>
      </c>
      <c r="R72" s="108">
        <f>'Base de Capital'!U86</f>
        <v>1074070.29</v>
      </c>
      <c r="S72" s="108">
        <f>(I72-$R72)*S$67</f>
        <v>5531895.3900000071</v>
      </c>
      <c r="T72" s="108">
        <f t="shared" ref="T72:V79" si="39">(J72-$R72)*T$67</f>
        <v>2740999.0299999928</v>
      </c>
      <c r="U72" s="108">
        <f t="shared" si="39"/>
        <v>15240826.820000015</v>
      </c>
      <c r="V72" s="108">
        <f t="shared" si="39"/>
        <v>10806734.599999987</v>
      </c>
      <c r="W72" s="108">
        <f>(I72-$R72)*W$67+$R72</f>
        <v>1074070.29</v>
      </c>
      <c r="X72" s="108">
        <f t="shared" ref="X72:Z72" si="40">(J72-$R72)*X$67+$R72</f>
        <v>1074070.29</v>
      </c>
      <c r="Y72" s="108">
        <f t="shared" si="40"/>
        <v>1074070.29</v>
      </c>
      <c r="Z72" s="108">
        <f t="shared" si="40"/>
        <v>1074070.29</v>
      </c>
    </row>
    <row r="73" spans="1:26" x14ac:dyDescent="0.25">
      <c r="A73" s="868" t="s">
        <v>1284</v>
      </c>
      <c r="B73" s="867">
        <v>62047045</v>
      </c>
      <c r="C73" s="108">
        <v>67788944</v>
      </c>
      <c r="D73" s="108">
        <f>'[4]anex-bs2'!J44</f>
        <v>73282430.089999989</v>
      </c>
      <c r="E73" s="108">
        <f>'[5]anex-bs2'!L44</f>
        <v>76225101</v>
      </c>
      <c r="F73" s="108">
        <f>'[6]anex-bs2'!J44</f>
        <v>85202235.379999995</v>
      </c>
      <c r="G73" s="1130">
        <v>91773484</v>
      </c>
      <c r="H73" s="867">
        <f t="shared" si="38"/>
        <v>5741899</v>
      </c>
      <c r="I73" s="108">
        <f t="shared" si="38"/>
        <v>5493486.0899999887</v>
      </c>
      <c r="J73" s="108">
        <f t="shared" si="38"/>
        <v>2942670.9100000113</v>
      </c>
      <c r="K73" s="874">
        <f t="shared" si="38"/>
        <v>8977134.3799999952</v>
      </c>
      <c r="L73" s="866">
        <f t="shared" si="38"/>
        <v>6571248.6200000048</v>
      </c>
      <c r="N73" t="s">
        <v>301</v>
      </c>
      <c r="O73" t="s">
        <v>309</v>
      </c>
      <c r="R73" s="108">
        <f>'Base de Capital'!U87</f>
        <v>3303488.67</v>
      </c>
      <c r="S73" s="108">
        <f t="shared" ref="S73:S79" si="41">(I73-$R73)*S$67</f>
        <v>2189997.4199999887</v>
      </c>
      <c r="T73" s="108">
        <f t="shared" si="39"/>
        <v>-360817.7599999886</v>
      </c>
      <c r="U73" s="108">
        <f t="shared" si="39"/>
        <v>5673645.7099999953</v>
      </c>
      <c r="V73" s="108">
        <f t="shared" si="39"/>
        <v>3267759.9500000048</v>
      </c>
      <c r="W73" s="108">
        <f t="shared" ref="W73:W79" si="42">(I73-$R73)*W$67+$R73</f>
        <v>3303488.67</v>
      </c>
      <c r="X73" s="108">
        <f t="shared" ref="X73:X79" si="43">(J73-$R73)*X$67+$R73</f>
        <v>3303488.67</v>
      </c>
      <c r="Y73" s="108">
        <f t="shared" ref="Y73:Y79" si="44">(K73-$R73)*Y$67+$R73</f>
        <v>3303488.67</v>
      </c>
      <c r="Z73" s="108">
        <f t="shared" ref="Z73:Z79" si="45">(L73-$R73)*Z$67+$R73</f>
        <v>3303488.67</v>
      </c>
    </row>
    <row r="74" spans="1:26" x14ac:dyDescent="0.25">
      <c r="A74" s="868" t="s">
        <v>826</v>
      </c>
      <c r="B74" s="867">
        <v>13819599</v>
      </c>
      <c r="C74" s="108">
        <v>17703804</v>
      </c>
      <c r="D74" s="108">
        <f>'[4]anex-bs2'!J45</f>
        <v>22674738.879999999</v>
      </c>
      <c r="E74" s="108">
        <f>'[5]anex-bs2'!L45</f>
        <v>24529655</v>
      </c>
      <c r="F74" s="108">
        <f>'[6]anex-bs2'!J45</f>
        <v>33237692.66</v>
      </c>
      <c r="G74" s="1130">
        <v>38083438</v>
      </c>
      <c r="H74" s="867">
        <f t="shared" si="38"/>
        <v>3884205</v>
      </c>
      <c r="I74" s="108">
        <f t="shared" si="38"/>
        <v>4970934.879999999</v>
      </c>
      <c r="J74" s="108">
        <f t="shared" si="38"/>
        <v>1854916.120000001</v>
      </c>
      <c r="K74" s="874">
        <f t="shared" si="38"/>
        <v>8708037.6600000001</v>
      </c>
      <c r="L74" s="866">
        <f t="shared" si="38"/>
        <v>4845745.34</v>
      </c>
      <c r="N74" t="s">
        <v>301</v>
      </c>
      <c r="O74" t="s">
        <v>305</v>
      </c>
      <c r="R74" s="108">
        <f>'Base de Capital'!U83</f>
        <v>2003580.5699999998</v>
      </c>
      <c r="S74" s="108">
        <f t="shared" si="41"/>
        <v>2967354.3099999991</v>
      </c>
      <c r="T74" s="108">
        <f t="shared" si="39"/>
        <v>-148664.44999999879</v>
      </c>
      <c r="U74" s="108">
        <f t="shared" si="39"/>
        <v>6704457.0899999999</v>
      </c>
      <c r="V74" s="108">
        <f t="shared" si="39"/>
        <v>2842164.77</v>
      </c>
      <c r="W74" s="108">
        <f t="shared" si="42"/>
        <v>2003580.5699999998</v>
      </c>
      <c r="X74" s="108">
        <f t="shared" si="43"/>
        <v>2003580.5699999998</v>
      </c>
      <c r="Y74" s="108">
        <f t="shared" si="44"/>
        <v>2003580.5699999998</v>
      </c>
      <c r="Z74" s="108">
        <f t="shared" si="45"/>
        <v>2003580.5699999998</v>
      </c>
    </row>
    <row r="75" spans="1:26" x14ac:dyDescent="0.25">
      <c r="A75" s="868" t="s">
        <v>1283</v>
      </c>
      <c r="B75" s="867">
        <v>0</v>
      </c>
      <c r="C75" s="108">
        <v>0</v>
      </c>
      <c r="D75" s="108">
        <f>'[4]anex-bs2'!J46</f>
        <v>0</v>
      </c>
      <c r="E75" s="108">
        <f>'[5]anex-bs2'!L46</f>
        <v>0</v>
      </c>
      <c r="F75" s="108">
        <f>'[6]anex-bs2'!J46</f>
        <v>0</v>
      </c>
      <c r="G75" s="1130">
        <v>0</v>
      </c>
      <c r="H75" s="867">
        <f t="shared" si="38"/>
        <v>0</v>
      </c>
      <c r="I75" s="108">
        <f t="shared" si="38"/>
        <v>0</v>
      </c>
      <c r="J75" s="108">
        <f t="shared" si="38"/>
        <v>0</v>
      </c>
      <c r="K75" s="108">
        <f t="shared" si="38"/>
        <v>0</v>
      </c>
      <c r="L75" s="866">
        <f t="shared" si="38"/>
        <v>0</v>
      </c>
      <c r="N75" t="s">
        <v>301</v>
      </c>
      <c r="O75" t="s">
        <v>309</v>
      </c>
      <c r="Q75" s="645"/>
      <c r="S75" s="108">
        <f t="shared" si="41"/>
        <v>0</v>
      </c>
      <c r="T75" s="108">
        <f t="shared" si="39"/>
        <v>0</v>
      </c>
      <c r="U75" s="108">
        <f t="shared" si="39"/>
        <v>0</v>
      </c>
      <c r="V75" s="108">
        <f t="shared" si="39"/>
        <v>0</v>
      </c>
      <c r="W75" s="108">
        <f t="shared" si="42"/>
        <v>0</v>
      </c>
      <c r="X75" s="108">
        <f t="shared" si="43"/>
        <v>0</v>
      </c>
      <c r="Y75" s="108">
        <f t="shared" si="44"/>
        <v>0</v>
      </c>
      <c r="Z75" s="108">
        <f t="shared" si="45"/>
        <v>0</v>
      </c>
    </row>
    <row r="76" spans="1:26" x14ac:dyDescent="0.25">
      <c r="A76" s="868" t="s">
        <v>1282</v>
      </c>
      <c r="B76" s="867">
        <v>62611257</v>
      </c>
      <c r="C76" s="108">
        <v>67479178</v>
      </c>
      <c r="D76" s="108">
        <f>'[4]anex-bs2'!J47</f>
        <v>74901430.099999994</v>
      </c>
      <c r="E76" s="108">
        <f>'[5]anex-bs2'!L47</f>
        <v>78925307</v>
      </c>
      <c r="F76" s="108">
        <f>'[6]anex-bs2'!J47</f>
        <v>92986875.219999999</v>
      </c>
      <c r="G76" s="1130">
        <v>101755899</v>
      </c>
      <c r="H76" s="867">
        <f t="shared" si="38"/>
        <v>4867921</v>
      </c>
      <c r="I76" s="108">
        <f t="shared" si="38"/>
        <v>7422252.099999994</v>
      </c>
      <c r="J76" s="108">
        <f t="shared" si="38"/>
        <v>4023876.900000006</v>
      </c>
      <c r="K76" s="874">
        <f t="shared" si="38"/>
        <v>14061568.219999999</v>
      </c>
      <c r="L76" s="866">
        <f t="shared" si="38"/>
        <v>8769023.7800000012</v>
      </c>
      <c r="N76" t="s">
        <v>301</v>
      </c>
      <c r="O76" t="s">
        <v>310</v>
      </c>
      <c r="R76" s="108">
        <f>'Base de Capital'!U88</f>
        <v>3759501.84</v>
      </c>
      <c r="S76" s="108">
        <f t="shared" si="41"/>
        <v>3662750.2599999942</v>
      </c>
      <c r="T76" s="108">
        <f t="shared" si="39"/>
        <v>264375.06000000611</v>
      </c>
      <c r="U76" s="108">
        <f t="shared" si="39"/>
        <v>10302066.379999999</v>
      </c>
      <c r="V76" s="108">
        <f t="shared" si="39"/>
        <v>5009521.9400000013</v>
      </c>
      <c r="W76" s="108">
        <f t="shared" si="42"/>
        <v>3759501.84</v>
      </c>
      <c r="X76" s="108">
        <f t="shared" si="43"/>
        <v>3759501.84</v>
      </c>
      <c r="Y76" s="108">
        <f t="shared" si="44"/>
        <v>3759501.84</v>
      </c>
      <c r="Z76" s="108">
        <f t="shared" si="45"/>
        <v>3759501.84</v>
      </c>
    </row>
    <row r="77" spans="1:26" x14ac:dyDescent="0.25">
      <c r="A77" s="868" t="s">
        <v>1281</v>
      </c>
      <c r="B77" s="867">
        <v>0</v>
      </c>
      <c r="C77" s="108">
        <v>0</v>
      </c>
      <c r="D77" s="108">
        <f>'[4]anex-bs2'!J48</f>
        <v>0</v>
      </c>
      <c r="E77" s="108">
        <f>'[5]anex-bs2'!L48</f>
        <v>0</v>
      </c>
      <c r="F77" s="108">
        <f>'[6]anex-bs2'!J48</f>
        <v>0</v>
      </c>
      <c r="G77" s="1130">
        <v>0</v>
      </c>
      <c r="H77" s="867">
        <f t="shared" si="38"/>
        <v>0</v>
      </c>
      <c r="I77" s="108">
        <f t="shared" si="38"/>
        <v>0</v>
      </c>
      <c r="J77" s="108">
        <f t="shared" si="38"/>
        <v>0</v>
      </c>
      <c r="K77" s="108">
        <f t="shared" si="38"/>
        <v>0</v>
      </c>
      <c r="L77" s="866">
        <f t="shared" si="38"/>
        <v>0</v>
      </c>
      <c r="N77" t="s">
        <v>301</v>
      </c>
      <c r="O77" t="s">
        <v>310</v>
      </c>
      <c r="S77" s="108">
        <f t="shared" si="41"/>
        <v>0</v>
      </c>
      <c r="T77" s="108">
        <f t="shared" si="39"/>
        <v>0</v>
      </c>
      <c r="U77" s="108">
        <f t="shared" si="39"/>
        <v>0</v>
      </c>
      <c r="V77" s="108">
        <f t="shared" si="39"/>
        <v>0</v>
      </c>
      <c r="W77" s="108">
        <f t="shared" si="42"/>
        <v>0</v>
      </c>
      <c r="X77" s="108">
        <f t="shared" si="43"/>
        <v>0</v>
      </c>
      <c r="Y77" s="108">
        <f t="shared" si="44"/>
        <v>0</v>
      </c>
      <c r="Z77" s="108">
        <f t="shared" si="45"/>
        <v>0</v>
      </c>
    </row>
    <row r="78" spans="1:26" x14ac:dyDescent="0.25">
      <c r="A78" s="868" t="s">
        <v>1286</v>
      </c>
      <c r="B78" s="867">
        <v>14287956</v>
      </c>
      <c r="C78" s="108">
        <v>15811820</v>
      </c>
      <c r="D78" s="108">
        <f>'[4]anex-bs2'!J49</f>
        <v>17269586.539999999</v>
      </c>
      <c r="E78" s="108">
        <f>'[5]anex-bs2'!L49</f>
        <v>18175574</v>
      </c>
      <c r="F78" s="108">
        <f>'[6]anex-bs2'!J49</f>
        <v>21084389.07</v>
      </c>
      <c r="G78" s="1130">
        <v>23253912</v>
      </c>
      <c r="H78" s="867">
        <f t="shared" si="38"/>
        <v>1523864</v>
      </c>
      <c r="I78" s="108">
        <f t="shared" si="38"/>
        <v>1457766.5399999991</v>
      </c>
      <c r="J78" s="108">
        <f t="shared" si="38"/>
        <v>905987.46000000089</v>
      </c>
      <c r="K78" s="874">
        <f t="shared" si="38"/>
        <v>2908815.0700000003</v>
      </c>
      <c r="L78" s="866">
        <f t="shared" si="38"/>
        <v>2169522.9299999997</v>
      </c>
      <c r="N78" t="s">
        <v>301</v>
      </c>
      <c r="O78" t="s">
        <v>306</v>
      </c>
      <c r="R78" s="108">
        <f>'Base de Capital'!U92</f>
        <v>99968.459999999992</v>
      </c>
      <c r="S78" s="108">
        <f t="shared" si="41"/>
        <v>1357798.0799999991</v>
      </c>
      <c r="T78" s="108">
        <f t="shared" si="39"/>
        <v>806019.00000000093</v>
      </c>
      <c r="U78" s="108">
        <f t="shared" si="39"/>
        <v>2808846.6100000003</v>
      </c>
      <c r="V78" s="108">
        <f t="shared" si="39"/>
        <v>2069554.4699999997</v>
      </c>
      <c r="W78" s="108">
        <f t="shared" si="42"/>
        <v>99968.459999999992</v>
      </c>
      <c r="X78" s="108">
        <f t="shared" si="43"/>
        <v>99968.459999999992</v>
      </c>
      <c r="Y78" s="108">
        <f t="shared" si="44"/>
        <v>99968.459999999992</v>
      </c>
      <c r="Z78" s="108">
        <f t="shared" si="45"/>
        <v>99968.459999999992</v>
      </c>
    </row>
    <row r="79" spans="1:26" ht="15.75" thickBot="1" x14ac:dyDescent="0.3">
      <c r="A79" s="865" t="s">
        <v>1279</v>
      </c>
      <c r="B79" s="864">
        <v>6216146</v>
      </c>
      <c r="C79" s="863">
        <v>7767998</v>
      </c>
      <c r="D79" s="863">
        <f>'[4]anex-bs2'!J50</f>
        <v>8999320.6400000006</v>
      </c>
      <c r="E79" s="863">
        <f>'[5]anex-bs2'!L50</f>
        <v>9534850</v>
      </c>
      <c r="F79" s="863">
        <f>'[6]anex-bs2'!J50</f>
        <v>11141435.35</v>
      </c>
      <c r="G79" s="1131">
        <v>12212492</v>
      </c>
      <c r="H79" s="864">
        <f t="shared" si="38"/>
        <v>1551852</v>
      </c>
      <c r="I79" s="863">
        <f t="shared" si="38"/>
        <v>1231322.6400000006</v>
      </c>
      <c r="J79" s="863">
        <f t="shared" si="38"/>
        <v>535529.3599999994</v>
      </c>
      <c r="K79" s="873">
        <f t="shared" si="38"/>
        <v>1606585.3499999996</v>
      </c>
      <c r="L79" s="862">
        <f t="shared" si="38"/>
        <v>1071056.6500000004</v>
      </c>
      <c r="N79" t="s">
        <v>301</v>
      </c>
      <c r="O79" t="s">
        <v>308</v>
      </c>
      <c r="S79" s="108">
        <f t="shared" si="41"/>
        <v>1231322.6400000006</v>
      </c>
      <c r="T79" s="108">
        <f t="shared" si="39"/>
        <v>535529.3599999994</v>
      </c>
      <c r="U79" s="108">
        <f t="shared" si="39"/>
        <v>1606585.3499999996</v>
      </c>
      <c r="V79" s="108">
        <f t="shared" si="39"/>
        <v>1071056.6500000004</v>
      </c>
      <c r="W79" s="108">
        <f t="shared" si="42"/>
        <v>0</v>
      </c>
      <c r="X79" s="108">
        <f t="shared" si="43"/>
        <v>0</v>
      </c>
      <c r="Y79" s="108">
        <f t="shared" si="44"/>
        <v>0</v>
      </c>
      <c r="Z79" s="108">
        <f t="shared" si="45"/>
        <v>0</v>
      </c>
    </row>
    <row r="80" spans="1:26" x14ac:dyDescent="0.25">
      <c r="A80" s="872" t="s">
        <v>500</v>
      </c>
      <c r="B80" s="871">
        <f t="shared" ref="B80:L80" si="46">SUM(B81:B88)</f>
        <v>18114019</v>
      </c>
      <c r="C80" s="870">
        <f t="shared" si="46"/>
        <v>18928736</v>
      </c>
      <c r="D80" s="870">
        <f t="shared" si="46"/>
        <v>19439037.720000003</v>
      </c>
      <c r="E80" s="870">
        <f t="shared" si="46"/>
        <v>20264682</v>
      </c>
      <c r="F80" s="870">
        <f t="shared" si="46"/>
        <v>21169747.560000002</v>
      </c>
      <c r="G80" s="1129">
        <f t="shared" si="46"/>
        <v>22147314</v>
      </c>
      <c r="H80" s="871">
        <f t="shared" si="46"/>
        <v>814717</v>
      </c>
      <c r="I80" s="870">
        <f t="shared" si="46"/>
        <v>510301.72000000114</v>
      </c>
      <c r="J80" s="870">
        <f t="shared" si="46"/>
        <v>825644.27999999898</v>
      </c>
      <c r="K80" s="870">
        <f t="shared" si="46"/>
        <v>905065.56000000075</v>
      </c>
      <c r="L80" s="869">
        <f t="shared" si="46"/>
        <v>977566.43999999925</v>
      </c>
    </row>
    <row r="81" spans="1:15" x14ac:dyDescent="0.25">
      <c r="A81" s="868" t="s">
        <v>1285</v>
      </c>
      <c r="B81" s="867">
        <v>15413310</v>
      </c>
      <c r="C81" s="108">
        <v>16146121</v>
      </c>
      <c r="D81" s="108">
        <f>'[4]anex-bs2'!J64</f>
        <v>16608927.280000001</v>
      </c>
      <c r="E81" s="108">
        <f>'[5]anex-bs2'!J64</f>
        <v>17352287</v>
      </c>
      <c r="F81" s="108">
        <f>'[6]anex-bs2'!J64</f>
        <v>18170667.140000001</v>
      </c>
      <c r="G81" s="1130">
        <v>19065292</v>
      </c>
      <c r="H81" s="867">
        <f t="shared" ref="H81:L88" si="47">C81-B81</f>
        <v>732811</v>
      </c>
      <c r="I81" s="108">
        <f t="shared" si="47"/>
        <v>462806.28000000119</v>
      </c>
      <c r="J81" s="108">
        <f t="shared" si="47"/>
        <v>743359.71999999881</v>
      </c>
      <c r="K81" s="108">
        <f t="shared" si="47"/>
        <v>818380.1400000006</v>
      </c>
      <c r="L81" s="866">
        <f t="shared" si="47"/>
        <v>894624.8599999994</v>
      </c>
      <c r="N81" t="s">
        <v>31</v>
      </c>
      <c r="O81" t="s">
        <v>308</v>
      </c>
    </row>
    <row r="82" spans="1:15" x14ac:dyDescent="0.25">
      <c r="A82" s="868" t="s">
        <v>1284</v>
      </c>
      <c r="B82" s="867">
        <v>1993197</v>
      </c>
      <c r="C82" s="108">
        <v>2027270</v>
      </c>
      <c r="D82" s="108">
        <f>'[4]anex-bs2'!J65</f>
        <v>2027658.22</v>
      </c>
      <c r="E82" s="108">
        <f>'[5]anex-bs2'!J65</f>
        <v>2028046</v>
      </c>
      <c r="F82" s="108">
        <f>'[6]anex-bs2'!J65</f>
        <v>2028434.1700000002</v>
      </c>
      <c r="G82" s="1130">
        <v>2028823</v>
      </c>
      <c r="H82" s="867">
        <f t="shared" si="47"/>
        <v>34073</v>
      </c>
      <c r="I82" s="108">
        <f t="shared" si="47"/>
        <v>388.21999999997206</v>
      </c>
      <c r="J82" s="108">
        <f t="shared" si="47"/>
        <v>387.78000000002794</v>
      </c>
      <c r="K82" s="108">
        <f t="shared" si="47"/>
        <v>388.17000000015832</v>
      </c>
      <c r="L82" s="866">
        <f t="shared" si="47"/>
        <v>388.82999999984168</v>
      </c>
      <c r="N82" t="s">
        <v>31</v>
      </c>
      <c r="O82" t="s">
        <v>309</v>
      </c>
    </row>
    <row r="83" spans="1:15" x14ac:dyDescent="0.25">
      <c r="A83" s="868" t="s">
        <v>826</v>
      </c>
      <c r="B83" s="867">
        <v>3927</v>
      </c>
      <c r="C83" s="108">
        <v>4173</v>
      </c>
      <c r="D83" s="108">
        <f>'[4]anex-bs2'!J66</f>
        <v>4418.76</v>
      </c>
      <c r="E83" s="108">
        <f>'[5]anex-bs2'!J66</f>
        <v>4664</v>
      </c>
      <c r="F83" s="108">
        <f>'[6]anex-bs2'!J66</f>
        <v>4909.46</v>
      </c>
      <c r="G83" s="1130">
        <v>5155</v>
      </c>
      <c r="H83" s="867">
        <f t="shared" si="47"/>
        <v>246</v>
      </c>
      <c r="I83" s="108">
        <f t="shared" si="47"/>
        <v>245.76000000000022</v>
      </c>
      <c r="J83" s="108">
        <f t="shared" si="47"/>
        <v>245.23999999999978</v>
      </c>
      <c r="K83" s="108">
        <f t="shared" si="47"/>
        <v>245.46000000000004</v>
      </c>
      <c r="L83" s="866">
        <f t="shared" si="47"/>
        <v>245.53999999999996</v>
      </c>
      <c r="N83" t="s">
        <v>31</v>
      </c>
      <c r="O83" t="s">
        <v>305</v>
      </c>
    </row>
    <row r="84" spans="1:15" x14ac:dyDescent="0.25">
      <c r="A84" s="868" t="s">
        <v>1283</v>
      </c>
      <c r="B84" s="867">
        <v>0</v>
      </c>
      <c r="C84" s="108">
        <v>0</v>
      </c>
      <c r="D84" s="108">
        <f>'[4]anex-bs2'!J67</f>
        <v>0</v>
      </c>
      <c r="E84" s="108">
        <f>'[5]anex-bs2'!J67</f>
        <v>0</v>
      </c>
      <c r="F84" s="108">
        <f>'[6]anex-bs2'!J67</f>
        <v>0</v>
      </c>
      <c r="G84" s="1130">
        <v>0</v>
      </c>
      <c r="H84" s="867">
        <f t="shared" si="47"/>
        <v>0</v>
      </c>
      <c r="I84" s="108">
        <f t="shared" si="47"/>
        <v>0</v>
      </c>
      <c r="J84" s="108">
        <f t="shared" si="47"/>
        <v>0</v>
      </c>
      <c r="K84" s="108">
        <f t="shared" si="47"/>
        <v>0</v>
      </c>
      <c r="L84" s="866">
        <f t="shared" si="47"/>
        <v>0</v>
      </c>
      <c r="N84" t="s">
        <v>31</v>
      </c>
      <c r="O84" t="s">
        <v>309</v>
      </c>
    </row>
    <row r="85" spans="1:15" x14ac:dyDescent="0.25">
      <c r="A85" s="868" t="s">
        <v>1282</v>
      </c>
      <c r="B85" s="867">
        <v>449798</v>
      </c>
      <c r="C85" s="108">
        <v>465912</v>
      </c>
      <c r="D85" s="108">
        <f>'[4]anex-bs2'!J68</f>
        <v>482961.39999999997</v>
      </c>
      <c r="E85" s="108">
        <f>'[5]anex-bs2'!J68</f>
        <v>511852</v>
      </c>
      <c r="F85" s="108">
        <f>'[6]anex-bs2'!J68</f>
        <v>541898.15</v>
      </c>
      <c r="G85" s="1130">
        <v>569947</v>
      </c>
      <c r="H85" s="867">
        <f t="shared" si="47"/>
        <v>16114</v>
      </c>
      <c r="I85" s="108">
        <f t="shared" si="47"/>
        <v>17049.399999999965</v>
      </c>
      <c r="J85" s="108">
        <f t="shared" si="47"/>
        <v>28890.600000000035</v>
      </c>
      <c r="K85" s="108">
        <f t="shared" si="47"/>
        <v>30046.150000000023</v>
      </c>
      <c r="L85" s="866">
        <f t="shared" si="47"/>
        <v>28048.849999999977</v>
      </c>
      <c r="N85" t="s">
        <v>31</v>
      </c>
      <c r="O85" t="s">
        <v>310</v>
      </c>
    </row>
    <row r="86" spans="1:15" x14ac:dyDescent="0.25">
      <c r="A86" s="868" t="s">
        <v>1281</v>
      </c>
      <c r="B86" s="867">
        <v>0</v>
      </c>
      <c r="C86" s="108">
        <v>0</v>
      </c>
      <c r="D86" s="108">
        <f>'[4]anex-bs2'!J69</f>
        <v>0</v>
      </c>
      <c r="E86" s="108">
        <f>'[5]anex-bs2'!J69</f>
        <v>0</v>
      </c>
      <c r="F86" s="108">
        <f>'[6]anex-bs2'!J69</f>
        <v>0</v>
      </c>
      <c r="G86" s="1130">
        <v>0</v>
      </c>
      <c r="H86" s="867">
        <f t="shared" si="47"/>
        <v>0</v>
      </c>
      <c r="I86" s="108">
        <f t="shared" si="47"/>
        <v>0</v>
      </c>
      <c r="J86" s="108">
        <f t="shared" si="47"/>
        <v>0</v>
      </c>
      <c r="K86" s="108">
        <f t="shared" si="47"/>
        <v>0</v>
      </c>
      <c r="L86" s="866">
        <f t="shared" si="47"/>
        <v>0</v>
      </c>
      <c r="N86" t="s">
        <v>31</v>
      </c>
      <c r="O86" t="s">
        <v>310</v>
      </c>
    </row>
    <row r="87" spans="1:15" x14ac:dyDescent="0.25">
      <c r="A87" s="868" t="s">
        <v>1280</v>
      </c>
      <c r="B87" s="867">
        <v>221188</v>
      </c>
      <c r="C87" s="108">
        <v>243771</v>
      </c>
      <c r="D87" s="108">
        <f>'[4]anex-bs2'!J70</f>
        <v>264692.94</v>
      </c>
      <c r="E87" s="108">
        <f>'[5]anex-bs2'!J70</f>
        <v>308563</v>
      </c>
      <c r="F87" s="108">
        <f>'[6]anex-bs2'!J70</f>
        <v>355678.12</v>
      </c>
      <c r="G87" s="1130">
        <v>401046</v>
      </c>
      <c r="H87" s="867">
        <f t="shared" si="47"/>
        <v>22583</v>
      </c>
      <c r="I87" s="108">
        <f t="shared" si="47"/>
        <v>20921.940000000002</v>
      </c>
      <c r="J87" s="108">
        <f t="shared" si="47"/>
        <v>43870.06</v>
      </c>
      <c r="K87" s="108">
        <f t="shared" si="47"/>
        <v>47115.119999999995</v>
      </c>
      <c r="L87" s="866">
        <f t="shared" si="47"/>
        <v>45367.880000000005</v>
      </c>
      <c r="N87" t="s">
        <v>31</v>
      </c>
      <c r="O87" t="s">
        <v>306</v>
      </c>
    </row>
    <row r="88" spans="1:15" ht="15.75" thickBot="1" x14ac:dyDescent="0.3">
      <c r="A88" s="865" t="s">
        <v>1279</v>
      </c>
      <c r="B88" s="864">
        <v>32599</v>
      </c>
      <c r="C88" s="863">
        <v>41489</v>
      </c>
      <c r="D88" s="863">
        <f>'[4]anex-bs2'!J71</f>
        <v>50379.119999999995</v>
      </c>
      <c r="E88" s="863">
        <f>'[5]anex-bs2'!J71</f>
        <v>59270</v>
      </c>
      <c r="F88" s="863">
        <f>'[6]anex-bs2'!J71</f>
        <v>68160.52</v>
      </c>
      <c r="G88" s="1131">
        <v>77051</v>
      </c>
      <c r="H88" s="864">
        <f t="shared" si="47"/>
        <v>8890</v>
      </c>
      <c r="I88" s="863">
        <f t="shared" si="47"/>
        <v>8890.1199999999953</v>
      </c>
      <c r="J88" s="863">
        <f t="shared" si="47"/>
        <v>8890.8800000000047</v>
      </c>
      <c r="K88" s="863">
        <f t="shared" si="47"/>
        <v>8890.5200000000041</v>
      </c>
      <c r="L88" s="862">
        <f t="shared" si="47"/>
        <v>8890.4799999999959</v>
      </c>
      <c r="N88" t="s">
        <v>31</v>
      </c>
      <c r="O88" t="s">
        <v>308</v>
      </c>
    </row>
    <row r="89" spans="1:15" x14ac:dyDescent="0.25">
      <c r="A89" s="872" t="s">
        <v>32</v>
      </c>
      <c r="B89" s="871">
        <f t="shared" ref="B89:L89" si="48">SUM(B90:B93)</f>
        <v>3039409</v>
      </c>
      <c r="C89" s="870">
        <f t="shared" si="48"/>
        <v>3179634</v>
      </c>
      <c r="D89" s="870">
        <f t="shared" si="48"/>
        <v>3285345.0000000014</v>
      </c>
      <c r="E89" s="870">
        <f t="shared" si="48"/>
        <v>3334344</v>
      </c>
      <c r="F89" s="870">
        <f t="shared" si="48"/>
        <v>4546471.5500000007</v>
      </c>
      <c r="G89" s="1129">
        <f t="shared" si="48"/>
        <v>7276957</v>
      </c>
      <c r="H89" s="871">
        <f t="shared" si="48"/>
        <v>140225</v>
      </c>
      <c r="I89" s="870">
        <f t="shared" si="48"/>
        <v>105711.00000000105</v>
      </c>
      <c r="J89" s="870">
        <f t="shared" si="48"/>
        <v>48998.999999998923</v>
      </c>
      <c r="K89" s="870">
        <f t="shared" si="48"/>
        <v>1212127.550000001</v>
      </c>
      <c r="L89" s="869">
        <f t="shared" si="48"/>
        <v>2730485.4499999988</v>
      </c>
    </row>
    <row r="90" spans="1:15" x14ac:dyDescent="0.25">
      <c r="A90" s="868" t="s">
        <v>1278</v>
      </c>
      <c r="B90" s="867">
        <v>1470530</v>
      </c>
      <c r="C90" s="108">
        <v>1487533</v>
      </c>
      <c r="D90" s="108">
        <f>'[4]anex-bs2'!J98</f>
        <v>1505080.04</v>
      </c>
      <c r="E90" s="108">
        <f>'[5]anex-bs2'!L98</f>
        <v>1513930</v>
      </c>
      <c r="F90" s="108">
        <f>'[6]anex-bs2'!J98</f>
        <v>1540252.86</v>
      </c>
      <c r="G90" s="1130">
        <v>1632401</v>
      </c>
      <c r="H90" s="867">
        <f t="shared" ref="H90:L93" si="49">C90-B90</f>
        <v>17003</v>
      </c>
      <c r="I90" s="108">
        <f t="shared" si="49"/>
        <v>17547.040000000037</v>
      </c>
      <c r="J90" s="108">
        <f t="shared" si="49"/>
        <v>8849.9599999999627</v>
      </c>
      <c r="K90" s="108">
        <f t="shared" si="49"/>
        <v>26322.860000000102</v>
      </c>
      <c r="L90" s="866">
        <f t="shared" si="49"/>
        <v>92148.139999999898</v>
      </c>
    </row>
    <row r="91" spans="1:15" x14ac:dyDescent="0.25">
      <c r="A91" s="868" t="s">
        <v>1277</v>
      </c>
      <c r="B91" s="867">
        <v>953547</v>
      </c>
      <c r="C91" s="108">
        <v>416352</v>
      </c>
      <c r="D91" s="108">
        <f>'[4]anex-bs2'!J99</f>
        <v>1052445.2</v>
      </c>
      <c r="E91" s="108">
        <f>'[5]anex-bs2'!L99</f>
        <v>1139701</v>
      </c>
      <c r="F91" s="108">
        <f>'[6]anex-bs2'!J99</f>
        <v>1169283.8699999999</v>
      </c>
      <c r="G91" s="1130">
        <v>2439033</v>
      </c>
      <c r="H91" s="867">
        <f t="shared" si="49"/>
        <v>-537195</v>
      </c>
      <c r="I91" s="108">
        <f t="shared" si="49"/>
        <v>636093.19999999995</v>
      </c>
      <c r="J91" s="108">
        <f t="shared" si="49"/>
        <v>87255.800000000047</v>
      </c>
      <c r="K91" s="108">
        <f t="shared" si="49"/>
        <v>29582.869999999879</v>
      </c>
      <c r="L91" s="866">
        <f t="shared" si="49"/>
        <v>1269749.1300000001</v>
      </c>
    </row>
    <row r="92" spans="1:15" x14ac:dyDescent="0.25">
      <c r="A92" s="868" t="s">
        <v>1276</v>
      </c>
      <c r="B92" s="867">
        <v>252167</v>
      </c>
      <c r="C92" s="108">
        <v>255634</v>
      </c>
      <c r="D92" s="108">
        <f>'[4]anex-bs2'!J100</f>
        <v>255634.03000000099</v>
      </c>
      <c r="E92" s="108">
        <f>'[5]anex-bs2'!L100</f>
        <v>255634</v>
      </c>
      <c r="F92" s="108">
        <f>'[6]anex-bs2'!J100</f>
        <v>1319937.850000001</v>
      </c>
      <c r="G92" s="1130">
        <v>2707689</v>
      </c>
      <c r="H92" s="867">
        <f t="shared" si="49"/>
        <v>3467</v>
      </c>
      <c r="I92" s="108">
        <f t="shared" si="49"/>
        <v>3.0000000988366082E-2</v>
      </c>
      <c r="J92" s="108">
        <f t="shared" si="49"/>
        <v>-3.0000000988366082E-2</v>
      </c>
      <c r="K92" s="108">
        <f t="shared" si="49"/>
        <v>1064303.850000001</v>
      </c>
      <c r="L92" s="866">
        <f t="shared" si="49"/>
        <v>1387751.149999999</v>
      </c>
    </row>
    <row r="93" spans="1:15" ht="15.75" thickBot="1" x14ac:dyDescent="0.3">
      <c r="A93" s="865" t="s">
        <v>1275</v>
      </c>
      <c r="B93" s="864">
        <v>363165</v>
      </c>
      <c r="C93" s="863">
        <v>1020115</v>
      </c>
      <c r="D93" s="863">
        <f>'[4]anex-bs2'!J101</f>
        <v>472185.7300000001</v>
      </c>
      <c r="E93" s="863">
        <f>'[5]anex-bs2'!L101</f>
        <v>425079</v>
      </c>
      <c r="F93" s="863">
        <f>'[6]anex-bs2'!J101</f>
        <v>516996.97000000003</v>
      </c>
      <c r="G93" s="1131">
        <v>497834</v>
      </c>
      <c r="H93" s="864">
        <f t="shared" si="49"/>
        <v>656950</v>
      </c>
      <c r="I93" s="863">
        <f t="shared" si="49"/>
        <v>-547929.2699999999</v>
      </c>
      <c r="J93" s="863">
        <f t="shared" si="49"/>
        <v>-47106.730000000098</v>
      </c>
      <c r="K93" s="863">
        <f t="shared" si="49"/>
        <v>91917.97000000003</v>
      </c>
      <c r="L93" s="862">
        <f t="shared" si="49"/>
        <v>-19162.97000000003</v>
      </c>
    </row>
  </sheetData>
  <dataValidations count="2">
    <dataValidation type="list" allowBlank="1" showInputMessage="1" showErrorMessage="1" sqref="N81:N88 N64:N79" xr:uid="{00000000-0002-0000-0700-000000000000}">
      <formula1>$N$1:$N$4</formula1>
    </dataValidation>
    <dataValidation type="list" allowBlank="1" showInputMessage="1" showErrorMessage="1" sqref="O64:O79 O81:O88" xr:uid="{00000000-0002-0000-0700-000001000000}">
      <formula1>$O$1:$O$15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83"/>
  <sheetViews>
    <sheetView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J177" sqref="J177"/>
    </sheetView>
  </sheetViews>
  <sheetFormatPr baseColWidth="10" defaultRowHeight="15" outlineLevelRow="1" x14ac:dyDescent="0.25"/>
  <cols>
    <col min="2" max="2" width="52.42578125" customWidth="1"/>
    <col min="3" max="3" width="13.140625" bestFit="1" customWidth="1"/>
    <col min="9" max="9" width="14.140625" bestFit="1" customWidth="1"/>
  </cols>
  <sheetData>
    <row r="1" spans="1:9" x14ac:dyDescent="0.25">
      <c r="B1" s="110" t="s">
        <v>1650</v>
      </c>
    </row>
    <row r="2" spans="1:9" x14ac:dyDescent="0.25">
      <c r="B2" s="293" t="s">
        <v>1649</v>
      </c>
      <c r="C2" s="1185">
        <v>3.3385882564188139E-2</v>
      </c>
    </row>
    <row r="3" spans="1:9" x14ac:dyDescent="0.25">
      <c r="B3" s="293" t="s">
        <v>8</v>
      </c>
      <c r="C3" s="1185">
        <v>7.2999999999999995E-2</v>
      </c>
    </row>
    <row r="4" spans="1:9" x14ac:dyDescent="0.25">
      <c r="B4" s="293" t="s">
        <v>4</v>
      </c>
      <c r="C4" s="1185">
        <v>1.8700000000000001E-2</v>
      </c>
    </row>
    <row r="5" spans="1:9" x14ac:dyDescent="0.25">
      <c r="B5" s="293" t="s">
        <v>6</v>
      </c>
      <c r="C5" s="1185">
        <v>1.32E-2</v>
      </c>
    </row>
    <row r="7" spans="1:9" x14ac:dyDescent="0.25">
      <c r="B7" s="511" t="s">
        <v>485</v>
      </c>
    </row>
    <row r="8" spans="1:9" ht="15.75" thickBot="1" x14ac:dyDescent="0.3"/>
    <row r="9" spans="1:9" x14ac:dyDescent="0.25">
      <c r="A9" t="s">
        <v>1648</v>
      </c>
      <c r="B9" s="1164" t="s">
        <v>1647</v>
      </c>
      <c r="C9" s="1180"/>
      <c r="D9" s="1163">
        <v>2021</v>
      </c>
      <c r="E9" s="1163">
        <v>2022</v>
      </c>
      <c r="F9" s="1163">
        <v>2023</v>
      </c>
      <c r="G9" s="1163">
        <v>2024</v>
      </c>
      <c r="H9" s="1163">
        <v>2025</v>
      </c>
      <c r="I9" s="1162" t="s">
        <v>28</v>
      </c>
    </row>
    <row r="10" spans="1:9" x14ac:dyDescent="0.25">
      <c r="A10" t="s">
        <v>1642</v>
      </c>
      <c r="B10" s="1179" t="s">
        <v>486</v>
      </c>
      <c r="C10" s="1184"/>
      <c r="D10" s="1170">
        <v>8400</v>
      </c>
      <c r="E10" s="1170"/>
      <c r="F10" s="1170"/>
      <c r="G10" s="1170"/>
      <c r="H10" s="1170"/>
      <c r="I10" s="1172">
        <f t="shared" ref="I10:I21" si="0">SUM(C10:H10)</f>
        <v>8400</v>
      </c>
    </row>
    <row r="11" spans="1:9" x14ac:dyDescent="0.25">
      <c r="A11" t="s">
        <v>1642</v>
      </c>
      <c r="B11" s="1179" t="s">
        <v>1646</v>
      </c>
      <c r="C11" s="1184"/>
      <c r="D11" s="1170"/>
      <c r="E11" s="1170"/>
      <c r="F11" s="1170"/>
      <c r="G11" s="1170"/>
      <c r="H11" s="1170"/>
      <c r="I11" s="1172">
        <f t="shared" si="0"/>
        <v>0</v>
      </c>
    </row>
    <row r="12" spans="1:9" x14ac:dyDescent="0.25">
      <c r="A12" t="s">
        <v>1642</v>
      </c>
      <c r="B12" s="1179" t="s">
        <v>487</v>
      </c>
      <c r="C12" s="1184"/>
      <c r="D12" s="1170"/>
      <c r="E12" s="1170"/>
      <c r="F12" s="1170">
        <f>500*2*2</f>
        <v>2000</v>
      </c>
      <c r="G12" s="1170"/>
      <c r="H12" s="1170"/>
      <c r="I12" s="1172">
        <f t="shared" si="0"/>
        <v>2000</v>
      </c>
    </row>
    <row r="13" spans="1:9" x14ac:dyDescent="0.25">
      <c r="A13" t="s">
        <v>1639</v>
      </c>
      <c r="B13" s="1179" t="s">
        <v>488</v>
      </c>
      <c r="C13" s="1077"/>
      <c r="D13" s="1170"/>
      <c r="E13" s="1170">
        <v>54749</v>
      </c>
      <c r="F13" s="1170"/>
      <c r="G13" s="1170"/>
      <c r="H13" s="1170"/>
      <c r="I13" s="1172">
        <f t="shared" si="0"/>
        <v>54749</v>
      </c>
    </row>
    <row r="14" spans="1:9" x14ac:dyDescent="0.25">
      <c r="A14" t="s">
        <v>1640</v>
      </c>
      <c r="B14" s="1179" t="s">
        <v>489</v>
      </c>
      <c r="C14" s="1184"/>
      <c r="D14" s="1170">
        <v>2160</v>
      </c>
      <c r="E14" s="1170"/>
      <c r="F14" s="1170"/>
      <c r="G14" s="1170"/>
      <c r="H14" s="1170"/>
      <c r="I14" s="1172">
        <f t="shared" si="0"/>
        <v>2160</v>
      </c>
    </row>
    <row r="15" spans="1:9" x14ac:dyDescent="0.25">
      <c r="A15" t="s">
        <v>1642</v>
      </c>
      <c r="B15" s="1179" t="s">
        <v>490</v>
      </c>
      <c r="C15" s="1184"/>
      <c r="D15" s="1170"/>
      <c r="E15" s="1170"/>
      <c r="F15" s="1170"/>
      <c r="G15" s="1170">
        <v>11571</v>
      </c>
      <c r="H15" s="1170"/>
      <c r="I15" s="1172">
        <f t="shared" si="0"/>
        <v>11571</v>
      </c>
    </row>
    <row r="16" spans="1:9" x14ac:dyDescent="0.25">
      <c r="A16" t="s">
        <v>1639</v>
      </c>
      <c r="B16" s="1179" t="s">
        <v>1645</v>
      </c>
      <c r="C16" s="1077"/>
      <c r="D16" s="1170"/>
      <c r="E16" s="1170"/>
      <c r="F16" s="1170"/>
      <c r="G16" s="1170"/>
      <c r="H16" s="1170"/>
      <c r="I16" s="1172">
        <f t="shared" si="0"/>
        <v>0</v>
      </c>
    </row>
    <row r="17" spans="1:9" x14ac:dyDescent="0.25">
      <c r="A17" t="s">
        <v>1642</v>
      </c>
      <c r="B17" s="1179" t="s">
        <v>339</v>
      </c>
      <c r="C17" s="1184"/>
      <c r="D17" s="1170">
        <f>754639.09/1000</f>
        <v>754.63909000000001</v>
      </c>
      <c r="E17" s="1170"/>
      <c r="F17" s="1170"/>
      <c r="G17" s="1170"/>
      <c r="H17" s="1170"/>
      <c r="I17" s="1172">
        <f t="shared" si="0"/>
        <v>754.63909000000001</v>
      </c>
    </row>
    <row r="18" spans="1:9" x14ac:dyDescent="0.25">
      <c r="A18" t="s">
        <v>1642</v>
      </c>
      <c r="B18" s="1179" t="s">
        <v>340</v>
      </c>
      <c r="C18" s="1184"/>
      <c r="D18" s="1170">
        <f>3646237.32/1000</f>
        <v>3646.2373199999997</v>
      </c>
      <c r="E18" s="1170"/>
      <c r="F18" s="1170"/>
      <c r="G18" s="1170"/>
      <c r="H18" s="1170"/>
      <c r="I18" s="1172">
        <f t="shared" si="0"/>
        <v>3646.2373199999997</v>
      </c>
    </row>
    <row r="19" spans="1:9" x14ac:dyDescent="0.25">
      <c r="A19" t="s">
        <v>1641</v>
      </c>
      <c r="B19" s="1179" t="s">
        <v>341</v>
      </c>
      <c r="C19" s="1184"/>
      <c r="D19" s="1170">
        <f>4586731.87/1000</f>
        <v>4586.7318700000005</v>
      </c>
      <c r="E19" s="1170"/>
      <c r="F19" s="1170"/>
      <c r="G19" s="1170"/>
      <c r="H19" s="1170"/>
      <c r="I19" s="1172">
        <f t="shared" si="0"/>
        <v>4586.7318700000005</v>
      </c>
    </row>
    <row r="20" spans="1:9" x14ac:dyDescent="0.25">
      <c r="A20" t="s">
        <v>1641</v>
      </c>
      <c r="B20" s="1179" t="s">
        <v>342</v>
      </c>
      <c r="C20" s="1184"/>
      <c r="D20" s="1170">
        <f>784131.47/1000</f>
        <v>784.13146999999992</v>
      </c>
      <c r="E20" s="1170"/>
      <c r="F20" s="1170"/>
      <c r="G20" s="1170"/>
      <c r="H20" s="1170"/>
      <c r="I20" s="1172">
        <f t="shared" si="0"/>
        <v>784.13146999999992</v>
      </c>
    </row>
    <row r="21" spans="1:9" ht="15.75" thickBot="1" x14ac:dyDescent="0.3">
      <c r="B21" s="1178" t="s">
        <v>325</v>
      </c>
      <c r="C21" s="1177"/>
      <c r="D21" s="1177">
        <f>SUM(D10:D20)</f>
        <v>20331.739750000001</v>
      </c>
      <c r="E21" s="1177">
        <f>SUM(E10:E20)</f>
        <v>54749</v>
      </c>
      <c r="F21" s="1177">
        <f>SUM(F10:F20)</f>
        <v>2000</v>
      </c>
      <c r="G21" s="1177">
        <f>SUM(G10:G20)</f>
        <v>11571</v>
      </c>
      <c r="H21" s="1177"/>
      <c r="I21" s="1176">
        <f t="shared" si="0"/>
        <v>88651.739750000008</v>
      </c>
    </row>
    <row r="22" spans="1:9" x14ac:dyDescent="0.25">
      <c r="B22" s="1183" t="s">
        <v>348</v>
      </c>
      <c r="C22" s="1182"/>
      <c r="D22" s="1182">
        <f>D$9</f>
        <v>2021</v>
      </c>
      <c r="E22" s="1182">
        <f>E$9</f>
        <v>2022</v>
      </c>
      <c r="F22" s="1182">
        <f>F$9</f>
        <v>2023</v>
      </c>
      <c r="G22" s="1182">
        <f>G$9</f>
        <v>2024</v>
      </c>
      <c r="H22" s="1181">
        <f>H$9</f>
        <v>2025</v>
      </c>
    </row>
    <row r="23" spans="1:9" x14ac:dyDescent="0.25">
      <c r="B23" s="1175" t="s">
        <v>333</v>
      </c>
      <c r="C23" s="1174"/>
      <c r="D23" s="1173">
        <f>SUM(D24:D28)</f>
        <v>20331.739750000001</v>
      </c>
      <c r="E23" s="1173">
        <f>SUM(E24:E28)</f>
        <v>54749</v>
      </c>
      <c r="F23" s="1173">
        <f>SUM(F24:F28)</f>
        <v>2000</v>
      </c>
      <c r="G23" s="1173">
        <f>SUM(G24:G28)</f>
        <v>11571</v>
      </c>
      <c r="H23" s="1172"/>
    </row>
    <row r="24" spans="1:9" hidden="1" outlineLevel="1" x14ac:dyDescent="0.25">
      <c r="B24" s="1171" t="s">
        <v>1642</v>
      </c>
      <c r="C24" s="1077"/>
      <c r="D24" s="1170">
        <f t="shared" ref="D24:G28" si="1">SUMIFS(D$10:D$20,$A$10:$A$20,$B24)</f>
        <v>12800.876410000001</v>
      </c>
      <c r="E24" s="1170">
        <f t="shared" si="1"/>
        <v>0</v>
      </c>
      <c r="F24" s="1170">
        <f t="shared" si="1"/>
        <v>2000</v>
      </c>
      <c r="G24" s="1170">
        <f t="shared" si="1"/>
        <v>11571</v>
      </c>
      <c r="H24" s="1169"/>
    </row>
    <row r="25" spans="1:9" hidden="1" outlineLevel="1" x14ac:dyDescent="0.25">
      <c r="B25" s="1171" t="s">
        <v>1641</v>
      </c>
      <c r="C25" s="1077"/>
      <c r="D25" s="1170">
        <f t="shared" si="1"/>
        <v>5370.8633400000008</v>
      </c>
      <c r="E25" s="1170">
        <f t="shared" si="1"/>
        <v>0</v>
      </c>
      <c r="F25" s="1170">
        <f t="shared" si="1"/>
        <v>0</v>
      </c>
      <c r="G25" s="1170">
        <f t="shared" si="1"/>
        <v>0</v>
      </c>
      <c r="H25" s="1169"/>
    </row>
    <row r="26" spans="1:9" hidden="1" outlineLevel="1" x14ac:dyDescent="0.25">
      <c r="B26" s="1171" t="s">
        <v>1640</v>
      </c>
      <c r="C26" s="1077"/>
      <c r="D26" s="1170">
        <f t="shared" si="1"/>
        <v>2160</v>
      </c>
      <c r="E26" s="1170">
        <f t="shared" si="1"/>
        <v>0</v>
      </c>
      <c r="F26" s="1170">
        <f t="shared" si="1"/>
        <v>0</v>
      </c>
      <c r="G26" s="1170">
        <f t="shared" si="1"/>
        <v>0</v>
      </c>
      <c r="H26" s="1169"/>
    </row>
    <row r="27" spans="1:9" hidden="1" outlineLevel="1" x14ac:dyDescent="0.25">
      <c r="B27" s="1171" t="s">
        <v>1639</v>
      </c>
      <c r="C27" s="1077"/>
      <c r="D27" s="1170">
        <f t="shared" si="1"/>
        <v>0</v>
      </c>
      <c r="E27" s="1170">
        <f t="shared" si="1"/>
        <v>54749</v>
      </c>
      <c r="F27" s="1170">
        <f t="shared" si="1"/>
        <v>0</v>
      </c>
      <c r="G27" s="1170">
        <f t="shared" si="1"/>
        <v>0</v>
      </c>
      <c r="H27" s="1169"/>
    </row>
    <row r="28" spans="1:9" ht="15.75" hidden="1" outlineLevel="1" thickBot="1" x14ac:dyDescent="0.3">
      <c r="B28" s="1168" t="s">
        <v>1638</v>
      </c>
      <c r="C28" s="1167"/>
      <c r="D28" s="1166">
        <f t="shared" si="1"/>
        <v>0</v>
      </c>
      <c r="E28" s="1166">
        <f t="shared" si="1"/>
        <v>0</v>
      </c>
      <c r="F28" s="1166">
        <f t="shared" si="1"/>
        <v>0</v>
      </c>
      <c r="G28" s="1166">
        <f t="shared" si="1"/>
        <v>0</v>
      </c>
      <c r="H28" s="1165"/>
    </row>
    <row r="29" spans="1:9" hidden="1" outlineLevel="1" x14ac:dyDescent="0.25">
      <c r="B29" s="1164" t="s">
        <v>348</v>
      </c>
      <c r="C29" s="1163"/>
      <c r="D29" s="1163">
        <f>D$9</f>
        <v>2021</v>
      </c>
      <c r="E29" s="1163">
        <f>E$9</f>
        <v>2022</v>
      </c>
      <c r="F29" s="1163">
        <f>F$9</f>
        <v>2023</v>
      </c>
      <c r="G29" s="1163">
        <f>G$9</f>
        <v>2024</v>
      </c>
      <c r="H29" s="1162">
        <f>H$9</f>
        <v>2025</v>
      </c>
    </row>
    <row r="30" spans="1:9" collapsed="1" x14ac:dyDescent="0.25">
      <c r="B30" s="1175" t="s">
        <v>137</v>
      </c>
      <c r="C30" s="1174"/>
      <c r="D30" s="1173">
        <f>SUM(D31:D35)</f>
        <v>20331.739750000001</v>
      </c>
      <c r="E30" s="1173">
        <f>SUM(E31:E35)</f>
        <v>75080.739750000008</v>
      </c>
      <c r="F30" s="1173">
        <f>SUM(F31:F35)</f>
        <v>77080.739750000008</v>
      </c>
      <c r="G30" s="1173">
        <f>SUM(G31:G35)</f>
        <v>88651.739750000008</v>
      </c>
      <c r="H30" s="1172">
        <f>SUM(H31:H35)</f>
        <v>88651.739750000008</v>
      </c>
    </row>
    <row r="31" spans="1:9" hidden="1" outlineLevel="1" x14ac:dyDescent="0.25">
      <c r="B31" s="1171" t="str">
        <f>B24</f>
        <v>SE 230</v>
      </c>
      <c r="C31" s="1077"/>
      <c r="D31" s="1170">
        <f t="shared" ref="D31:H35" si="2">C31+D24</f>
        <v>12800.876410000001</v>
      </c>
      <c r="E31" s="1170">
        <f t="shared" si="2"/>
        <v>12800.876410000001</v>
      </c>
      <c r="F31" s="1170">
        <f t="shared" si="2"/>
        <v>14800.876410000001</v>
      </c>
      <c r="G31" s="1170">
        <f t="shared" si="2"/>
        <v>26371.876410000001</v>
      </c>
      <c r="H31" s="1169">
        <f t="shared" si="2"/>
        <v>26371.876410000001</v>
      </c>
    </row>
    <row r="32" spans="1:9" hidden="1" outlineLevel="1" x14ac:dyDescent="0.25">
      <c r="B32" s="1171" t="str">
        <f>B25</f>
        <v>SE 115</v>
      </c>
      <c r="C32" s="1077"/>
      <c r="D32" s="1170">
        <f t="shared" si="2"/>
        <v>5370.8633400000008</v>
      </c>
      <c r="E32" s="1170">
        <f t="shared" si="2"/>
        <v>5370.8633400000008</v>
      </c>
      <c r="F32" s="1170">
        <f t="shared" si="2"/>
        <v>5370.8633400000008</v>
      </c>
      <c r="G32" s="1170">
        <f t="shared" si="2"/>
        <v>5370.8633400000008</v>
      </c>
      <c r="H32" s="1169">
        <f t="shared" si="2"/>
        <v>5370.8633400000008</v>
      </c>
    </row>
    <row r="33" spans="2:8" hidden="1" outlineLevel="1" x14ac:dyDescent="0.25">
      <c r="B33" s="1171" t="str">
        <f>B26</f>
        <v>SE 34.5</v>
      </c>
      <c r="C33" s="1077"/>
      <c r="D33" s="1170">
        <f t="shared" si="2"/>
        <v>2160</v>
      </c>
      <c r="E33" s="1170">
        <f t="shared" si="2"/>
        <v>2160</v>
      </c>
      <c r="F33" s="1170">
        <f t="shared" si="2"/>
        <v>2160</v>
      </c>
      <c r="G33" s="1170">
        <f t="shared" si="2"/>
        <v>2160</v>
      </c>
      <c r="H33" s="1169">
        <f t="shared" si="2"/>
        <v>2160</v>
      </c>
    </row>
    <row r="34" spans="2:8" hidden="1" outlineLevel="1" x14ac:dyDescent="0.25">
      <c r="B34" s="1171" t="str">
        <f>B27</f>
        <v>LT 230</v>
      </c>
      <c r="C34" s="1077"/>
      <c r="D34" s="1170">
        <f t="shared" si="2"/>
        <v>0</v>
      </c>
      <c r="E34" s="1170">
        <f t="shared" si="2"/>
        <v>54749</v>
      </c>
      <c r="F34" s="1170">
        <f t="shared" si="2"/>
        <v>54749</v>
      </c>
      <c r="G34" s="1170">
        <f t="shared" si="2"/>
        <v>54749</v>
      </c>
      <c r="H34" s="1169">
        <f t="shared" si="2"/>
        <v>54749</v>
      </c>
    </row>
    <row r="35" spans="2:8" ht="15.75" hidden="1" outlineLevel="1" thickBot="1" x14ac:dyDescent="0.3">
      <c r="B35" s="1168" t="str">
        <f>B28</f>
        <v>LT 115</v>
      </c>
      <c r="C35" s="1167"/>
      <c r="D35" s="1166">
        <f t="shared" si="2"/>
        <v>0</v>
      </c>
      <c r="E35" s="1166">
        <f t="shared" si="2"/>
        <v>0</v>
      </c>
      <c r="F35" s="1166">
        <f t="shared" si="2"/>
        <v>0</v>
      </c>
      <c r="G35" s="1166">
        <f t="shared" si="2"/>
        <v>0</v>
      </c>
      <c r="H35" s="1165">
        <f t="shared" si="2"/>
        <v>0</v>
      </c>
    </row>
    <row r="36" spans="2:8" hidden="1" outlineLevel="1" x14ac:dyDescent="0.25">
      <c r="B36" s="1164" t="s">
        <v>348</v>
      </c>
      <c r="C36" s="1163"/>
      <c r="D36" s="1163">
        <f>D$9</f>
        <v>2021</v>
      </c>
      <c r="E36" s="1163">
        <f>E$9</f>
        <v>2022</v>
      </c>
      <c r="F36" s="1163">
        <f>F$9</f>
        <v>2023</v>
      </c>
      <c r="G36" s="1163">
        <f>G$9</f>
        <v>2024</v>
      </c>
      <c r="H36" s="1162">
        <f>H$9</f>
        <v>2025</v>
      </c>
    </row>
    <row r="37" spans="2:8" collapsed="1" x14ac:dyDescent="0.25">
      <c r="B37" s="1175" t="s">
        <v>1637</v>
      </c>
      <c r="C37" s="1174"/>
      <c r="D37" s="1173"/>
      <c r="E37" s="1173">
        <f>SUM(E38:E42)</f>
        <v>678.79307561913606</v>
      </c>
      <c r="F37" s="1173">
        <f>SUM(F38:F42)</f>
        <v>2506.6367601258726</v>
      </c>
      <c r="G37" s="1173">
        <f>SUM(G38:G42)</f>
        <v>2573.4085252542491</v>
      </c>
      <c r="H37" s="1172">
        <f>SUM(H38:H42)</f>
        <v>2959.7165724044698</v>
      </c>
    </row>
    <row r="38" spans="2:8" hidden="1" outlineLevel="1" x14ac:dyDescent="0.25">
      <c r="B38" s="1171" t="str">
        <f>B24</f>
        <v>SE 230</v>
      </c>
      <c r="C38" s="1077"/>
      <c r="D38" s="1170"/>
      <c r="E38" s="1170">
        <f t="shared" ref="E38:H42" si="3">D31*$C$2</f>
        <v>427.36855654294629</v>
      </c>
      <c r="F38" s="1170">
        <f t="shared" si="3"/>
        <v>427.36855654294629</v>
      </c>
      <c r="G38" s="1170">
        <f t="shared" si="3"/>
        <v>494.14032167132257</v>
      </c>
      <c r="H38" s="1169">
        <f t="shared" si="3"/>
        <v>880.44836882154357</v>
      </c>
    </row>
    <row r="39" spans="2:8" hidden="1" outlineLevel="1" x14ac:dyDescent="0.25">
      <c r="B39" s="1171" t="str">
        <f>B25</f>
        <v>SE 115</v>
      </c>
      <c r="C39" s="1077"/>
      <c r="D39" s="1170"/>
      <c r="E39" s="1170">
        <f t="shared" si="3"/>
        <v>179.31101273754331</v>
      </c>
      <c r="F39" s="1170">
        <f t="shared" si="3"/>
        <v>179.31101273754331</v>
      </c>
      <c r="G39" s="1170">
        <f t="shared" si="3"/>
        <v>179.31101273754331</v>
      </c>
      <c r="H39" s="1169">
        <f t="shared" si="3"/>
        <v>179.31101273754331</v>
      </c>
    </row>
    <row r="40" spans="2:8" hidden="1" outlineLevel="1" x14ac:dyDescent="0.25">
      <c r="B40" s="1171" t="str">
        <f>B26</f>
        <v>SE 34.5</v>
      </c>
      <c r="C40" s="1077"/>
      <c r="D40" s="1170"/>
      <c r="E40" s="1170">
        <f t="shared" si="3"/>
        <v>72.113506338646374</v>
      </c>
      <c r="F40" s="1170">
        <f t="shared" si="3"/>
        <v>72.113506338646374</v>
      </c>
      <c r="G40" s="1170">
        <f t="shared" si="3"/>
        <v>72.113506338646374</v>
      </c>
      <c r="H40" s="1169">
        <f t="shared" si="3"/>
        <v>72.113506338646374</v>
      </c>
    </row>
    <row r="41" spans="2:8" hidden="1" outlineLevel="1" x14ac:dyDescent="0.25">
      <c r="B41" s="1171" t="str">
        <f>B27</f>
        <v>LT 230</v>
      </c>
      <c r="C41" s="1077"/>
      <c r="D41" s="1170"/>
      <c r="E41" s="1170">
        <f t="shared" si="3"/>
        <v>0</v>
      </c>
      <c r="F41" s="1170">
        <f t="shared" si="3"/>
        <v>1827.8436845067365</v>
      </c>
      <c r="G41" s="1170">
        <f t="shared" si="3"/>
        <v>1827.8436845067365</v>
      </c>
      <c r="H41" s="1169">
        <f t="shared" si="3"/>
        <v>1827.8436845067365</v>
      </c>
    </row>
    <row r="42" spans="2:8" ht="15.75" hidden="1" outlineLevel="1" thickBot="1" x14ac:dyDescent="0.3">
      <c r="B42" s="1168" t="str">
        <f>B28</f>
        <v>LT 115</v>
      </c>
      <c r="C42" s="1167"/>
      <c r="D42" s="1166"/>
      <c r="E42" s="1166">
        <f t="shared" si="3"/>
        <v>0</v>
      </c>
      <c r="F42" s="1166">
        <f t="shared" si="3"/>
        <v>0</v>
      </c>
      <c r="G42" s="1166">
        <f t="shared" si="3"/>
        <v>0</v>
      </c>
      <c r="H42" s="1165">
        <f t="shared" si="3"/>
        <v>0</v>
      </c>
    </row>
    <row r="43" spans="2:8" hidden="1" outlineLevel="1" x14ac:dyDescent="0.25">
      <c r="B43" s="1164" t="s">
        <v>348</v>
      </c>
      <c r="C43" s="1163"/>
      <c r="D43" s="1163">
        <f>D$9</f>
        <v>2021</v>
      </c>
      <c r="E43" s="1163">
        <f>E$9</f>
        <v>2022</v>
      </c>
      <c r="F43" s="1163">
        <f>F$9</f>
        <v>2023</v>
      </c>
      <c r="G43" s="1163">
        <f>G$9</f>
        <v>2024</v>
      </c>
      <c r="H43" s="1162">
        <f>H$9</f>
        <v>2025</v>
      </c>
    </row>
    <row r="44" spans="2:8" collapsed="1" x14ac:dyDescent="0.25">
      <c r="B44" s="1175" t="s">
        <v>1636</v>
      </c>
      <c r="C44" s="1174"/>
      <c r="D44" s="1173"/>
      <c r="E44" s="1173">
        <f>SUM(E45:E49)</f>
        <v>678.79307561913606</v>
      </c>
      <c r="F44" s="1173">
        <f>SUM(F45:F49)</f>
        <v>3185.4298357450089</v>
      </c>
      <c r="G44" s="1173">
        <f>SUM(G45:G49)</f>
        <v>5758.8383609992579</v>
      </c>
      <c r="H44" s="1172">
        <f>SUM(H45:H49)</f>
        <v>8718.5549334037278</v>
      </c>
    </row>
    <row r="45" spans="2:8" hidden="1" outlineLevel="1" x14ac:dyDescent="0.25">
      <c r="B45" s="1171" t="str">
        <f>B24</f>
        <v>SE 230</v>
      </c>
      <c r="C45" s="1077"/>
      <c r="D45" s="1170"/>
      <c r="E45" s="1170">
        <f t="shared" ref="E45:H49" si="4">D45+E38</f>
        <v>427.36855654294629</v>
      </c>
      <c r="F45" s="1170">
        <f t="shared" si="4"/>
        <v>854.73711308589259</v>
      </c>
      <c r="G45" s="1170">
        <f t="shared" si="4"/>
        <v>1348.8774347572153</v>
      </c>
      <c r="H45" s="1169">
        <f t="shared" si="4"/>
        <v>2229.325803578759</v>
      </c>
    </row>
    <row r="46" spans="2:8" hidden="1" outlineLevel="1" x14ac:dyDescent="0.25">
      <c r="B46" s="1171" t="str">
        <f>B25</f>
        <v>SE 115</v>
      </c>
      <c r="C46" s="1077"/>
      <c r="D46" s="1170"/>
      <c r="E46" s="1170">
        <f t="shared" si="4"/>
        <v>179.31101273754331</v>
      </c>
      <c r="F46" s="1170">
        <f t="shared" si="4"/>
        <v>358.62202547508662</v>
      </c>
      <c r="G46" s="1170">
        <f t="shared" si="4"/>
        <v>537.93303821262998</v>
      </c>
      <c r="H46" s="1169">
        <f t="shared" si="4"/>
        <v>717.24405095017323</v>
      </c>
    </row>
    <row r="47" spans="2:8" hidden="1" outlineLevel="1" x14ac:dyDescent="0.25">
      <c r="B47" s="1171" t="str">
        <f>B26</f>
        <v>SE 34.5</v>
      </c>
      <c r="C47" s="1077"/>
      <c r="D47" s="1170"/>
      <c r="E47" s="1170">
        <f t="shared" si="4"/>
        <v>72.113506338646374</v>
      </c>
      <c r="F47" s="1170">
        <f t="shared" si="4"/>
        <v>144.22701267729275</v>
      </c>
      <c r="G47" s="1170">
        <f t="shared" si="4"/>
        <v>216.34051901593912</v>
      </c>
      <c r="H47" s="1169">
        <f t="shared" si="4"/>
        <v>288.4540253545855</v>
      </c>
    </row>
    <row r="48" spans="2:8" hidden="1" outlineLevel="1" x14ac:dyDescent="0.25">
      <c r="B48" s="1171" t="str">
        <f>B27</f>
        <v>LT 230</v>
      </c>
      <c r="C48" s="1077"/>
      <c r="D48" s="1170"/>
      <c r="E48" s="1170">
        <f t="shared" si="4"/>
        <v>0</v>
      </c>
      <c r="F48" s="1170">
        <f t="shared" si="4"/>
        <v>1827.8436845067365</v>
      </c>
      <c r="G48" s="1170">
        <f t="shared" si="4"/>
        <v>3655.687369013473</v>
      </c>
      <c r="H48" s="1169">
        <f t="shared" si="4"/>
        <v>5483.5310535202098</v>
      </c>
    </row>
    <row r="49" spans="2:8" ht="15.75" hidden="1" outlineLevel="1" thickBot="1" x14ac:dyDescent="0.3">
      <c r="B49" s="1168" t="str">
        <f>B28</f>
        <v>LT 115</v>
      </c>
      <c r="C49" s="1167"/>
      <c r="D49" s="1166"/>
      <c r="E49" s="1166">
        <f t="shared" si="4"/>
        <v>0</v>
      </c>
      <c r="F49" s="1166">
        <f t="shared" si="4"/>
        <v>0</v>
      </c>
      <c r="G49" s="1166">
        <f t="shared" si="4"/>
        <v>0</v>
      </c>
      <c r="H49" s="1165">
        <f t="shared" si="4"/>
        <v>0</v>
      </c>
    </row>
    <row r="50" spans="2:8" hidden="1" outlineLevel="1" x14ac:dyDescent="0.25">
      <c r="B50" s="1164" t="s">
        <v>348</v>
      </c>
      <c r="C50" s="1163"/>
      <c r="D50" s="1163">
        <f>D$9</f>
        <v>2021</v>
      </c>
      <c r="E50" s="1163">
        <f>E$9</f>
        <v>2022</v>
      </c>
      <c r="F50" s="1163">
        <f>F$9</f>
        <v>2023</v>
      </c>
      <c r="G50" s="1163">
        <f>G$9</f>
        <v>2024</v>
      </c>
      <c r="H50" s="1162">
        <f>H$9</f>
        <v>2025</v>
      </c>
    </row>
    <row r="51" spans="2:8" collapsed="1" x14ac:dyDescent="0.25">
      <c r="B51" s="1175" t="s">
        <v>138</v>
      </c>
      <c r="C51" s="1174"/>
      <c r="D51" s="1173"/>
      <c r="E51" s="1173">
        <f>SUM(E52:E56)</f>
        <v>74401.946674380859</v>
      </c>
      <c r="F51" s="1173">
        <f>SUM(F52:F56)</f>
        <v>73895.309914254991</v>
      </c>
      <c r="G51" s="1173">
        <f>SUM(G52:G56)</f>
        <v>82892.901389000748</v>
      </c>
      <c r="H51" s="1172">
        <f>SUM(H52:H56)</f>
        <v>79933.184816596273</v>
      </c>
    </row>
    <row r="52" spans="2:8" hidden="1" outlineLevel="1" x14ac:dyDescent="0.25">
      <c r="B52" s="1171" t="str">
        <f>B24</f>
        <v>SE 230</v>
      </c>
      <c r="C52" s="1077"/>
      <c r="D52" s="1170"/>
      <c r="E52" s="1170">
        <f t="shared" ref="E52:H56" si="5">E31-E45</f>
        <v>12373.507853457055</v>
      </c>
      <c r="F52" s="1170">
        <f t="shared" si="5"/>
        <v>13946.139296914109</v>
      </c>
      <c r="G52" s="1170">
        <f t="shared" si="5"/>
        <v>25022.998975242786</v>
      </c>
      <c r="H52" s="1169">
        <f t="shared" si="5"/>
        <v>24142.550606421242</v>
      </c>
    </row>
    <row r="53" spans="2:8" hidden="1" outlineLevel="1" x14ac:dyDescent="0.25">
      <c r="B53" s="1171" t="str">
        <f>B25</f>
        <v>SE 115</v>
      </c>
      <c r="C53" s="1077"/>
      <c r="D53" s="1170"/>
      <c r="E53" s="1170">
        <f t="shared" si="5"/>
        <v>5191.5523272624578</v>
      </c>
      <c r="F53" s="1170">
        <f t="shared" si="5"/>
        <v>5012.2413145249138</v>
      </c>
      <c r="G53" s="1170">
        <f t="shared" si="5"/>
        <v>4832.9303017873708</v>
      </c>
      <c r="H53" s="1169">
        <f t="shared" si="5"/>
        <v>4653.6192890498278</v>
      </c>
    </row>
    <row r="54" spans="2:8" hidden="1" outlineLevel="1" x14ac:dyDescent="0.25">
      <c r="B54" s="1171" t="str">
        <f>B26</f>
        <v>SE 34.5</v>
      </c>
      <c r="C54" s="1077"/>
      <c r="D54" s="1170"/>
      <c r="E54" s="1170">
        <f t="shared" si="5"/>
        <v>2087.8864936613536</v>
      </c>
      <c r="F54" s="1170">
        <f t="shared" si="5"/>
        <v>2015.7729873227072</v>
      </c>
      <c r="G54" s="1170">
        <f t="shared" si="5"/>
        <v>1943.6594809840608</v>
      </c>
      <c r="H54" s="1169">
        <f t="shared" si="5"/>
        <v>1871.5459746454144</v>
      </c>
    </row>
    <row r="55" spans="2:8" hidden="1" outlineLevel="1" x14ac:dyDescent="0.25">
      <c r="B55" s="1171" t="str">
        <f>B27</f>
        <v>LT 230</v>
      </c>
      <c r="C55" s="1077"/>
      <c r="D55" s="1170"/>
      <c r="E55" s="1170">
        <f t="shared" si="5"/>
        <v>54749</v>
      </c>
      <c r="F55" s="1170">
        <f t="shared" si="5"/>
        <v>52921.156315493266</v>
      </c>
      <c r="G55" s="1170">
        <f t="shared" si="5"/>
        <v>51093.312630986526</v>
      </c>
      <c r="H55" s="1169">
        <f t="shared" si="5"/>
        <v>49265.468946479792</v>
      </c>
    </row>
    <row r="56" spans="2:8" ht="15.75" hidden="1" outlineLevel="1" thickBot="1" x14ac:dyDescent="0.3">
      <c r="B56" s="1168" t="str">
        <f>B28</f>
        <v>LT 115</v>
      </c>
      <c r="C56" s="1167"/>
      <c r="D56" s="1166"/>
      <c r="E56" s="1166">
        <f t="shared" si="5"/>
        <v>0</v>
      </c>
      <c r="F56" s="1166">
        <f t="shared" si="5"/>
        <v>0</v>
      </c>
      <c r="G56" s="1166">
        <f t="shared" si="5"/>
        <v>0</v>
      </c>
      <c r="H56" s="1165">
        <f t="shared" si="5"/>
        <v>0</v>
      </c>
    </row>
    <row r="57" spans="2:8" hidden="1" outlineLevel="1" x14ac:dyDescent="0.25">
      <c r="B57" s="1164" t="s">
        <v>348</v>
      </c>
      <c r="C57" s="1163"/>
      <c r="D57" s="1163">
        <f>D$9</f>
        <v>2021</v>
      </c>
      <c r="E57" s="1163">
        <f>E$9</f>
        <v>2022</v>
      </c>
      <c r="F57" s="1163">
        <f>F$9</f>
        <v>2023</v>
      </c>
      <c r="G57" s="1163">
        <f>G$9</f>
        <v>2024</v>
      </c>
      <c r="H57" s="1162">
        <f>H$9</f>
        <v>2025</v>
      </c>
    </row>
    <row r="58" spans="2:8" collapsed="1" x14ac:dyDescent="0.25">
      <c r="B58" s="1175" t="s">
        <v>1635</v>
      </c>
      <c r="C58" s="1174"/>
      <c r="D58" s="1173"/>
      <c r="E58" s="1173">
        <f>SUM(E59:E63)</f>
        <v>0</v>
      </c>
      <c r="F58" s="1173">
        <f>SUM(F59:F63)</f>
        <v>5431.3421072298024</v>
      </c>
      <c r="G58" s="1173">
        <f>SUM(G59:G63)</f>
        <v>5394.3576237406141</v>
      </c>
      <c r="H58" s="1172">
        <f>SUM(H59:H63)</f>
        <v>6051.1818013970542</v>
      </c>
    </row>
    <row r="59" spans="2:8" hidden="1" outlineLevel="1" x14ac:dyDescent="0.25">
      <c r="B59" s="1171" t="str">
        <f>B24</f>
        <v>SE 230</v>
      </c>
      <c r="C59" s="1077"/>
      <c r="D59" s="1170"/>
      <c r="E59" s="1170">
        <f t="shared" ref="E59:H63" si="6">D52*$C$3</f>
        <v>0</v>
      </c>
      <c r="F59" s="1170">
        <f t="shared" si="6"/>
        <v>903.26607330236493</v>
      </c>
      <c r="G59" s="1170">
        <f t="shared" si="6"/>
        <v>1018.0681686747299</v>
      </c>
      <c r="H59" s="1169">
        <f t="shared" si="6"/>
        <v>1826.6789251927232</v>
      </c>
    </row>
    <row r="60" spans="2:8" hidden="1" outlineLevel="1" x14ac:dyDescent="0.25">
      <c r="B60" s="1171" t="str">
        <f>B25</f>
        <v>SE 115</v>
      </c>
      <c r="C60" s="1077"/>
      <c r="D60" s="1170"/>
      <c r="E60" s="1170">
        <f t="shared" si="6"/>
        <v>0</v>
      </c>
      <c r="F60" s="1170">
        <f t="shared" si="6"/>
        <v>378.98331989015941</v>
      </c>
      <c r="G60" s="1170">
        <f t="shared" si="6"/>
        <v>365.8936159603187</v>
      </c>
      <c r="H60" s="1169">
        <f t="shared" si="6"/>
        <v>352.80391203047805</v>
      </c>
    </row>
    <row r="61" spans="2:8" hidden="1" outlineLevel="1" x14ac:dyDescent="0.25">
      <c r="B61" s="1171" t="str">
        <f>B26</f>
        <v>SE 34.5</v>
      </c>
      <c r="C61" s="1077"/>
      <c r="D61" s="1170"/>
      <c r="E61" s="1170">
        <f t="shared" si="6"/>
        <v>0</v>
      </c>
      <c r="F61" s="1170">
        <f t="shared" si="6"/>
        <v>152.4157140372788</v>
      </c>
      <c r="G61" s="1170">
        <f t="shared" si="6"/>
        <v>147.15142807455763</v>
      </c>
      <c r="H61" s="1169">
        <f t="shared" si="6"/>
        <v>141.88714211183643</v>
      </c>
    </row>
    <row r="62" spans="2:8" hidden="1" outlineLevel="1" x14ac:dyDescent="0.25">
      <c r="B62" s="1171" t="str">
        <f>B27</f>
        <v>LT 230</v>
      </c>
      <c r="C62" s="1077"/>
      <c r="D62" s="1170"/>
      <c r="E62" s="1170">
        <f t="shared" si="6"/>
        <v>0</v>
      </c>
      <c r="F62" s="1170">
        <f t="shared" si="6"/>
        <v>3996.6769999999997</v>
      </c>
      <c r="G62" s="1170">
        <f t="shared" si="6"/>
        <v>3863.244411031008</v>
      </c>
      <c r="H62" s="1169">
        <f t="shared" si="6"/>
        <v>3729.8118220620163</v>
      </c>
    </row>
    <row r="63" spans="2:8" ht="15.75" hidden="1" outlineLevel="1" thickBot="1" x14ac:dyDescent="0.3">
      <c r="B63" s="1168" t="str">
        <f>B28</f>
        <v>LT 115</v>
      </c>
      <c r="C63" s="1167"/>
      <c r="D63" s="1166"/>
      <c r="E63" s="1166">
        <f t="shared" si="6"/>
        <v>0</v>
      </c>
      <c r="F63" s="1166">
        <f t="shared" si="6"/>
        <v>0</v>
      </c>
      <c r="G63" s="1166">
        <f t="shared" si="6"/>
        <v>0</v>
      </c>
      <c r="H63" s="1165">
        <f t="shared" si="6"/>
        <v>0</v>
      </c>
    </row>
    <row r="64" spans="2:8" hidden="1" outlineLevel="1" x14ac:dyDescent="0.25">
      <c r="B64" s="1164" t="s">
        <v>348</v>
      </c>
      <c r="C64" s="1163"/>
      <c r="D64" s="1163">
        <f>D$9</f>
        <v>2021</v>
      </c>
      <c r="E64" s="1163">
        <f>E$9</f>
        <v>2022</v>
      </c>
      <c r="F64" s="1163">
        <f>F$9</f>
        <v>2023</v>
      </c>
      <c r="G64" s="1163">
        <f>G$9</f>
        <v>2024</v>
      </c>
      <c r="H64" s="1162">
        <f>H$9</f>
        <v>2025</v>
      </c>
    </row>
    <row r="65" spans="2:8" collapsed="1" x14ac:dyDescent="0.25">
      <c r="B65" s="1175" t="s">
        <v>23</v>
      </c>
      <c r="C65" s="1174"/>
      <c r="D65" s="1173"/>
      <c r="E65" s="1173">
        <f>SUM(E66:E70)</f>
        <v>380.20353332500002</v>
      </c>
      <c r="F65" s="1173">
        <f>SUM(F66:F70)</f>
        <v>1404.009833325</v>
      </c>
      <c r="G65" s="1173">
        <f>SUM(G66:G70)</f>
        <v>1441.4098333250001</v>
      </c>
      <c r="H65" s="1172">
        <f>SUM(H66:H70)</f>
        <v>1657.7875333250004</v>
      </c>
    </row>
    <row r="66" spans="2:8" hidden="1" outlineLevel="1" x14ac:dyDescent="0.25">
      <c r="B66" s="1171" t="str">
        <f>B24</f>
        <v>SE 230</v>
      </c>
      <c r="C66" s="1077"/>
      <c r="D66" s="1170"/>
      <c r="E66" s="1170">
        <f t="shared" ref="E66:H70" si="7">D31*$C$4</f>
        <v>239.37638886700003</v>
      </c>
      <c r="F66" s="1170">
        <f t="shared" si="7"/>
        <v>239.37638886700003</v>
      </c>
      <c r="G66" s="1170">
        <f t="shared" si="7"/>
        <v>276.77638886700004</v>
      </c>
      <c r="H66" s="1169">
        <f t="shared" si="7"/>
        <v>493.15408886700004</v>
      </c>
    </row>
    <row r="67" spans="2:8" hidden="1" outlineLevel="1" x14ac:dyDescent="0.25">
      <c r="B67" s="1171" t="str">
        <f>B25</f>
        <v>SE 115</v>
      </c>
      <c r="C67" s="1077"/>
      <c r="D67" s="1170"/>
      <c r="E67" s="1170">
        <f t="shared" si="7"/>
        <v>100.43514445800002</v>
      </c>
      <c r="F67" s="1170">
        <f t="shared" si="7"/>
        <v>100.43514445800002</v>
      </c>
      <c r="G67" s="1170">
        <f t="shared" si="7"/>
        <v>100.43514445800002</v>
      </c>
      <c r="H67" s="1169">
        <f t="shared" si="7"/>
        <v>100.43514445800002</v>
      </c>
    </row>
    <row r="68" spans="2:8" hidden="1" outlineLevel="1" x14ac:dyDescent="0.25">
      <c r="B68" s="1171" t="str">
        <f>B26</f>
        <v>SE 34.5</v>
      </c>
      <c r="C68" s="1077"/>
      <c r="D68" s="1170"/>
      <c r="E68" s="1170">
        <f t="shared" si="7"/>
        <v>40.392000000000003</v>
      </c>
      <c r="F68" s="1170">
        <f t="shared" si="7"/>
        <v>40.392000000000003</v>
      </c>
      <c r="G68" s="1170">
        <f t="shared" si="7"/>
        <v>40.392000000000003</v>
      </c>
      <c r="H68" s="1169">
        <f t="shared" si="7"/>
        <v>40.392000000000003</v>
      </c>
    </row>
    <row r="69" spans="2:8" hidden="1" outlineLevel="1" x14ac:dyDescent="0.25">
      <c r="B69" s="1171" t="str">
        <f>B27</f>
        <v>LT 230</v>
      </c>
      <c r="C69" s="1077"/>
      <c r="D69" s="1170"/>
      <c r="E69" s="1170">
        <f t="shared" si="7"/>
        <v>0</v>
      </c>
      <c r="F69" s="1170">
        <f t="shared" si="7"/>
        <v>1023.8063000000001</v>
      </c>
      <c r="G69" s="1170">
        <f t="shared" si="7"/>
        <v>1023.8063000000001</v>
      </c>
      <c r="H69" s="1169">
        <f t="shared" si="7"/>
        <v>1023.8063000000001</v>
      </c>
    </row>
    <row r="70" spans="2:8" ht="15.75" hidden="1" outlineLevel="1" thickBot="1" x14ac:dyDescent="0.3">
      <c r="B70" s="1168" t="str">
        <f>B28</f>
        <v>LT 115</v>
      </c>
      <c r="C70" s="1167"/>
      <c r="D70" s="1166"/>
      <c r="E70" s="1166">
        <f t="shared" si="7"/>
        <v>0</v>
      </c>
      <c r="F70" s="1166">
        <f t="shared" si="7"/>
        <v>0</v>
      </c>
      <c r="G70" s="1166">
        <f t="shared" si="7"/>
        <v>0</v>
      </c>
      <c r="H70" s="1165">
        <f t="shared" si="7"/>
        <v>0</v>
      </c>
    </row>
    <row r="71" spans="2:8" hidden="1" outlineLevel="1" x14ac:dyDescent="0.25">
      <c r="B71" s="1164" t="s">
        <v>348</v>
      </c>
      <c r="C71" s="1163"/>
      <c r="D71" s="1163">
        <f>D$9</f>
        <v>2021</v>
      </c>
      <c r="E71" s="1163">
        <f>E$9</f>
        <v>2022</v>
      </c>
      <c r="F71" s="1163">
        <f>F$9</f>
        <v>2023</v>
      </c>
      <c r="G71" s="1163">
        <f>G$9</f>
        <v>2024</v>
      </c>
      <c r="H71" s="1162">
        <f>H$9</f>
        <v>2025</v>
      </c>
    </row>
    <row r="72" spans="2:8" collapsed="1" x14ac:dyDescent="0.25">
      <c r="B72" s="1175" t="s">
        <v>24</v>
      </c>
      <c r="C72" s="1174"/>
      <c r="D72" s="1173"/>
      <c r="E72" s="1173">
        <f>SUM(E73:E77)</f>
        <v>268.37896469999998</v>
      </c>
      <c r="F72" s="1173">
        <f>SUM(F73:F77)</f>
        <v>991.06576469999993</v>
      </c>
      <c r="G72" s="1173">
        <f>SUM(G73:G77)</f>
        <v>1017.4657646999999</v>
      </c>
      <c r="H72" s="1172">
        <f>SUM(H73:H77)</f>
        <v>1170.2029646999999</v>
      </c>
    </row>
    <row r="73" spans="2:8" hidden="1" outlineLevel="1" x14ac:dyDescent="0.25">
      <c r="B73" s="1171" t="str">
        <f>B24</f>
        <v>SE 230</v>
      </c>
      <c r="C73" s="1077"/>
      <c r="D73" s="1170"/>
      <c r="E73" s="1170">
        <f t="shared" ref="E73:H77" si="8">D31*$C$5</f>
        <v>168.971568612</v>
      </c>
      <c r="F73" s="1170">
        <f t="shared" si="8"/>
        <v>168.971568612</v>
      </c>
      <c r="G73" s="1170">
        <f t="shared" si="8"/>
        <v>195.371568612</v>
      </c>
      <c r="H73" s="1169">
        <f t="shared" si="8"/>
        <v>348.10876861200001</v>
      </c>
    </row>
    <row r="74" spans="2:8" hidden="1" outlineLevel="1" x14ac:dyDescent="0.25">
      <c r="B74" s="1171" t="str">
        <f>B25</f>
        <v>SE 115</v>
      </c>
      <c r="C74" s="1077"/>
      <c r="D74" s="1170"/>
      <c r="E74" s="1170">
        <f t="shared" si="8"/>
        <v>70.895396088000012</v>
      </c>
      <c r="F74" s="1170">
        <f t="shared" si="8"/>
        <v>70.895396088000012</v>
      </c>
      <c r="G74" s="1170">
        <f t="shared" si="8"/>
        <v>70.895396088000012</v>
      </c>
      <c r="H74" s="1169">
        <f t="shared" si="8"/>
        <v>70.895396088000012</v>
      </c>
    </row>
    <row r="75" spans="2:8" hidden="1" outlineLevel="1" x14ac:dyDescent="0.25">
      <c r="B75" s="1171" t="str">
        <f>B26</f>
        <v>SE 34.5</v>
      </c>
      <c r="C75" s="1077"/>
      <c r="D75" s="1170"/>
      <c r="E75" s="1170">
        <f t="shared" si="8"/>
        <v>28.512</v>
      </c>
      <c r="F75" s="1170">
        <f t="shared" si="8"/>
        <v>28.512</v>
      </c>
      <c r="G75" s="1170">
        <f t="shared" si="8"/>
        <v>28.512</v>
      </c>
      <c r="H75" s="1169">
        <f t="shared" si="8"/>
        <v>28.512</v>
      </c>
    </row>
    <row r="76" spans="2:8" hidden="1" outlineLevel="1" x14ac:dyDescent="0.25">
      <c r="B76" s="1171" t="str">
        <f>B27</f>
        <v>LT 230</v>
      </c>
      <c r="C76" s="1077"/>
      <c r="D76" s="1170"/>
      <c r="E76" s="1170">
        <f t="shared" si="8"/>
        <v>0</v>
      </c>
      <c r="F76" s="1170">
        <f t="shared" si="8"/>
        <v>722.68679999999995</v>
      </c>
      <c r="G76" s="1170">
        <f t="shared" si="8"/>
        <v>722.68679999999995</v>
      </c>
      <c r="H76" s="1169">
        <f t="shared" si="8"/>
        <v>722.68679999999995</v>
      </c>
    </row>
    <row r="77" spans="2:8" ht="15.75" hidden="1" outlineLevel="1" thickBot="1" x14ac:dyDescent="0.3">
      <c r="B77" s="1168" t="str">
        <f>B28</f>
        <v>LT 115</v>
      </c>
      <c r="C77" s="1167"/>
      <c r="D77" s="1166"/>
      <c r="E77" s="1166">
        <f t="shared" si="8"/>
        <v>0</v>
      </c>
      <c r="F77" s="1166">
        <f t="shared" si="8"/>
        <v>0</v>
      </c>
      <c r="G77" s="1166">
        <f t="shared" si="8"/>
        <v>0</v>
      </c>
      <c r="H77" s="1165">
        <f t="shared" si="8"/>
        <v>0</v>
      </c>
    </row>
    <row r="78" spans="2:8" hidden="1" outlineLevel="1" x14ac:dyDescent="0.25">
      <c r="B78" s="1164" t="s">
        <v>348</v>
      </c>
      <c r="C78" s="1163"/>
      <c r="D78" s="1163">
        <f>D$9</f>
        <v>2021</v>
      </c>
      <c r="E78" s="1163">
        <f>E$9</f>
        <v>2022</v>
      </c>
      <c r="F78" s="1163">
        <f>F$9</f>
        <v>2023</v>
      </c>
      <c r="G78" s="1163">
        <f>G$9</f>
        <v>2024</v>
      </c>
      <c r="H78" s="1162">
        <f>H$9</f>
        <v>2025</v>
      </c>
    </row>
    <row r="79" spans="2:8" collapsed="1" x14ac:dyDescent="0.25">
      <c r="B79" s="1175" t="s">
        <v>1644</v>
      </c>
      <c r="C79" s="1174"/>
      <c r="D79" s="1173"/>
      <c r="E79" s="1173">
        <f>SUM(E80:E84)</f>
        <v>1327.375573644136</v>
      </c>
      <c r="F79" s="1173">
        <f>SUM(F80:F84)</f>
        <v>10333.054465380676</v>
      </c>
      <c r="G79" s="1173">
        <f>SUM(G80:G84)</f>
        <v>10426.641747019863</v>
      </c>
      <c r="H79" s="1172">
        <f>SUM(H80:H84)</f>
        <v>11838.888871826523</v>
      </c>
    </row>
    <row r="80" spans="2:8" hidden="1" outlineLevel="1" x14ac:dyDescent="0.25">
      <c r="B80" s="1171" t="str">
        <f>B24</f>
        <v>SE 230</v>
      </c>
      <c r="C80" s="1077"/>
      <c r="D80" s="1170"/>
      <c r="E80" s="1170">
        <f t="shared" ref="E80:H84" si="9">E38+E59+E66+E73</f>
        <v>835.7165140219463</v>
      </c>
      <c r="F80" s="1170">
        <f t="shared" si="9"/>
        <v>1738.9825873243115</v>
      </c>
      <c r="G80" s="1170">
        <f t="shared" si="9"/>
        <v>1984.3564478250523</v>
      </c>
      <c r="H80" s="1169">
        <f t="shared" si="9"/>
        <v>3548.3901514932668</v>
      </c>
    </row>
    <row r="81" spans="1:12" hidden="1" outlineLevel="1" x14ac:dyDescent="0.25">
      <c r="B81" s="1171" t="str">
        <f>B25</f>
        <v>SE 115</v>
      </c>
      <c r="C81" s="1077"/>
      <c r="D81" s="1170"/>
      <c r="E81" s="1170">
        <f t="shared" si="9"/>
        <v>350.64155328354332</v>
      </c>
      <c r="F81" s="1170">
        <f t="shared" si="9"/>
        <v>729.62487317370267</v>
      </c>
      <c r="G81" s="1170">
        <f t="shared" si="9"/>
        <v>716.53516924386201</v>
      </c>
      <c r="H81" s="1169">
        <f t="shared" si="9"/>
        <v>703.44546531402136</v>
      </c>
    </row>
    <row r="82" spans="1:12" hidden="1" outlineLevel="1" x14ac:dyDescent="0.25">
      <c r="B82" s="1171" t="str">
        <f>B26</f>
        <v>SE 34.5</v>
      </c>
      <c r="C82" s="1077"/>
      <c r="D82" s="1170"/>
      <c r="E82" s="1170">
        <f t="shared" si="9"/>
        <v>141.01750633864637</v>
      </c>
      <c r="F82" s="1170">
        <f t="shared" si="9"/>
        <v>293.4332203759252</v>
      </c>
      <c r="G82" s="1170">
        <f t="shared" si="9"/>
        <v>288.168934413204</v>
      </c>
      <c r="H82" s="1169">
        <f t="shared" si="9"/>
        <v>282.9046484504828</v>
      </c>
    </row>
    <row r="83" spans="1:12" hidden="1" outlineLevel="1" x14ac:dyDescent="0.25">
      <c r="B83" s="1171" t="str">
        <f>B27</f>
        <v>LT 230</v>
      </c>
      <c r="C83" s="1077"/>
      <c r="D83" s="1170"/>
      <c r="E83" s="1170">
        <f t="shared" si="9"/>
        <v>0</v>
      </c>
      <c r="F83" s="1170">
        <f t="shared" si="9"/>
        <v>7571.0137845067366</v>
      </c>
      <c r="G83" s="1170">
        <f t="shared" si="9"/>
        <v>7437.5811955377449</v>
      </c>
      <c r="H83" s="1169">
        <f t="shared" si="9"/>
        <v>7304.1486065687532</v>
      </c>
    </row>
    <row r="84" spans="1:12" ht="15.75" hidden="1" outlineLevel="1" thickBot="1" x14ac:dyDescent="0.3">
      <c r="B84" s="1168" t="str">
        <f>B28</f>
        <v>LT 115</v>
      </c>
      <c r="C84" s="1167"/>
      <c r="D84" s="1166"/>
      <c r="E84" s="1166">
        <f t="shared" si="9"/>
        <v>0</v>
      </c>
      <c r="F84" s="1166">
        <f t="shared" si="9"/>
        <v>0</v>
      </c>
      <c r="G84" s="1166">
        <f t="shared" si="9"/>
        <v>0</v>
      </c>
      <c r="H84" s="1165">
        <f t="shared" si="9"/>
        <v>0</v>
      </c>
    </row>
    <row r="85" spans="1:12" hidden="1" outlineLevel="1" x14ac:dyDescent="0.25"/>
    <row r="86" spans="1:12" collapsed="1" x14ac:dyDescent="0.25"/>
    <row r="87" spans="1:12" ht="15.75" thickBot="1" x14ac:dyDescent="0.3"/>
    <row r="88" spans="1:12" x14ac:dyDescent="0.25">
      <c r="B88" s="1164" t="s">
        <v>1643</v>
      </c>
      <c r="C88" s="1180"/>
      <c r="D88" s="1163">
        <f>D$9</f>
        <v>2021</v>
      </c>
      <c r="E88" s="1163">
        <f>E$9</f>
        <v>2022</v>
      </c>
      <c r="F88" s="1163">
        <f>F$9</f>
        <v>2023</v>
      </c>
      <c r="G88" s="1163">
        <f>G$9</f>
        <v>2024</v>
      </c>
      <c r="H88" s="1163">
        <f>H$9</f>
        <v>2025</v>
      </c>
      <c r="I88" s="1162" t="s">
        <v>28</v>
      </c>
    </row>
    <row r="89" spans="1:12" x14ac:dyDescent="0.25">
      <c r="A89" t="s">
        <v>1642</v>
      </c>
      <c r="B89" s="1179" t="s">
        <v>1000</v>
      </c>
      <c r="C89" s="1077"/>
      <c r="D89" s="1170">
        <f>INDEX('Base ETESA'!$AJ89:$AJ114,MATCH($B89,'Base ETESA'!$BG89:$BG114,0),1)/1000</f>
        <v>4328.3156100000015</v>
      </c>
      <c r="E89" s="1170">
        <f>INDEX('Base ETESA'!$AQ89:$AQ114,MATCH($B89,'Base ETESA'!$BG89:$BG114,0),1)/1000</f>
        <v>0</v>
      </c>
      <c r="F89" s="1170">
        <f>INDEX('Base ETESA'!$AX89:$AX114,MATCH($B89,'Base ETESA'!$BG89:$BG114,0),1)/1000</f>
        <v>1319.8581999999983</v>
      </c>
      <c r="G89" s="1170">
        <f>INDEX('Base ETESA'!$BE89:$BE114,MATCH($B89,'Base ETESA'!$BG89:$BG114,0),1)/1000</f>
        <v>0</v>
      </c>
      <c r="H89" s="1077"/>
      <c r="I89" s="1172">
        <f t="shared" ref="I89:I100" si="10">SUM(C89:H89)</f>
        <v>5648.1738100000002</v>
      </c>
      <c r="J89" s="108"/>
      <c r="L89" s="915" t="s">
        <v>942</v>
      </c>
    </row>
    <row r="90" spans="1:12" x14ac:dyDescent="0.25">
      <c r="A90" t="s">
        <v>1642</v>
      </c>
      <c r="B90" s="1179" t="s">
        <v>1670</v>
      </c>
      <c r="C90" s="1077"/>
      <c r="D90" s="1232"/>
      <c r="E90" s="1232"/>
      <c r="F90" s="1232"/>
      <c r="G90" s="1232">
        <f>'Base ETESA'!BE63/1000</f>
        <v>6935.7059099999924</v>
      </c>
      <c r="H90" s="1077"/>
      <c r="I90" s="1172">
        <f t="shared" si="10"/>
        <v>6935.7059099999924</v>
      </c>
      <c r="J90" s="108"/>
      <c r="L90" s="915" t="s">
        <v>944</v>
      </c>
    </row>
    <row r="91" spans="1:12" x14ac:dyDescent="0.25">
      <c r="A91" t="s">
        <v>1641</v>
      </c>
      <c r="B91" s="1179" t="s">
        <v>946</v>
      </c>
      <c r="C91" s="1077"/>
      <c r="D91" s="1170">
        <f>INDEX('Base ETESA'!$AJ90:$AJ115,MATCH($B91,'Base ETESA'!$BG90:$BG115,0),1)/1000</f>
        <v>-27.462809999999589</v>
      </c>
      <c r="E91" s="1170">
        <f>INDEX('Base ETESA'!$AQ90:$AQ115,MATCH($B91,'Base ETESA'!$BG90:$BG115,0),1)/1000</f>
        <v>0</v>
      </c>
      <c r="F91" s="1170">
        <f>INDEX('Base ETESA'!$AX90:$AX115,MATCH($B91,'Base ETESA'!$BG90:$BG115,0),1)/1000</f>
        <v>0</v>
      </c>
      <c r="G91" s="1170">
        <f>INDEX('Base ETESA'!$BE90:$BE115,MATCH($B91,'Base ETESA'!$BG90:$BG115,0),1)/1000</f>
        <v>0</v>
      </c>
      <c r="H91" s="1077"/>
      <c r="I91" s="1172">
        <f t="shared" si="10"/>
        <v>-27.462809999999589</v>
      </c>
      <c r="J91" s="108"/>
      <c r="L91" s="930" t="s">
        <v>1000</v>
      </c>
    </row>
    <row r="92" spans="1:12" x14ac:dyDescent="0.25">
      <c r="A92" t="s">
        <v>1641</v>
      </c>
      <c r="B92" s="1179" t="s">
        <v>947</v>
      </c>
      <c r="C92" s="1077"/>
      <c r="D92" s="1170">
        <f>INDEX('Base ETESA'!$AJ91:$AJ116,MATCH($B92,'Base ETESA'!$BG91:$BG116,0),1)/1000</f>
        <v>-246.06357000000403</v>
      </c>
      <c r="E92" s="1170">
        <f>INDEX('Base ETESA'!$AQ91:$AQ116,MATCH($B92,'Base ETESA'!$BG91:$BG116,0),1)/1000</f>
        <v>0</v>
      </c>
      <c r="F92" s="1170">
        <f>INDEX('Base ETESA'!$AX91:$AX116,MATCH($B92,'Base ETESA'!$BG91:$BG116,0),1)/1000</f>
        <v>0</v>
      </c>
      <c r="G92" s="1170">
        <f>INDEX('Base ETESA'!$BE91:$BE116,MATCH($B92,'Base ETESA'!$BG91:$BG116,0),1)/1000</f>
        <v>0</v>
      </c>
      <c r="H92" s="1077"/>
      <c r="I92" s="1172">
        <f t="shared" si="10"/>
        <v>-246.06357000000403</v>
      </c>
      <c r="J92" s="108"/>
      <c r="L92" s="941" t="s">
        <v>1207</v>
      </c>
    </row>
    <row r="93" spans="1:12" x14ac:dyDescent="0.25">
      <c r="A93" t="s">
        <v>1640</v>
      </c>
      <c r="B93" s="1179" t="s">
        <v>952</v>
      </c>
      <c r="C93" s="1077"/>
      <c r="D93" s="1170">
        <f>INDEX('Base ETESA'!$AJ91:$AJ116,MATCH($B93,'Base ETESA'!$BG91:$BG116,0),1)/1000</f>
        <v>1.2000000011175871E-4</v>
      </c>
      <c r="E93" s="1170">
        <f>INDEX('Base ETESA'!$AQ91:$AQ116,MATCH($B93,'Base ETESA'!$BG91:$BG116,0),1)/1000</f>
        <v>0</v>
      </c>
      <c r="F93" s="1170">
        <f>INDEX('Base ETESA'!$AX91:$AX116,MATCH($B93,'Base ETESA'!$BG91:$BG116,0),1)/1000</f>
        <v>0</v>
      </c>
      <c r="G93" s="1170">
        <f>INDEX('Base ETESA'!$BE91:$BE116,MATCH($B93,'Base ETESA'!$BG91:$BG116,0),1)/1000</f>
        <v>74.133239999999873</v>
      </c>
      <c r="H93" s="1077"/>
      <c r="I93" s="1172">
        <f t="shared" ref="I93" si="11">SUM(C93:H93)</f>
        <v>74.133359999999982</v>
      </c>
      <c r="J93" s="108"/>
      <c r="L93" s="941"/>
    </row>
    <row r="94" spans="1:12" x14ac:dyDescent="0.25">
      <c r="A94" t="s">
        <v>1640</v>
      </c>
      <c r="B94" s="1179" t="s">
        <v>951</v>
      </c>
      <c r="C94" s="1077"/>
      <c r="D94" s="1170">
        <f>INDEX('Base ETESA'!$AJ92:$AJ117,MATCH($B94,'Base ETESA'!$BG92:$BG117,0),1)/1000</f>
        <v>-28.06376000000164</v>
      </c>
      <c r="E94" s="1170">
        <f>INDEX('Base ETESA'!$AQ92:$AQ117,MATCH($B94,'Base ETESA'!$BG92:$BG117,0),1)/1000</f>
        <v>0</v>
      </c>
      <c r="F94" s="1170">
        <f>INDEX('Base ETESA'!$AX92:$AX117,MATCH($B94,'Base ETESA'!$BG92:$BG117,0),1)/1000</f>
        <v>0</v>
      </c>
      <c r="G94" s="1170">
        <f>INDEX('Base ETESA'!$BE92:$BE117,MATCH($B94,'Base ETESA'!$BG92:$BG117,0),1)/1000</f>
        <v>38.200000000000934</v>
      </c>
      <c r="H94" s="1077"/>
      <c r="I94" s="1172">
        <f t="shared" si="10"/>
        <v>10.136239999999294</v>
      </c>
      <c r="J94" s="108"/>
      <c r="L94" s="939" t="s">
        <v>196</v>
      </c>
    </row>
    <row r="95" spans="1:12" x14ac:dyDescent="0.25">
      <c r="A95" t="s">
        <v>1640</v>
      </c>
      <c r="B95" s="1179" t="s">
        <v>953</v>
      </c>
      <c r="C95" s="1077"/>
      <c r="D95" s="1170">
        <f>INDEX('Base ETESA'!$AJ93:$AJ118,MATCH($B95,'Base ETESA'!$BG93:$BG118,0),1)/1000</f>
        <v>-4.9999999965075399E-4</v>
      </c>
      <c r="E95" s="1170">
        <f>INDEX('Base ETESA'!$AQ93:$AQ118,MATCH($B95,'Base ETESA'!$BG93:$BG118,0),1)/1000</f>
        <v>2442.55224</v>
      </c>
      <c r="F95" s="1170">
        <f>INDEX('Base ETESA'!$AX93:$AX118,MATCH($B95,'Base ETESA'!$BG93:$BG118,0),1)/1000</f>
        <v>677.54460000000097</v>
      </c>
      <c r="G95" s="1170">
        <f>INDEX('Base ETESA'!$BE93:$BE118,MATCH($B95,'Base ETESA'!$BG93:$BG118,0),1)/1000</f>
        <v>373.1857799999998</v>
      </c>
      <c r="H95" s="1077"/>
      <c r="I95" s="1172">
        <f t="shared" si="10"/>
        <v>3493.2821200000012</v>
      </c>
      <c r="J95" s="108"/>
      <c r="L95" s="930" t="s">
        <v>946</v>
      </c>
    </row>
    <row r="96" spans="1:12" x14ac:dyDescent="0.25">
      <c r="A96" t="s">
        <v>1640</v>
      </c>
      <c r="B96" s="1179" t="s">
        <v>954</v>
      </c>
      <c r="C96" s="1077"/>
      <c r="D96" s="1170">
        <f>INDEX('Base ETESA'!$AJ94:$AJ119,MATCH($B96,'Base ETESA'!$BG94:$BG119,0),1)/1000</f>
        <v>3.1000000005587935E-4</v>
      </c>
      <c r="E96" s="1170">
        <f>INDEX('Base ETESA'!$AQ94:$AQ119,MATCH($B96,'Base ETESA'!$BG94:$BG119,0),1)/1000</f>
        <v>0</v>
      </c>
      <c r="F96" s="1170">
        <f>INDEX('Base ETESA'!$AX94:$AX119,MATCH($B96,'Base ETESA'!$BG94:$BG119,0),1)/1000</f>
        <v>0</v>
      </c>
      <c r="G96" s="1170">
        <f>INDEX('Base ETESA'!$BE94:$BE119,MATCH($B96,'Base ETESA'!$BG94:$BG119,0),1)/1000</f>
        <v>106.51635999999986</v>
      </c>
      <c r="H96" s="1077"/>
      <c r="I96" s="1172">
        <f t="shared" si="10"/>
        <v>106.51666999999992</v>
      </c>
      <c r="J96" s="108"/>
      <c r="L96" s="930" t="s">
        <v>947</v>
      </c>
    </row>
    <row r="97" spans="1:12" x14ac:dyDescent="0.25">
      <c r="A97" t="s">
        <v>1639</v>
      </c>
      <c r="B97" s="1179" t="s">
        <v>1305</v>
      </c>
      <c r="C97" s="1077"/>
      <c r="D97" s="1232">
        <f>INDEX('Base ETESA'!$AJ:$AJ,MATCH($B97,'Base ETESA'!$BG:$BG,0),1)/1000</f>
        <v>0</v>
      </c>
      <c r="E97" s="1232">
        <f>INDEX('Base ETESA'!$AQ:$AQ,MATCH($B97,'Base ETESA'!$BG:$BG,0),1)/1000</f>
        <v>54420.91431</v>
      </c>
      <c r="F97" s="1232">
        <f>INDEX('Base ETESA'!$AX:$AX,MATCH($B97,'Base ETESA'!$BG:$BG,0),1)/1000</f>
        <v>0</v>
      </c>
      <c r="G97" s="1232">
        <f>INDEX('Base ETESA'!$BE:$BE,MATCH($B97,'Base ETESA'!$BG:$BG,0),1)/1000</f>
        <v>328.1739299999997</v>
      </c>
      <c r="H97" s="1077"/>
      <c r="I97" s="1172">
        <f t="shared" ref="I97" si="12">SUM(C97:H97)</f>
        <v>54749.088239999997</v>
      </c>
      <c r="J97" s="108"/>
      <c r="L97" s="930" t="s">
        <v>948</v>
      </c>
    </row>
    <row r="98" spans="1:12" x14ac:dyDescent="0.25">
      <c r="A98" t="s">
        <v>1638</v>
      </c>
      <c r="B98" s="1179" t="s">
        <v>956</v>
      </c>
      <c r="C98" s="1077"/>
      <c r="D98" s="1170">
        <f>INDEX('Base ETESA'!$AJ96:$AJ121,MATCH($B98,'Base ETESA'!$BG96:$BG121,0),1)/1000</f>
        <v>153.07416000000003</v>
      </c>
      <c r="E98" s="1170">
        <f>INDEX('Base ETESA'!$AQ96:$AQ121,MATCH($B98,'Base ETESA'!$BG96:$BG121,0),1)/1000</f>
        <v>0</v>
      </c>
      <c r="F98" s="1170">
        <f>INDEX('Base ETESA'!$AX96:$AX121,MATCH($B98,'Base ETESA'!$BG96:$BG121,0),1)/1000</f>
        <v>0</v>
      </c>
      <c r="G98" s="1170">
        <f>INDEX('Base ETESA'!$BE96:$BE121,MATCH($B98,'Base ETESA'!$BG96:$BG121,0),1)/1000</f>
        <v>0</v>
      </c>
      <c r="H98" s="1077"/>
      <c r="I98" s="1172">
        <f t="shared" si="10"/>
        <v>153.07416000000003</v>
      </c>
      <c r="J98" s="108"/>
      <c r="L98" s="928" t="s">
        <v>949</v>
      </c>
    </row>
    <row r="99" spans="1:12" x14ac:dyDescent="0.25">
      <c r="A99" t="s">
        <v>1638</v>
      </c>
      <c r="B99" s="1179" t="s">
        <v>957</v>
      </c>
      <c r="C99" s="1077"/>
      <c r="D99" s="1170">
        <f>INDEX('Base ETESA'!$AJ97:$AJ122,MATCH($B99,'Base ETESA'!$BG97:$BG122,0),1)/1000</f>
        <v>30.37744000000006</v>
      </c>
      <c r="E99" s="1170">
        <f>INDEX('Base ETESA'!$AQ97:$AQ122,MATCH($B99,'Base ETESA'!$BG97:$BG122,0),1)/1000</f>
        <v>0</v>
      </c>
      <c r="F99" s="1170">
        <f>INDEX('Base ETESA'!$AX97:$AX122,MATCH($B99,'Base ETESA'!$BG97:$BG122,0),1)/1000</f>
        <v>0</v>
      </c>
      <c r="G99" s="1170">
        <f>INDEX('Base ETESA'!$BE97:$BE122,MATCH($B99,'Base ETESA'!$BG97:$BG122,0),1)/1000</f>
        <v>0</v>
      </c>
      <c r="H99" s="1077"/>
      <c r="I99" s="1172">
        <f t="shared" si="10"/>
        <v>30.37744000000006</v>
      </c>
      <c r="J99" s="108"/>
      <c r="L99" s="930" t="s">
        <v>950</v>
      </c>
    </row>
    <row r="100" spans="1:12" ht="15.75" thickBot="1" x14ac:dyDescent="0.3">
      <c r="B100" s="1178" t="s">
        <v>325</v>
      </c>
      <c r="C100" s="1177"/>
      <c r="D100" s="1177">
        <f>SUM(D89:D99)</f>
        <v>4210.176999999996</v>
      </c>
      <c r="E100" s="1177">
        <f>SUM(E89:E99)</f>
        <v>56863.466549999997</v>
      </c>
      <c r="F100" s="1177">
        <f>SUM(F89:F99)</f>
        <v>1997.4027999999994</v>
      </c>
      <c r="G100" s="1177">
        <f>SUM(G89:G99)</f>
        <v>7855.9152199999926</v>
      </c>
      <c r="H100" s="1177"/>
      <c r="I100" s="1176">
        <f t="shared" si="10"/>
        <v>70926.961569999985</v>
      </c>
      <c r="J100" s="108">
        <f>AVERAGE(D100:G100)</f>
        <v>17731.740392499996</v>
      </c>
      <c r="L100" s="930" t="s">
        <v>952</v>
      </c>
    </row>
    <row r="101" spans="1:12" ht="15.75" thickBot="1" x14ac:dyDescent="0.3">
      <c r="L101" s="930" t="s">
        <v>951</v>
      </c>
    </row>
    <row r="102" spans="1:12" x14ac:dyDescent="0.25">
      <c r="B102" s="1164" t="s">
        <v>348</v>
      </c>
      <c r="C102" s="1163"/>
      <c r="D102" s="1163">
        <f>D$9</f>
        <v>2021</v>
      </c>
      <c r="E102" s="1163">
        <f>E$9</f>
        <v>2022</v>
      </c>
      <c r="F102" s="1163">
        <f>F$9</f>
        <v>2023</v>
      </c>
      <c r="G102" s="1163">
        <f>G$9</f>
        <v>2024</v>
      </c>
      <c r="H102" s="1162">
        <f>H$9</f>
        <v>2025</v>
      </c>
      <c r="L102" s="930" t="s">
        <v>953</v>
      </c>
    </row>
    <row r="103" spans="1:12" x14ac:dyDescent="0.25">
      <c r="B103" s="1175" t="s">
        <v>333</v>
      </c>
      <c r="C103" s="1174"/>
      <c r="D103" s="1173">
        <f>SUM(D104:D108)</f>
        <v>4210.176999999997</v>
      </c>
      <c r="E103" s="1173">
        <f>SUM(E104:E108)</f>
        <v>56863.466549999997</v>
      </c>
      <c r="F103" s="1173">
        <f>SUM(F104:F108)</f>
        <v>1997.4027999999994</v>
      </c>
      <c r="G103" s="1173">
        <f>SUM(G104:G108)</f>
        <v>7855.9152199999926</v>
      </c>
      <c r="H103" s="1172">
        <f>SUM(H104:H108)</f>
        <v>0</v>
      </c>
      <c r="L103" s="930" t="s">
        <v>954</v>
      </c>
    </row>
    <row r="104" spans="1:12" outlineLevel="1" x14ac:dyDescent="0.25">
      <c r="B104" s="1171" t="s">
        <v>1642</v>
      </c>
      <c r="C104" s="1077"/>
      <c r="D104" s="1170">
        <f t="shared" ref="D104:H108" si="13">SUMIFS(D$89:D$99,$A$89:$A$99,$B104)</f>
        <v>4328.3156100000015</v>
      </c>
      <c r="E104" s="1170">
        <f t="shared" si="13"/>
        <v>0</v>
      </c>
      <c r="F104" s="1170">
        <f t="shared" si="13"/>
        <v>1319.8581999999983</v>
      </c>
      <c r="G104" s="1170">
        <f t="shared" si="13"/>
        <v>6935.7059099999924</v>
      </c>
      <c r="H104" s="1169">
        <f t="shared" si="13"/>
        <v>0</v>
      </c>
      <c r="L104" s="930" t="s">
        <v>955</v>
      </c>
    </row>
    <row r="105" spans="1:12" outlineLevel="1" x14ac:dyDescent="0.25">
      <c r="B105" s="1171" t="s">
        <v>1641</v>
      </c>
      <c r="C105" s="1077"/>
      <c r="D105" s="1170">
        <f t="shared" si="13"/>
        <v>-273.5263800000036</v>
      </c>
      <c r="E105" s="1170">
        <f t="shared" si="13"/>
        <v>0</v>
      </c>
      <c r="F105" s="1170">
        <f t="shared" si="13"/>
        <v>0</v>
      </c>
      <c r="G105" s="1170">
        <f t="shared" si="13"/>
        <v>0</v>
      </c>
      <c r="H105" s="1169">
        <f t="shared" si="13"/>
        <v>0</v>
      </c>
      <c r="L105" s="893"/>
    </row>
    <row r="106" spans="1:12" outlineLevel="1" x14ac:dyDescent="0.25">
      <c r="B106" s="1171" t="s">
        <v>1640</v>
      </c>
      <c r="C106" s="1077"/>
      <c r="D106" s="1170">
        <f t="shared" si="13"/>
        <v>-28.063830000001122</v>
      </c>
      <c r="E106" s="1170">
        <f t="shared" si="13"/>
        <v>2442.55224</v>
      </c>
      <c r="F106" s="1170">
        <f t="shared" si="13"/>
        <v>677.54460000000097</v>
      </c>
      <c r="G106" s="1170">
        <f t="shared" si="13"/>
        <v>592.03538000000049</v>
      </c>
      <c r="H106" s="1169">
        <f t="shared" si="13"/>
        <v>0</v>
      </c>
      <c r="L106" s="927" t="s">
        <v>935</v>
      </c>
    </row>
    <row r="107" spans="1:12" outlineLevel="1" x14ac:dyDescent="0.25">
      <c r="B107" s="1171" t="s">
        <v>1639</v>
      </c>
      <c r="C107" s="1077"/>
      <c r="D107" s="1170">
        <f t="shared" si="13"/>
        <v>0</v>
      </c>
      <c r="E107" s="1170">
        <f t="shared" si="13"/>
        <v>54420.91431</v>
      </c>
      <c r="F107" s="1170">
        <f t="shared" si="13"/>
        <v>0</v>
      </c>
      <c r="G107" s="1170">
        <f t="shared" si="13"/>
        <v>328.1739299999997</v>
      </c>
      <c r="H107" s="1169">
        <f t="shared" si="13"/>
        <v>0</v>
      </c>
      <c r="L107" s="928" t="s">
        <v>196</v>
      </c>
    </row>
    <row r="108" spans="1:12" ht="15.75" outlineLevel="1" thickBot="1" x14ac:dyDescent="0.3">
      <c r="B108" s="1168" t="s">
        <v>1638</v>
      </c>
      <c r="C108" s="1167"/>
      <c r="D108" s="1166">
        <f t="shared" si="13"/>
        <v>183.4516000000001</v>
      </c>
      <c r="E108" s="1166">
        <f t="shared" si="13"/>
        <v>0</v>
      </c>
      <c r="F108" s="1166">
        <f t="shared" si="13"/>
        <v>0</v>
      </c>
      <c r="G108" s="1166">
        <f t="shared" si="13"/>
        <v>0</v>
      </c>
      <c r="H108" s="1165">
        <f t="shared" si="13"/>
        <v>0</v>
      </c>
      <c r="L108" s="930" t="s">
        <v>956</v>
      </c>
    </row>
    <row r="109" spans="1:12" outlineLevel="1" x14ac:dyDescent="0.25">
      <c r="B109" s="1164" t="s">
        <v>348</v>
      </c>
      <c r="C109" s="1163"/>
      <c r="D109" s="1163">
        <f>D$9</f>
        <v>2021</v>
      </c>
      <c r="E109" s="1163">
        <f>E$9</f>
        <v>2022</v>
      </c>
      <c r="F109" s="1163">
        <f>F$9</f>
        <v>2023</v>
      </c>
      <c r="G109" s="1163">
        <f>G$9</f>
        <v>2024</v>
      </c>
      <c r="H109" s="1162">
        <f>H$9</f>
        <v>2025</v>
      </c>
      <c r="L109" s="930" t="s">
        <v>957</v>
      </c>
    </row>
    <row r="110" spans="1:12" x14ac:dyDescent="0.25">
      <c r="B110" s="1175" t="s">
        <v>137</v>
      </c>
      <c r="C110" s="1174"/>
      <c r="D110" s="1173">
        <f>SUM(D111:D115)</f>
        <v>4210.176999999997</v>
      </c>
      <c r="E110" s="1173">
        <f>SUM(E111:E115)</f>
        <v>61073.643549999993</v>
      </c>
      <c r="F110" s="1173">
        <f>SUM(F111:F115)</f>
        <v>63071.046349999997</v>
      </c>
      <c r="G110" s="1173">
        <f>SUM(G111:G115)</f>
        <v>70926.961569999985</v>
      </c>
      <c r="H110" s="1172">
        <f>SUM(H111:H115)</f>
        <v>70926.961569999985</v>
      </c>
      <c r="L110" s="930" t="s">
        <v>958</v>
      </c>
    </row>
    <row r="111" spans="1:12" outlineLevel="1" x14ac:dyDescent="0.25">
      <c r="B111" s="1171" t="str">
        <f>B104</f>
        <v>SE 230</v>
      </c>
      <c r="C111" s="1077"/>
      <c r="D111" s="1170">
        <f t="shared" ref="D111:H115" si="14">C111+D104</f>
        <v>4328.3156100000015</v>
      </c>
      <c r="E111" s="1170">
        <f t="shared" si="14"/>
        <v>4328.3156100000015</v>
      </c>
      <c r="F111" s="1170">
        <f t="shared" si="14"/>
        <v>5648.1738100000002</v>
      </c>
      <c r="G111" s="1170">
        <f t="shared" si="14"/>
        <v>12583.879719999994</v>
      </c>
      <c r="H111" s="1169">
        <f t="shared" si="14"/>
        <v>12583.879719999994</v>
      </c>
      <c r="L111" s="930" t="s">
        <v>959</v>
      </c>
    </row>
    <row r="112" spans="1:12" outlineLevel="1" x14ac:dyDescent="0.25">
      <c r="B112" s="1171" t="str">
        <f>B105</f>
        <v>SE 115</v>
      </c>
      <c r="C112" s="1077"/>
      <c r="D112" s="1170">
        <f t="shared" si="14"/>
        <v>-273.5263800000036</v>
      </c>
      <c r="E112" s="1170">
        <f t="shared" si="14"/>
        <v>-273.5263800000036</v>
      </c>
      <c r="F112" s="1170">
        <f t="shared" si="14"/>
        <v>-273.5263800000036</v>
      </c>
      <c r="G112" s="1170">
        <f t="shared" si="14"/>
        <v>-273.5263800000036</v>
      </c>
      <c r="H112" s="1169">
        <f t="shared" si="14"/>
        <v>-273.5263800000036</v>
      </c>
    </row>
    <row r="113" spans="2:8" outlineLevel="1" x14ac:dyDescent="0.25">
      <c r="B113" s="1171" t="str">
        <f>B106</f>
        <v>SE 34.5</v>
      </c>
      <c r="C113" s="1077"/>
      <c r="D113" s="1170">
        <f t="shared" si="14"/>
        <v>-28.063830000001122</v>
      </c>
      <c r="E113" s="1170">
        <f t="shared" si="14"/>
        <v>2414.488409999999</v>
      </c>
      <c r="F113" s="1170">
        <f t="shared" si="14"/>
        <v>3092.0330100000001</v>
      </c>
      <c r="G113" s="1170">
        <f t="shared" si="14"/>
        <v>3684.0683900000004</v>
      </c>
      <c r="H113" s="1169">
        <f t="shared" si="14"/>
        <v>3684.0683900000004</v>
      </c>
    </row>
    <row r="114" spans="2:8" outlineLevel="1" x14ac:dyDescent="0.25">
      <c r="B114" s="1171" t="str">
        <f>B107</f>
        <v>LT 230</v>
      </c>
      <c r="C114" s="1077"/>
      <c r="D114" s="1170">
        <f t="shared" si="14"/>
        <v>0</v>
      </c>
      <c r="E114" s="1170">
        <f t="shared" si="14"/>
        <v>54420.91431</v>
      </c>
      <c r="F114" s="1170">
        <f t="shared" si="14"/>
        <v>54420.91431</v>
      </c>
      <c r="G114" s="1170">
        <f t="shared" si="14"/>
        <v>54749.088239999997</v>
      </c>
      <c r="H114" s="1169">
        <f t="shared" si="14"/>
        <v>54749.088239999997</v>
      </c>
    </row>
    <row r="115" spans="2:8" ht="15.75" outlineLevel="1" thickBot="1" x14ac:dyDescent="0.3">
      <c r="B115" s="1168" t="str">
        <f>B108</f>
        <v>LT 115</v>
      </c>
      <c r="C115" s="1167"/>
      <c r="D115" s="1166">
        <f t="shared" si="14"/>
        <v>183.4516000000001</v>
      </c>
      <c r="E115" s="1166">
        <f t="shared" si="14"/>
        <v>183.4516000000001</v>
      </c>
      <c r="F115" s="1166">
        <f t="shared" si="14"/>
        <v>183.4516000000001</v>
      </c>
      <c r="G115" s="1166">
        <f t="shared" si="14"/>
        <v>183.4516000000001</v>
      </c>
      <c r="H115" s="1165">
        <f t="shared" si="14"/>
        <v>183.4516000000001</v>
      </c>
    </row>
    <row r="116" spans="2:8" outlineLevel="1" x14ac:dyDescent="0.25">
      <c r="B116" s="1164" t="s">
        <v>348</v>
      </c>
      <c r="C116" s="1163"/>
      <c r="D116" s="1163">
        <f>D$9</f>
        <v>2021</v>
      </c>
      <c r="E116" s="1163">
        <f>E$9</f>
        <v>2022</v>
      </c>
      <c r="F116" s="1163">
        <f>F$9</f>
        <v>2023</v>
      </c>
      <c r="G116" s="1163">
        <f>G$9</f>
        <v>2024</v>
      </c>
      <c r="H116" s="1162">
        <f>H$9</f>
        <v>2025</v>
      </c>
    </row>
    <row r="117" spans="2:8" x14ac:dyDescent="0.25">
      <c r="B117" s="1175" t="s">
        <v>1637</v>
      </c>
      <c r="C117" s="1174"/>
      <c r="D117" s="1173"/>
      <c r="E117" s="1173">
        <f>SUM(E118:E122)</f>
        <v>140.56047489644581</v>
      </c>
      <c r="F117" s="1173">
        <f>SUM(F118:F122)</f>
        <v>2038.9974913273863</v>
      </c>
      <c r="G117" s="1173">
        <f>SUM(G118:G122)</f>
        <v>2105.6825466415667</v>
      </c>
      <c r="H117" s="1172">
        <f>SUM(H118:H122)</f>
        <v>2367.9592096107049</v>
      </c>
    </row>
    <row r="118" spans="2:8" outlineLevel="1" x14ac:dyDescent="0.25">
      <c r="B118" s="1171" t="str">
        <f>B104</f>
        <v>SE 230</v>
      </c>
      <c r="C118" s="1077"/>
      <c r="D118" s="1170"/>
      <c r="E118" s="1170">
        <f t="shared" ref="E118:H122" si="15">D111*$C$2</f>
        <v>144.50463665620239</v>
      </c>
      <c r="F118" s="1170">
        <f t="shared" si="15"/>
        <v>144.50463665620239</v>
      </c>
      <c r="G118" s="1170">
        <f t="shared" si="15"/>
        <v>188.56926752278309</v>
      </c>
      <c r="H118" s="1169">
        <f t="shared" si="15"/>
        <v>420.1239305337885</v>
      </c>
    </row>
    <row r="119" spans="2:8" outlineLevel="1" x14ac:dyDescent="0.25">
      <c r="B119" s="1171" t="str">
        <f>B105</f>
        <v>SE 115</v>
      </c>
      <c r="C119" s="1077"/>
      <c r="D119" s="1170"/>
      <c r="E119" s="1170">
        <f t="shared" si="15"/>
        <v>-9.1319196008876187</v>
      </c>
      <c r="F119" s="1170">
        <f t="shared" si="15"/>
        <v>-9.1319196008876187</v>
      </c>
      <c r="G119" s="1170">
        <f t="shared" si="15"/>
        <v>-9.1319196008876187</v>
      </c>
      <c r="H119" s="1169">
        <f t="shared" si="15"/>
        <v>-9.1319196008876187</v>
      </c>
    </row>
    <row r="120" spans="2:8" outlineLevel="1" x14ac:dyDescent="0.25">
      <c r="B120" s="1171" t="str">
        <f>B106</f>
        <v>SE 34.5</v>
      </c>
      <c r="C120" s="1077"/>
      <c r="D120" s="1170"/>
      <c r="E120" s="1170">
        <f t="shared" si="15"/>
        <v>-0.93693573268137753</v>
      </c>
      <c r="F120" s="1170">
        <f t="shared" si="15"/>
        <v>80.609826508853317</v>
      </c>
      <c r="G120" s="1170">
        <f t="shared" si="15"/>
        <v>103.23025095645318</v>
      </c>
      <c r="H120" s="1169">
        <f t="shared" si="15"/>
        <v>122.99587462697768</v>
      </c>
    </row>
    <row r="121" spans="2:8" outlineLevel="1" x14ac:dyDescent="0.25">
      <c r="B121" s="1171" t="str">
        <f>B107</f>
        <v>LT 230</v>
      </c>
      <c r="C121" s="1077"/>
      <c r="D121" s="1170"/>
      <c r="E121" s="1170">
        <f t="shared" si="15"/>
        <v>0</v>
      </c>
      <c r="F121" s="1170">
        <f t="shared" si="15"/>
        <v>1816.8902541894058</v>
      </c>
      <c r="G121" s="1170">
        <f t="shared" si="15"/>
        <v>1816.8902541894058</v>
      </c>
      <c r="H121" s="1169">
        <f t="shared" si="15"/>
        <v>1827.8466304770138</v>
      </c>
    </row>
    <row r="122" spans="2:8" ht="15.75" outlineLevel="1" thickBot="1" x14ac:dyDescent="0.3">
      <c r="B122" s="1168" t="str">
        <f>B108</f>
        <v>LT 115</v>
      </c>
      <c r="C122" s="1167"/>
      <c r="D122" s="1166"/>
      <c r="E122" s="1166">
        <f t="shared" si="15"/>
        <v>6.1246935738124204</v>
      </c>
      <c r="F122" s="1166">
        <f t="shared" si="15"/>
        <v>6.1246935738124204</v>
      </c>
      <c r="G122" s="1166">
        <f t="shared" si="15"/>
        <v>6.1246935738124204</v>
      </c>
      <c r="H122" s="1165">
        <f t="shared" si="15"/>
        <v>6.1246935738124204</v>
      </c>
    </row>
    <row r="123" spans="2:8" outlineLevel="1" x14ac:dyDescent="0.25">
      <c r="B123" s="1164" t="s">
        <v>348</v>
      </c>
      <c r="C123" s="1163"/>
      <c r="D123" s="1163">
        <f>D$9</f>
        <v>2021</v>
      </c>
      <c r="E123" s="1163">
        <f>E$9</f>
        <v>2022</v>
      </c>
      <c r="F123" s="1163">
        <f>F$9</f>
        <v>2023</v>
      </c>
      <c r="G123" s="1163">
        <f>G$9</f>
        <v>2024</v>
      </c>
      <c r="H123" s="1162">
        <f>H$9</f>
        <v>2025</v>
      </c>
    </row>
    <row r="124" spans="2:8" x14ac:dyDescent="0.25">
      <c r="B124" s="1175" t="s">
        <v>1636</v>
      </c>
      <c r="C124" s="1174"/>
      <c r="D124" s="1173"/>
      <c r="E124" s="1173">
        <f>SUM(E125:E129)</f>
        <v>140.56047489644581</v>
      </c>
      <c r="F124" s="1173">
        <f>SUM(F125:F129)</f>
        <v>2179.5579662238324</v>
      </c>
      <c r="G124" s="1173">
        <f>SUM(G125:G129)</f>
        <v>4285.2405128653991</v>
      </c>
      <c r="H124" s="1172">
        <f>SUM(H125:H129)</f>
        <v>6653.1997224761044</v>
      </c>
    </row>
    <row r="125" spans="2:8" outlineLevel="1" x14ac:dyDescent="0.25">
      <c r="B125" s="1171" t="str">
        <f>B104</f>
        <v>SE 230</v>
      </c>
      <c r="C125" s="1077"/>
      <c r="D125" s="1170"/>
      <c r="E125" s="1170">
        <f t="shared" ref="E125:H129" si="16">D125+E118</f>
        <v>144.50463665620239</v>
      </c>
      <c r="F125" s="1170">
        <f t="shared" si="16"/>
        <v>289.00927331240479</v>
      </c>
      <c r="G125" s="1170">
        <f t="shared" si="16"/>
        <v>477.57854083518788</v>
      </c>
      <c r="H125" s="1169">
        <f t="shared" si="16"/>
        <v>897.70247136897638</v>
      </c>
    </row>
    <row r="126" spans="2:8" outlineLevel="1" x14ac:dyDescent="0.25">
      <c r="B126" s="1171" t="str">
        <f>B105</f>
        <v>SE 115</v>
      </c>
      <c r="C126" s="1077"/>
      <c r="D126" s="1170"/>
      <c r="E126" s="1170">
        <f t="shared" si="16"/>
        <v>-9.1319196008876187</v>
      </c>
      <c r="F126" s="1170">
        <f t="shared" si="16"/>
        <v>-18.263839201775237</v>
      </c>
      <c r="G126" s="1170">
        <f t="shared" si="16"/>
        <v>-27.395758802662854</v>
      </c>
      <c r="H126" s="1169">
        <f t="shared" si="16"/>
        <v>-36.527678403550475</v>
      </c>
    </row>
    <row r="127" spans="2:8" outlineLevel="1" x14ac:dyDescent="0.25">
      <c r="B127" s="1171" t="str">
        <f>B106</f>
        <v>SE 34.5</v>
      </c>
      <c r="C127" s="1077"/>
      <c r="D127" s="1170"/>
      <c r="E127" s="1170">
        <f t="shared" si="16"/>
        <v>-0.93693573268137753</v>
      </c>
      <c r="F127" s="1170">
        <f t="shared" si="16"/>
        <v>79.67289077617194</v>
      </c>
      <c r="G127" s="1170">
        <f t="shared" si="16"/>
        <v>182.9031417326251</v>
      </c>
      <c r="H127" s="1169">
        <f t="shared" si="16"/>
        <v>305.8990163596028</v>
      </c>
    </row>
    <row r="128" spans="2:8" outlineLevel="1" x14ac:dyDescent="0.25">
      <c r="B128" s="1171" t="str">
        <f>B107</f>
        <v>LT 230</v>
      </c>
      <c r="C128" s="1077"/>
      <c r="D128" s="1170"/>
      <c r="E128" s="1170">
        <f t="shared" si="16"/>
        <v>0</v>
      </c>
      <c r="F128" s="1170">
        <f t="shared" si="16"/>
        <v>1816.8902541894058</v>
      </c>
      <c r="G128" s="1170">
        <f t="shared" si="16"/>
        <v>3633.7805083788116</v>
      </c>
      <c r="H128" s="1169">
        <f t="shared" si="16"/>
        <v>5461.6271388558253</v>
      </c>
    </row>
    <row r="129" spans="2:8" ht="15.75" outlineLevel="1" thickBot="1" x14ac:dyDescent="0.3">
      <c r="B129" s="1168" t="str">
        <f>B108</f>
        <v>LT 115</v>
      </c>
      <c r="C129" s="1167"/>
      <c r="D129" s="1166"/>
      <c r="E129" s="1166">
        <f t="shared" si="16"/>
        <v>6.1246935738124204</v>
      </c>
      <c r="F129" s="1166">
        <f t="shared" si="16"/>
        <v>12.249387147624841</v>
      </c>
      <c r="G129" s="1166">
        <f t="shared" si="16"/>
        <v>18.374080721437259</v>
      </c>
      <c r="H129" s="1165">
        <f t="shared" si="16"/>
        <v>24.498774295249682</v>
      </c>
    </row>
    <row r="130" spans="2:8" outlineLevel="1" x14ac:dyDescent="0.25">
      <c r="B130" s="1164" t="s">
        <v>348</v>
      </c>
      <c r="C130" s="1163"/>
      <c r="D130" s="1163">
        <f>D$9</f>
        <v>2021</v>
      </c>
      <c r="E130" s="1163">
        <f>E$9</f>
        <v>2022</v>
      </c>
      <c r="F130" s="1163">
        <f>F$9</f>
        <v>2023</v>
      </c>
      <c r="G130" s="1163">
        <f>G$9</f>
        <v>2024</v>
      </c>
      <c r="H130" s="1162">
        <f>H$9</f>
        <v>2025</v>
      </c>
    </row>
    <row r="131" spans="2:8" x14ac:dyDescent="0.25">
      <c r="B131" s="1175" t="s">
        <v>138</v>
      </c>
      <c r="C131" s="1174"/>
      <c r="D131" s="1173"/>
      <c r="E131" s="1173">
        <f>SUM(E132:E136)</f>
        <v>60933.083075103554</v>
      </c>
      <c r="F131" s="1173">
        <f>SUM(F132:F136)</f>
        <v>60891.488383776166</v>
      </c>
      <c r="G131" s="1173">
        <f>SUM(G132:G136)</f>
        <v>66641.721057134593</v>
      </c>
      <c r="H131" s="1172">
        <f>SUM(H132:H136)</f>
        <v>64273.761847523885</v>
      </c>
    </row>
    <row r="132" spans="2:8" outlineLevel="1" x14ac:dyDescent="0.25">
      <c r="B132" s="1171" t="str">
        <f>B104</f>
        <v>SE 230</v>
      </c>
      <c r="C132" s="1077"/>
      <c r="D132" s="1170"/>
      <c r="E132" s="1170">
        <f t="shared" ref="E132:H136" si="17">E111-E125</f>
        <v>4183.8109733437987</v>
      </c>
      <c r="F132" s="1170">
        <f t="shared" si="17"/>
        <v>5359.1645366875955</v>
      </c>
      <c r="G132" s="1170">
        <f t="shared" si="17"/>
        <v>12106.301179164806</v>
      </c>
      <c r="H132" s="1169">
        <f t="shared" si="17"/>
        <v>11686.177248631016</v>
      </c>
    </row>
    <row r="133" spans="2:8" outlineLevel="1" x14ac:dyDescent="0.25">
      <c r="B133" s="1171" t="str">
        <f>B105</f>
        <v>SE 115</v>
      </c>
      <c r="C133" s="1077"/>
      <c r="D133" s="1170"/>
      <c r="E133" s="1170">
        <f t="shared" si="17"/>
        <v>-264.39446039911599</v>
      </c>
      <c r="F133" s="1170">
        <f t="shared" si="17"/>
        <v>-255.26254079822837</v>
      </c>
      <c r="G133" s="1170">
        <f t="shared" si="17"/>
        <v>-246.13062119734076</v>
      </c>
      <c r="H133" s="1169">
        <f t="shared" si="17"/>
        <v>-236.99870159645312</v>
      </c>
    </row>
    <row r="134" spans="2:8" outlineLevel="1" x14ac:dyDescent="0.25">
      <c r="B134" s="1171" t="str">
        <f>B106</f>
        <v>SE 34.5</v>
      </c>
      <c r="C134" s="1077"/>
      <c r="D134" s="1170"/>
      <c r="E134" s="1170">
        <f t="shared" si="17"/>
        <v>2415.4253457326804</v>
      </c>
      <c r="F134" s="1170">
        <f t="shared" si="17"/>
        <v>3012.360119223828</v>
      </c>
      <c r="G134" s="1170">
        <f t="shared" si="17"/>
        <v>3501.1652482673753</v>
      </c>
      <c r="H134" s="1169">
        <f t="shared" si="17"/>
        <v>3378.1693736403977</v>
      </c>
    </row>
    <row r="135" spans="2:8" outlineLevel="1" x14ac:dyDescent="0.25">
      <c r="B135" s="1171" t="str">
        <f>B107</f>
        <v>LT 230</v>
      </c>
      <c r="C135" s="1077"/>
      <c r="D135" s="1170"/>
      <c r="E135" s="1170">
        <f t="shared" si="17"/>
        <v>54420.91431</v>
      </c>
      <c r="F135" s="1170">
        <f t="shared" si="17"/>
        <v>52604.024055810594</v>
      </c>
      <c r="G135" s="1170">
        <f t="shared" si="17"/>
        <v>51115.307731621186</v>
      </c>
      <c r="H135" s="1169">
        <f t="shared" si="17"/>
        <v>49287.461101144174</v>
      </c>
    </row>
    <row r="136" spans="2:8" ht="15.75" outlineLevel="1" thickBot="1" x14ac:dyDescent="0.3">
      <c r="B136" s="1168" t="str">
        <f>B108</f>
        <v>LT 115</v>
      </c>
      <c r="C136" s="1167"/>
      <c r="D136" s="1166"/>
      <c r="E136" s="1166">
        <f t="shared" si="17"/>
        <v>177.32690642618769</v>
      </c>
      <c r="F136" s="1166">
        <f t="shared" si="17"/>
        <v>171.20221285237525</v>
      </c>
      <c r="G136" s="1166">
        <f t="shared" si="17"/>
        <v>165.07751927856285</v>
      </c>
      <c r="H136" s="1165">
        <f t="shared" si="17"/>
        <v>158.95282570475041</v>
      </c>
    </row>
    <row r="137" spans="2:8" outlineLevel="1" x14ac:dyDescent="0.25">
      <c r="B137" s="1164" t="s">
        <v>348</v>
      </c>
      <c r="C137" s="1163"/>
      <c r="D137" s="1163">
        <f>D$9</f>
        <v>2021</v>
      </c>
      <c r="E137" s="1163">
        <f>E$9</f>
        <v>2022</v>
      </c>
      <c r="F137" s="1163">
        <f>F$9</f>
        <v>2023</v>
      </c>
      <c r="G137" s="1163">
        <f>G$9</f>
        <v>2024</v>
      </c>
      <c r="H137" s="1162">
        <f>H$9</f>
        <v>2025</v>
      </c>
    </row>
    <row r="138" spans="2:8" x14ac:dyDescent="0.25">
      <c r="B138" s="1175" t="s">
        <v>1635</v>
      </c>
      <c r="C138" s="1174"/>
      <c r="D138" s="1173"/>
      <c r="E138" s="1173">
        <f>SUM(E139:E143)</f>
        <v>0</v>
      </c>
      <c r="F138" s="1173">
        <f>SUM(F139:F143)</f>
        <v>4448.1150644825584</v>
      </c>
      <c r="G138" s="1173">
        <f>SUM(G139:G143)</f>
        <v>4445.0786520156598</v>
      </c>
      <c r="H138" s="1172">
        <f>SUM(H139:H143)</f>
        <v>4864.8456371708244</v>
      </c>
    </row>
    <row r="139" spans="2:8" outlineLevel="1" x14ac:dyDescent="0.25">
      <c r="B139" s="1171" t="str">
        <f>B104</f>
        <v>SE 230</v>
      </c>
      <c r="C139" s="1077"/>
      <c r="D139" s="1170"/>
      <c r="E139" s="1170">
        <f t="shared" ref="E139:H143" si="18">D132*$C$3</f>
        <v>0</v>
      </c>
      <c r="F139" s="1170">
        <f t="shared" si="18"/>
        <v>305.41820105409727</v>
      </c>
      <c r="G139" s="1170">
        <f t="shared" si="18"/>
        <v>391.21901117819442</v>
      </c>
      <c r="H139" s="1169">
        <f t="shared" si="18"/>
        <v>883.7599860790308</v>
      </c>
    </row>
    <row r="140" spans="2:8" outlineLevel="1" x14ac:dyDescent="0.25">
      <c r="B140" s="1171" t="str">
        <f>B105</f>
        <v>SE 115</v>
      </c>
      <c r="C140" s="1077"/>
      <c r="D140" s="1170"/>
      <c r="E140" s="1170">
        <f t="shared" si="18"/>
        <v>0</v>
      </c>
      <c r="F140" s="1170">
        <f t="shared" si="18"/>
        <v>-19.300795609135466</v>
      </c>
      <c r="G140" s="1170">
        <f t="shared" si="18"/>
        <v>-18.63416547827067</v>
      </c>
      <c r="H140" s="1169">
        <f t="shared" si="18"/>
        <v>-17.967535347405875</v>
      </c>
    </row>
    <row r="141" spans="2:8" outlineLevel="1" x14ac:dyDescent="0.25">
      <c r="B141" s="1171" t="str">
        <f>B106</f>
        <v>SE 34.5</v>
      </c>
      <c r="C141" s="1077"/>
      <c r="D141" s="1170"/>
      <c r="E141" s="1170">
        <f t="shared" si="18"/>
        <v>0</v>
      </c>
      <c r="F141" s="1170">
        <f t="shared" si="18"/>
        <v>176.32605023848566</v>
      </c>
      <c r="G141" s="1170">
        <f t="shared" si="18"/>
        <v>219.90228870333942</v>
      </c>
      <c r="H141" s="1169">
        <f t="shared" si="18"/>
        <v>255.58506312351838</v>
      </c>
    </row>
    <row r="142" spans="2:8" outlineLevel="1" x14ac:dyDescent="0.25">
      <c r="B142" s="1171" t="str">
        <f>B107</f>
        <v>LT 230</v>
      </c>
      <c r="C142" s="1077"/>
      <c r="D142" s="1170"/>
      <c r="E142" s="1170">
        <f t="shared" si="18"/>
        <v>0</v>
      </c>
      <c r="F142" s="1170">
        <f t="shared" si="18"/>
        <v>3972.7267446299998</v>
      </c>
      <c r="G142" s="1170">
        <f t="shared" si="18"/>
        <v>3840.0937560741731</v>
      </c>
      <c r="H142" s="1169">
        <f t="shared" si="18"/>
        <v>3731.4174644083464</v>
      </c>
    </row>
    <row r="143" spans="2:8" ht="15.75" outlineLevel="1" thickBot="1" x14ac:dyDescent="0.3">
      <c r="B143" s="1168" t="str">
        <f>B108</f>
        <v>LT 115</v>
      </c>
      <c r="C143" s="1167"/>
      <c r="D143" s="1166"/>
      <c r="E143" s="1166">
        <f t="shared" si="18"/>
        <v>0</v>
      </c>
      <c r="F143" s="1166">
        <f t="shared" si="18"/>
        <v>12.944864169111701</v>
      </c>
      <c r="G143" s="1166">
        <f t="shared" si="18"/>
        <v>12.497761538223394</v>
      </c>
      <c r="H143" s="1165">
        <f t="shared" si="18"/>
        <v>12.050658907335087</v>
      </c>
    </row>
    <row r="144" spans="2:8" outlineLevel="1" x14ac:dyDescent="0.25">
      <c r="B144" s="1164" t="s">
        <v>348</v>
      </c>
      <c r="C144" s="1163"/>
      <c r="D144" s="1163">
        <f>D$9</f>
        <v>2021</v>
      </c>
      <c r="E144" s="1163">
        <f>E$9</f>
        <v>2022</v>
      </c>
      <c r="F144" s="1163">
        <f>F$9</f>
        <v>2023</v>
      </c>
      <c r="G144" s="1163">
        <f>G$9</f>
        <v>2024</v>
      </c>
      <c r="H144" s="1162">
        <f>H$9</f>
        <v>2025</v>
      </c>
    </row>
    <row r="145" spans="2:8" x14ac:dyDescent="0.25">
      <c r="B145" s="1175" t="s">
        <v>23</v>
      </c>
      <c r="C145" s="1174"/>
      <c r="D145" s="1173"/>
      <c r="E145" s="1173">
        <f>SUM(E146:E150)</f>
        <v>78.730309899999952</v>
      </c>
      <c r="F145" s="1173">
        <f>SUM(F146:F150)</f>
        <v>1142.0771343850001</v>
      </c>
      <c r="G145" s="1173">
        <f>SUM(G146:G150)</f>
        <v>1179.4285667450001</v>
      </c>
      <c r="H145" s="1172">
        <f>SUM(H146:H150)</f>
        <v>1326.334181359</v>
      </c>
    </row>
    <row r="146" spans="2:8" outlineLevel="1" x14ac:dyDescent="0.25">
      <c r="B146" s="1171" t="str">
        <f>B104</f>
        <v>SE 230</v>
      </c>
      <c r="C146" s="1077"/>
      <c r="D146" s="1170"/>
      <c r="E146" s="1170">
        <f t="shared" ref="E146:H150" si="19">D111*$C$4</f>
        <v>80.939501907000036</v>
      </c>
      <c r="F146" s="1170">
        <f t="shared" si="19"/>
        <v>80.939501907000036</v>
      </c>
      <c r="G146" s="1170">
        <f t="shared" si="19"/>
        <v>105.62085024700001</v>
      </c>
      <c r="H146" s="1169">
        <f t="shared" si="19"/>
        <v>235.31855076399989</v>
      </c>
    </row>
    <row r="147" spans="2:8" outlineLevel="1" x14ac:dyDescent="0.25">
      <c r="B147" s="1171" t="str">
        <f>B105</f>
        <v>SE 115</v>
      </c>
      <c r="C147" s="1077"/>
      <c r="D147" s="1170"/>
      <c r="E147" s="1170">
        <f t="shared" si="19"/>
        <v>-5.1149433060000673</v>
      </c>
      <c r="F147" s="1170">
        <f t="shared" si="19"/>
        <v>-5.1149433060000673</v>
      </c>
      <c r="G147" s="1170">
        <f t="shared" si="19"/>
        <v>-5.1149433060000673</v>
      </c>
      <c r="H147" s="1169">
        <f t="shared" si="19"/>
        <v>-5.1149433060000673</v>
      </c>
    </row>
    <row r="148" spans="2:8" outlineLevel="1" x14ac:dyDescent="0.25">
      <c r="B148" s="1171" t="str">
        <f>B106</f>
        <v>SE 34.5</v>
      </c>
      <c r="C148" s="1077"/>
      <c r="D148" s="1170"/>
      <c r="E148" s="1170">
        <f t="shared" si="19"/>
        <v>-0.52479362100002103</v>
      </c>
      <c r="F148" s="1170">
        <f t="shared" si="19"/>
        <v>45.150933266999985</v>
      </c>
      <c r="G148" s="1170">
        <f t="shared" si="19"/>
        <v>57.821017287000004</v>
      </c>
      <c r="H148" s="1169">
        <f t="shared" si="19"/>
        <v>68.892078893000019</v>
      </c>
    </row>
    <row r="149" spans="2:8" outlineLevel="1" x14ac:dyDescent="0.25">
      <c r="B149" s="1171" t="str">
        <f>B107</f>
        <v>LT 230</v>
      </c>
      <c r="C149" s="1077"/>
      <c r="D149" s="1170"/>
      <c r="E149" s="1170">
        <f t="shared" si="19"/>
        <v>0</v>
      </c>
      <c r="F149" s="1170">
        <f t="shared" si="19"/>
        <v>1017.6710975970001</v>
      </c>
      <c r="G149" s="1170">
        <f t="shared" si="19"/>
        <v>1017.6710975970001</v>
      </c>
      <c r="H149" s="1169">
        <f t="shared" si="19"/>
        <v>1023.807950088</v>
      </c>
    </row>
    <row r="150" spans="2:8" ht="15.75" outlineLevel="1" thickBot="1" x14ac:dyDescent="0.3">
      <c r="B150" s="1168" t="str">
        <f>B108</f>
        <v>LT 115</v>
      </c>
      <c r="C150" s="1167"/>
      <c r="D150" s="1166"/>
      <c r="E150" s="1166">
        <f t="shared" si="19"/>
        <v>3.4305449200000022</v>
      </c>
      <c r="F150" s="1166">
        <f t="shared" si="19"/>
        <v>3.4305449200000022</v>
      </c>
      <c r="G150" s="1166">
        <f t="shared" si="19"/>
        <v>3.4305449200000022</v>
      </c>
      <c r="H150" s="1165">
        <f t="shared" si="19"/>
        <v>3.4305449200000022</v>
      </c>
    </row>
    <row r="151" spans="2:8" outlineLevel="1" x14ac:dyDescent="0.25">
      <c r="B151" s="1164" t="s">
        <v>348</v>
      </c>
      <c r="C151" s="1163"/>
      <c r="D151" s="1163">
        <f>D$9</f>
        <v>2021</v>
      </c>
      <c r="E151" s="1163">
        <f>E$9</f>
        <v>2022</v>
      </c>
      <c r="F151" s="1163">
        <f>F$9</f>
        <v>2023</v>
      </c>
      <c r="G151" s="1163">
        <f>G$9</f>
        <v>2024</v>
      </c>
      <c r="H151" s="1162">
        <f>H$9</f>
        <v>2025</v>
      </c>
    </row>
    <row r="152" spans="2:8" x14ac:dyDescent="0.25">
      <c r="B152" s="1175" t="s">
        <v>24</v>
      </c>
      <c r="C152" s="1174"/>
      <c r="D152" s="1173"/>
      <c r="E152" s="1173">
        <f>SUM(E153:E157)</f>
        <v>55.574336399999957</v>
      </c>
      <c r="F152" s="1173">
        <f>SUM(F153:F157)</f>
        <v>806.17209486000002</v>
      </c>
      <c r="G152" s="1173">
        <f>SUM(G153:G157)</f>
        <v>832.53781182</v>
      </c>
      <c r="H152" s="1172">
        <f>SUM(H153:H157)</f>
        <v>936.23589272399977</v>
      </c>
    </row>
    <row r="153" spans="2:8" outlineLevel="1" x14ac:dyDescent="0.25">
      <c r="B153" s="1171" t="str">
        <f>B104</f>
        <v>SE 230</v>
      </c>
      <c r="C153" s="1077"/>
      <c r="D153" s="1170"/>
      <c r="E153" s="1170">
        <f t="shared" ref="E153:H157" si="20">D111*$C$5</f>
        <v>57.13376605200002</v>
      </c>
      <c r="F153" s="1170">
        <f t="shared" si="20"/>
        <v>57.13376605200002</v>
      </c>
      <c r="G153" s="1170">
        <f t="shared" si="20"/>
        <v>74.555894292000005</v>
      </c>
      <c r="H153" s="1169">
        <f t="shared" si="20"/>
        <v>166.10721230399992</v>
      </c>
    </row>
    <row r="154" spans="2:8" outlineLevel="1" x14ac:dyDescent="0.25">
      <c r="B154" s="1171" t="str">
        <f>B105</f>
        <v>SE 115</v>
      </c>
      <c r="C154" s="1077"/>
      <c r="D154" s="1170"/>
      <c r="E154" s="1170">
        <f t="shared" si="20"/>
        <v>-3.6105482160000473</v>
      </c>
      <c r="F154" s="1170">
        <f t="shared" si="20"/>
        <v>-3.6105482160000473</v>
      </c>
      <c r="G154" s="1170">
        <f t="shared" si="20"/>
        <v>-3.6105482160000473</v>
      </c>
      <c r="H154" s="1169">
        <f t="shared" si="20"/>
        <v>-3.6105482160000473</v>
      </c>
    </row>
    <row r="155" spans="2:8" outlineLevel="1" x14ac:dyDescent="0.25">
      <c r="B155" s="1171" t="str">
        <f>B106</f>
        <v>SE 34.5</v>
      </c>
      <c r="C155" s="1077"/>
      <c r="D155" s="1170"/>
      <c r="E155" s="1170">
        <f t="shared" si="20"/>
        <v>-0.3704425560000148</v>
      </c>
      <c r="F155" s="1170">
        <f t="shared" si="20"/>
        <v>31.871247011999987</v>
      </c>
      <c r="G155" s="1170">
        <f t="shared" si="20"/>
        <v>40.814835731999999</v>
      </c>
      <c r="H155" s="1169">
        <f t="shared" si="20"/>
        <v>48.629702748000007</v>
      </c>
    </row>
    <row r="156" spans="2:8" outlineLevel="1" x14ac:dyDescent="0.25">
      <c r="B156" s="1171" t="str">
        <f>B107</f>
        <v>LT 230</v>
      </c>
      <c r="C156" s="1077"/>
      <c r="D156" s="1170"/>
      <c r="E156" s="1170">
        <f t="shared" si="20"/>
        <v>0</v>
      </c>
      <c r="F156" s="1170">
        <f t="shared" si="20"/>
        <v>718.35606889200005</v>
      </c>
      <c r="G156" s="1170">
        <f t="shared" si="20"/>
        <v>718.35606889200005</v>
      </c>
      <c r="H156" s="1169">
        <f t="shared" si="20"/>
        <v>722.68796476799992</v>
      </c>
    </row>
    <row r="157" spans="2:8" ht="15.75" outlineLevel="1" thickBot="1" x14ac:dyDescent="0.3">
      <c r="B157" s="1168" t="str">
        <f>B108</f>
        <v>LT 115</v>
      </c>
      <c r="C157" s="1167"/>
      <c r="D157" s="1166"/>
      <c r="E157" s="1166">
        <f t="shared" si="20"/>
        <v>2.4215611200000011</v>
      </c>
      <c r="F157" s="1166">
        <f t="shared" si="20"/>
        <v>2.4215611200000011</v>
      </c>
      <c r="G157" s="1166">
        <f t="shared" si="20"/>
        <v>2.4215611200000011</v>
      </c>
      <c r="H157" s="1165">
        <f t="shared" si="20"/>
        <v>2.4215611200000011</v>
      </c>
    </row>
    <row r="158" spans="2:8" outlineLevel="1" x14ac:dyDescent="0.25">
      <c r="B158" s="1164" t="s">
        <v>348</v>
      </c>
      <c r="C158" s="1163"/>
      <c r="D158" s="1163">
        <f>D$9</f>
        <v>2021</v>
      </c>
      <c r="E158" s="1163">
        <f>E$9</f>
        <v>2022</v>
      </c>
      <c r="F158" s="1163">
        <f>F$9</f>
        <v>2023</v>
      </c>
      <c r="G158" s="1163">
        <f>G$9</f>
        <v>2024</v>
      </c>
      <c r="H158" s="1162">
        <f>H$9</f>
        <v>2025</v>
      </c>
    </row>
    <row r="159" spans="2:8" x14ac:dyDescent="0.25">
      <c r="B159" s="1175" t="s">
        <v>1634</v>
      </c>
      <c r="C159" s="1174"/>
      <c r="D159" s="1173"/>
      <c r="E159" s="1173">
        <f>SUM(E160:E164)</f>
        <v>274.86512119644573</v>
      </c>
      <c r="F159" s="1173">
        <f>SUM(F160:F164)</f>
        <v>8435.3617850549454</v>
      </c>
      <c r="G159" s="1173">
        <f>SUM(G160:G164)</f>
        <v>8562.7275772222256</v>
      </c>
      <c r="H159" s="1172">
        <f>SUM(H160:H164)</f>
        <v>9495.3749208645313</v>
      </c>
    </row>
    <row r="160" spans="2:8" outlineLevel="1" x14ac:dyDescent="0.25">
      <c r="B160" s="1171" t="str">
        <f>B104</f>
        <v>SE 230</v>
      </c>
      <c r="C160" s="1077"/>
      <c r="D160" s="1170"/>
      <c r="E160" s="1170">
        <f t="shared" ref="E160:H164" si="21">E118+E139+E146+E153</f>
        <v>282.57790461520244</v>
      </c>
      <c r="F160" s="1170">
        <f t="shared" si="21"/>
        <v>587.99610566929971</v>
      </c>
      <c r="G160" s="1170">
        <f t="shared" si="21"/>
        <v>759.96502323997765</v>
      </c>
      <c r="H160" s="1169">
        <f t="shared" si="21"/>
        <v>1705.309679680819</v>
      </c>
    </row>
    <row r="161" spans="2:9" outlineLevel="1" x14ac:dyDescent="0.25">
      <c r="B161" s="1171" t="str">
        <f>B105</f>
        <v>SE 115</v>
      </c>
      <c r="C161" s="1077"/>
      <c r="D161" s="1170"/>
      <c r="E161" s="1170">
        <f t="shared" si="21"/>
        <v>-17.857411122887733</v>
      </c>
      <c r="F161" s="1170">
        <f t="shared" si="21"/>
        <v>-37.158206732023196</v>
      </c>
      <c r="G161" s="1170">
        <f t="shared" si="21"/>
        <v>-36.4915766011584</v>
      </c>
      <c r="H161" s="1169">
        <f t="shared" si="21"/>
        <v>-35.824946470293604</v>
      </c>
    </row>
    <row r="162" spans="2:9" outlineLevel="1" x14ac:dyDescent="0.25">
      <c r="B162" s="1171" t="str">
        <f>B106</f>
        <v>SE 34.5</v>
      </c>
      <c r="C162" s="1077"/>
      <c r="D162" s="1170"/>
      <c r="E162" s="1170">
        <f t="shared" si="21"/>
        <v>-1.8321719096814133</v>
      </c>
      <c r="F162" s="1170">
        <f t="shared" si="21"/>
        <v>333.95805702633891</v>
      </c>
      <c r="G162" s="1170">
        <f t="shared" si="21"/>
        <v>421.76839267879262</v>
      </c>
      <c r="H162" s="1169">
        <f t="shared" si="21"/>
        <v>496.10271939149607</v>
      </c>
    </row>
    <row r="163" spans="2:9" outlineLevel="1" x14ac:dyDescent="0.25">
      <c r="B163" s="1171" t="str">
        <f>B107</f>
        <v>LT 230</v>
      </c>
      <c r="C163" s="1077"/>
      <c r="D163" s="1170"/>
      <c r="E163" s="1170">
        <f t="shared" si="21"/>
        <v>0</v>
      </c>
      <c r="F163" s="1170">
        <f t="shared" si="21"/>
        <v>7525.6441653084048</v>
      </c>
      <c r="G163" s="1170">
        <f t="shared" si="21"/>
        <v>7393.0111767525786</v>
      </c>
      <c r="H163" s="1169">
        <f t="shared" si="21"/>
        <v>7305.7600097413606</v>
      </c>
    </row>
    <row r="164" spans="2:9" ht="15.75" outlineLevel="1" thickBot="1" x14ac:dyDescent="0.3">
      <c r="B164" s="1168" t="str">
        <f>B108</f>
        <v>LT 115</v>
      </c>
      <c r="C164" s="1167"/>
      <c r="D164" s="1166"/>
      <c r="E164" s="1166">
        <f t="shared" si="21"/>
        <v>11.976799613812425</v>
      </c>
      <c r="F164" s="1166">
        <f t="shared" si="21"/>
        <v>24.921663782924124</v>
      </c>
      <c r="G164" s="1166">
        <f t="shared" si="21"/>
        <v>24.474561152035818</v>
      </c>
      <c r="H164" s="1165">
        <f t="shared" si="21"/>
        <v>24.027458521147508</v>
      </c>
    </row>
    <row r="165" spans="2:9" ht="15.75" thickBot="1" x14ac:dyDescent="0.3">
      <c r="E165" s="108"/>
      <c r="F165" s="108"/>
      <c r="G165" s="108"/>
      <c r="H165" s="108"/>
    </row>
    <row r="166" spans="2:9" x14ac:dyDescent="0.25">
      <c r="B166" s="1164" t="s">
        <v>348</v>
      </c>
      <c r="C166" s="1163"/>
      <c r="D166" s="1163">
        <f>D$9</f>
        <v>2021</v>
      </c>
      <c r="E166" s="1163">
        <f>E$9</f>
        <v>2022</v>
      </c>
      <c r="F166" s="1163">
        <f>F$9</f>
        <v>2023</v>
      </c>
      <c r="G166" s="1163">
        <f>G$9</f>
        <v>2024</v>
      </c>
      <c r="H166" s="1163">
        <f>H$9</f>
        <v>2025</v>
      </c>
      <c r="I166" s="1162" t="s">
        <v>1633</v>
      </c>
    </row>
    <row r="167" spans="2:9" x14ac:dyDescent="0.25">
      <c r="B167" s="1175" t="s">
        <v>1632</v>
      </c>
      <c r="C167" s="1174"/>
      <c r="D167" s="1173"/>
      <c r="E167" s="1173">
        <f>SUM(E168:E172)</f>
        <v>-1052.5104524476903</v>
      </c>
      <c r="F167" s="1173">
        <f>SUM(F168:F172)</f>
        <v>-1897.6926803257315</v>
      </c>
      <c r="G167" s="1173">
        <f>SUM(G168:G172)</f>
        <v>-1863.9141697976368</v>
      </c>
      <c r="H167" s="1173">
        <f>SUM(H168:H172)</f>
        <v>-2343.5139509619949</v>
      </c>
      <c r="I167" s="1172">
        <f>SUM(I168:I172)</f>
        <v>-8109.3201030167875</v>
      </c>
    </row>
    <row r="168" spans="2:9" outlineLevel="1" x14ac:dyDescent="0.25">
      <c r="B168" s="1171" t="str">
        <f>B24</f>
        <v>SE 230</v>
      </c>
      <c r="C168" s="1077"/>
      <c r="D168" s="1170"/>
      <c r="E168" s="1170">
        <f t="shared" ref="E168:H172" si="22">E160-E80</f>
        <v>-553.13860940674385</v>
      </c>
      <c r="F168" s="1170">
        <f t="shared" si="22"/>
        <v>-1150.9864816550116</v>
      </c>
      <c r="G168" s="1170">
        <f t="shared" si="22"/>
        <v>-1224.3914245850747</v>
      </c>
      <c r="H168" s="1170">
        <f t="shared" si="22"/>
        <v>-1843.0804718124477</v>
      </c>
      <c r="I168" s="1169">
        <f>SUMPRODUCT($E$174:$H$174,E168:H168)</f>
        <v>-5350.5654266020601</v>
      </c>
    </row>
    <row r="169" spans="2:9" outlineLevel="1" x14ac:dyDescent="0.25">
      <c r="B169" s="1171" t="str">
        <f>B25</f>
        <v>SE 115</v>
      </c>
      <c r="C169" s="1077"/>
      <c r="D169" s="1170"/>
      <c r="E169" s="1170">
        <f t="shared" si="22"/>
        <v>-368.49896440643107</v>
      </c>
      <c r="F169" s="1170">
        <f t="shared" si="22"/>
        <v>-766.78307990572591</v>
      </c>
      <c r="G169" s="1170">
        <f t="shared" si="22"/>
        <v>-753.0267458450204</v>
      </c>
      <c r="H169" s="1170">
        <f t="shared" si="22"/>
        <v>-739.270411784315</v>
      </c>
      <c r="I169" s="1169">
        <f>SUMPRODUCT($E$174:$H$174,E169:H169)</f>
        <v>-2988.7818818733767</v>
      </c>
    </row>
    <row r="170" spans="2:9" outlineLevel="1" x14ac:dyDescent="0.25">
      <c r="B170" s="1171" t="str">
        <f>B26</f>
        <v>SE 34.5</v>
      </c>
      <c r="C170" s="1077"/>
      <c r="D170" s="1170"/>
      <c r="E170" s="1170">
        <f t="shared" si="22"/>
        <v>-142.84967824832779</v>
      </c>
      <c r="F170" s="1170">
        <f t="shared" si="22"/>
        <v>40.524836650413704</v>
      </c>
      <c r="G170" s="1170">
        <f t="shared" si="22"/>
        <v>133.59945826558862</v>
      </c>
      <c r="H170" s="1170">
        <f t="shared" si="22"/>
        <v>213.19807094101327</v>
      </c>
      <c r="I170" s="1169">
        <f>SUMPRODUCT($E$174:$H$174,E170:H170)</f>
        <v>234.86469701472143</v>
      </c>
    </row>
    <row r="171" spans="2:9" outlineLevel="1" x14ac:dyDescent="0.25">
      <c r="B171" s="1171" t="str">
        <f>B27</f>
        <v>LT 230</v>
      </c>
      <c r="C171" s="1077"/>
      <c r="D171" s="1170"/>
      <c r="E171" s="1170">
        <f t="shared" si="22"/>
        <v>0</v>
      </c>
      <c r="F171" s="1170">
        <f t="shared" si="22"/>
        <v>-45.369619198331748</v>
      </c>
      <c r="G171" s="1170">
        <f t="shared" si="22"/>
        <v>-44.570018785166212</v>
      </c>
      <c r="H171" s="1170">
        <f t="shared" si="22"/>
        <v>1.6114031726074245</v>
      </c>
      <c r="I171" s="1169">
        <f>SUMPRODUCT($E$174:$H$174,E171:H171)</f>
        <v>-101.97763344561506</v>
      </c>
    </row>
    <row r="172" spans="2:9" ht="15.75" outlineLevel="1" thickBot="1" x14ac:dyDescent="0.3">
      <c r="B172" s="1168" t="str">
        <f>B28</f>
        <v>LT 115</v>
      </c>
      <c r="C172" s="1167"/>
      <c r="D172" s="1166"/>
      <c r="E172" s="1166">
        <f t="shared" si="22"/>
        <v>11.976799613812425</v>
      </c>
      <c r="F172" s="1166">
        <f t="shared" si="22"/>
        <v>24.921663782924124</v>
      </c>
      <c r="G172" s="1166">
        <f t="shared" si="22"/>
        <v>24.474561152035818</v>
      </c>
      <c r="H172" s="1166">
        <f t="shared" si="22"/>
        <v>24.027458521147508</v>
      </c>
      <c r="I172" s="1165">
        <f>SUMPRODUCT($E$174:$H$174,E172:H172)</f>
        <v>97.140141889543713</v>
      </c>
    </row>
    <row r="173" spans="2:9" x14ac:dyDescent="0.25">
      <c r="B173" s="1164" t="s">
        <v>348</v>
      </c>
      <c r="C173" s="1163"/>
      <c r="D173" s="1163">
        <f>D$9</f>
        <v>2021</v>
      </c>
      <c r="E173" s="1163">
        <f>E$9</f>
        <v>2022</v>
      </c>
      <c r="F173" s="1163">
        <f>F$9</f>
        <v>2023</v>
      </c>
      <c r="G173" s="1163">
        <f>G$9</f>
        <v>2024</v>
      </c>
      <c r="H173" s="1162">
        <f>H$9</f>
        <v>2025</v>
      </c>
    </row>
    <row r="174" spans="2:9" ht="15.75" thickBot="1" x14ac:dyDescent="0.3">
      <c r="B174" s="1161" t="s">
        <v>1631</v>
      </c>
      <c r="C174" s="1160"/>
      <c r="D174" s="1159"/>
      <c r="E174" s="1158">
        <f>F174*(1+$C$3)</f>
        <v>1.2796730591543428</v>
      </c>
      <c r="F174" s="1158">
        <f>G174*(1+$C$3)</f>
        <v>1.1926123570869924</v>
      </c>
      <c r="G174" s="1158">
        <f>H174*(1+$C$3)</f>
        <v>1.1114747037157433</v>
      </c>
      <c r="H174" s="1157">
        <f>(1+$C$3)^0.5</f>
        <v>1.0358571330062847</v>
      </c>
    </row>
    <row r="178" spans="2:7" x14ac:dyDescent="0.25">
      <c r="B178" s="1187"/>
      <c r="C178" s="1188">
        <v>2025</v>
      </c>
      <c r="D178" s="1188">
        <f>C178+1</f>
        <v>2026</v>
      </c>
      <c r="E178" s="1188">
        <f t="shared" ref="E178:G178" si="23">D178+1</f>
        <v>2027</v>
      </c>
      <c r="F178" s="1188">
        <f t="shared" si="23"/>
        <v>2028</v>
      </c>
      <c r="G178" s="1189">
        <f t="shared" si="23"/>
        <v>2029</v>
      </c>
    </row>
    <row r="179" spans="2:7" x14ac:dyDescent="0.25">
      <c r="B179" s="1186" t="s">
        <v>1651</v>
      </c>
      <c r="C179" s="693">
        <f>-PMT(5%,4,$I$167)</f>
        <v>-2286.9242234198659</v>
      </c>
      <c r="D179" s="693">
        <f>C179</f>
        <v>-2286.9242234198659</v>
      </c>
      <c r="E179" s="693">
        <f t="shared" ref="E179:G179" si="24">D179</f>
        <v>-2286.9242234198659</v>
      </c>
      <c r="F179" s="693">
        <f t="shared" si="24"/>
        <v>-2286.9242234198659</v>
      </c>
      <c r="G179" s="693">
        <f t="shared" si="24"/>
        <v>-2286.9242234198659</v>
      </c>
    </row>
    <row r="183" spans="2:7" x14ac:dyDescent="0.25">
      <c r="C183" s="1029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13</vt:i4>
      </vt:variant>
    </vt:vector>
  </HeadingPairs>
  <TitlesOfParts>
    <vt:vector size="42" baseType="lpstr">
      <vt:lpstr>IMP Existente</vt:lpstr>
      <vt:lpstr>Factor ajuste</vt:lpstr>
      <vt:lpstr>IMPA Indicativo</vt:lpstr>
      <vt:lpstr>Sensibilidad</vt:lpstr>
      <vt:lpstr>Activos Reconocidos</vt:lpstr>
      <vt:lpstr>Tasa de Depreciación</vt:lpstr>
      <vt:lpstr>Base de Capital</vt:lpstr>
      <vt:lpstr>BS01_BS02</vt:lpstr>
      <vt:lpstr>INVNE_Conex</vt:lpstr>
      <vt:lpstr>OMT%_ADMT%</vt:lpstr>
      <vt:lpstr>VNR_Lin</vt:lpstr>
      <vt:lpstr>VNR_Sub</vt:lpstr>
      <vt:lpstr>AdicionesVNR_actualiz</vt:lpstr>
      <vt:lpstr>servidumbres</vt:lpstr>
      <vt:lpstr>Plan de Expansión</vt:lpstr>
      <vt:lpstr>Comparacion_adiciones</vt:lpstr>
      <vt:lpstr>Adiciones</vt:lpstr>
      <vt:lpstr>Sabanitas_PanamaIII</vt:lpstr>
      <vt:lpstr>Base ETESA</vt:lpstr>
      <vt:lpstr>CND</vt:lpstr>
      <vt:lpstr>CTPR</vt:lpstr>
      <vt:lpstr>Tercera Línea</vt:lpstr>
      <vt:lpstr>Bienes e Instalaciones 31_12_20</vt:lpstr>
      <vt:lpstr>Homologadores</vt:lpstr>
      <vt:lpstr>CEMIG-GT</vt:lpstr>
      <vt:lpstr>Transelec</vt:lpstr>
      <vt:lpstr>ISA REP</vt:lpstr>
      <vt:lpstr>Ratios comparadoras</vt:lpstr>
      <vt:lpstr>Cuadro Informe</vt:lpstr>
      <vt:lpstr>'Activos Reconocidos'!Área_de_impresión</vt:lpstr>
      <vt:lpstr>CND!Área_de_impresión</vt:lpstr>
      <vt:lpstr>CTPR!Área_de_impresión</vt:lpstr>
      <vt:lpstr>'Plan de Expansión'!Área_de_impresión</vt:lpstr>
      <vt:lpstr>'Tasa de Depreciación'!Área_de_impresión</vt:lpstr>
      <vt:lpstr>DepAnualHidro</vt:lpstr>
      <vt:lpstr>DepHidro</vt:lpstr>
      <vt:lpstr>'IMP Existente'!RRT</vt:lpstr>
      <vt:lpstr>RRT</vt:lpstr>
      <vt:lpstr>VNR_Lin!VNR_Lineas</vt:lpstr>
      <vt:lpstr>VNR_Lin!VNR_Lineas_Conexión</vt:lpstr>
      <vt:lpstr>VNR_Sub!VNR_Subestaciones_Conexión</vt:lpstr>
      <vt:lpstr>VNR_Sub!VNR_Subestaciones_Estrategicas</vt:lpstr>
    </vt:vector>
  </TitlesOfParts>
  <Manager/>
  <Company>SIGLA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nicolas.stern@sigla.com.ar</dc:creator>
  <cp:keywords/>
  <dc:description/>
  <cp:lastModifiedBy>Rebeca Flores</cp:lastModifiedBy>
  <cp:revision/>
  <cp:lastPrinted>2025-07-07T17:35:24Z</cp:lastPrinted>
  <dcterms:created xsi:type="dcterms:W3CDTF">2017-06-07T15:31:18Z</dcterms:created>
  <dcterms:modified xsi:type="dcterms:W3CDTF">2025-09-26T17:52:14Z</dcterms:modified>
  <cp:category/>
  <cp:contentStatus/>
</cp:coreProperties>
</file>